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Z:\RF for bamboo\Task C1\"/>
    </mc:Choice>
  </mc:AlternateContent>
  <xr:revisionPtr revIDLastSave="0" documentId="13_ncr:1_{7F538EEE-C429-41D8-8B8B-46D4DDE316F8}" xr6:coauthVersionLast="36" xr6:coauthVersionMax="47" xr10:uidLastSave="{00000000-0000-0000-0000-000000000000}"/>
  <bookViews>
    <workbookView xWindow="2190" yWindow="990" windowWidth="15450" windowHeight="13500" xr2:uid="{D28DD859-4034-4CE0-89FF-88F2CF4D6047}"/>
  </bookViews>
  <sheets>
    <sheet name="SC-HR" sheetId="9" r:id="rId1"/>
    <sheet name="Investigation" sheetId="1" r:id="rId2"/>
    <sheet name="inputdataforPEMCAFE" sheetId="2" r:id="rId3"/>
    <sheet name="Llayer-roots" sheetId="5" r:id="rId4"/>
    <sheet name="Litterfall-LNP" sheetId="6" r:id="rId5"/>
    <sheet name="Sheet5" sheetId="8" r:id="rId6"/>
    <sheet name="Sheet4" sheetId="7" r:id="rId7"/>
    <sheet name="Task A_Table S1" sheetId="3" r:id="rId8"/>
    <sheet name="SoilR+Temp" sheetId="4" r:id="rId9"/>
  </sheets>
  <definedNames>
    <definedName name="_xlnm.Print_Area" localSheetId="4">'Litterfall-LNP'!$A$1:$CS$116</definedName>
    <definedName name="_xlnm.Print_Area" localSheetId="3">'Llayer-roots'!$A$1:$CS$116</definedName>
    <definedName name="_xlnm.Print_Area" localSheetId="0">'SC-HR'!$A$1:$CS$116</definedName>
    <definedName name="_xlnm.Print_Area" localSheetId="7">'Task A_Table S1'!$A$1:$CS$116</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F108" i="9" l="1"/>
  <c r="BE108" i="9"/>
  <c r="BD108" i="9"/>
  <c r="AZ72" i="9"/>
  <c r="AZ77" i="9"/>
  <c r="AZ78" i="9"/>
  <c r="AZ108" i="9"/>
  <c r="AX108" i="9"/>
  <c r="AW108" i="9"/>
  <c r="AZ68" i="9"/>
  <c r="AZ69" i="9"/>
  <c r="AZ70" i="9"/>
  <c r="AZ71" i="9"/>
  <c r="AZ73" i="9"/>
  <c r="AZ74" i="9"/>
  <c r="AZ75" i="9"/>
  <c r="AZ76" i="9"/>
  <c r="AZ79" i="9"/>
  <c r="AZ80" i="9"/>
  <c r="AZ81" i="9"/>
  <c r="AZ82" i="9"/>
  <c r="AZ83" i="9"/>
  <c r="AZ107" i="9"/>
  <c r="AX107" i="9"/>
  <c r="AW107" i="9"/>
  <c r="P107" i="9"/>
  <c r="BU105" i="9"/>
  <c r="BV105" i="9"/>
  <c r="BQ105" i="9"/>
  <c r="AZ105" i="9"/>
  <c r="AK105" i="9"/>
  <c r="AJ105" i="9"/>
  <c r="AI105" i="9"/>
  <c r="AH105" i="9"/>
  <c r="AG105" i="9"/>
  <c r="AF105" i="9"/>
  <c r="AC105" i="9"/>
  <c r="Z105" i="9"/>
  <c r="Y105" i="9"/>
  <c r="P105" i="9"/>
  <c r="BP104" i="9"/>
  <c r="BO104" i="9"/>
  <c r="BN104" i="9"/>
  <c r="BM104" i="9"/>
  <c r="BP103" i="9"/>
  <c r="BO103" i="9"/>
  <c r="BN103" i="9"/>
  <c r="BM103" i="9"/>
  <c r="BP102" i="9"/>
  <c r="BO102" i="9"/>
  <c r="BN102" i="9"/>
  <c r="BM102" i="9"/>
  <c r="AZ102" i="9"/>
  <c r="CL101" i="9"/>
  <c r="AZ101" i="9"/>
  <c r="S101" i="9"/>
  <c r="P101" i="9"/>
  <c r="CL100" i="9"/>
  <c r="AZ100" i="9"/>
  <c r="S100" i="9"/>
  <c r="P100" i="9"/>
  <c r="CO99" i="9"/>
  <c r="CL99" i="9"/>
  <c r="CF99" i="9"/>
  <c r="AZ99" i="9"/>
  <c r="S99" i="9"/>
  <c r="P99" i="9"/>
  <c r="BP98" i="9"/>
  <c r="CF98" i="9"/>
  <c r="BU98" i="9"/>
  <c r="BV98" i="9"/>
  <c r="BZ98" i="9"/>
  <c r="BQ98" i="9"/>
  <c r="AZ98" i="9"/>
  <c r="S98" i="9"/>
  <c r="P98" i="9"/>
  <c r="BP97" i="9"/>
  <c r="CF97" i="9"/>
  <c r="BU97" i="9"/>
  <c r="BV97" i="9"/>
  <c r="BZ97" i="9"/>
  <c r="BQ97" i="9"/>
  <c r="AZ97" i="9"/>
  <c r="S97" i="9"/>
  <c r="P97" i="9"/>
  <c r="BP96" i="9"/>
  <c r="CF96" i="9"/>
  <c r="BU96" i="9"/>
  <c r="BV96" i="9"/>
  <c r="BZ96" i="9"/>
  <c r="BQ96" i="9"/>
  <c r="AZ96" i="9"/>
  <c r="S96" i="9"/>
  <c r="P96" i="9"/>
  <c r="BP95" i="9"/>
  <c r="CF95" i="9"/>
  <c r="BU95" i="9"/>
  <c r="BV95" i="9"/>
  <c r="BZ95" i="9"/>
  <c r="BQ95" i="9"/>
  <c r="AZ95" i="9"/>
  <c r="S95" i="9"/>
  <c r="P95" i="9"/>
  <c r="CL94" i="9"/>
  <c r="CM94" i="9"/>
  <c r="CN94" i="9"/>
  <c r="AZ94" i="9"/>
  <c r="AK94" i="9"/>
  <c r="AJ94" i="9"/>
  <c r="AI94" i="9"/>
  <c r="S94" i="9"/>
  <c r="P94" i="9"/>
  <c r="CL93" i="9"/>
  <c r="CM93" i="9"/>
  <c r="CN93" i="9"/>
  <c r="AZ93" i="9"/>
  <c r="AK93" i="9"/>
  <c r="AJ93" i="9"/>
  <c r="AI93" i="9"/>
  <c r="S93" i="9"/>
  <c r="P93" i="9"/>
  <c r="CL92" i="9"/>
  <c r="CM92" i="9"/>
  <c r="CN92" i="9"/>
  <c r="AZ92" i="9"/>
  <c r="AK92" i="9"/>
  <c r="AJ92" i="9"/>
  <c r="AI92" i="9"/>
  <c r="S92" i="9"/>
  <c r="P92" i="9"/>
  <c r="CL91" i="9"/>
  <c r="CM91" i="9"/>
  <c r="CN91" i="9"/>
  <c r="AZ91" i="9"/>
  <c r="AK91" i="9"/>
  <c r="AJ91" i="9"/>
  <c r="AI91" i="9"/>
  <c r="Y91" i="9"/>
  <c r="S91" i="9"/>
  <c r="P91" i="9"/>
  <c r="AY90" i="9"/>
  <c r="AX90" i="9"/>
  <c r="P90" i="9"/>
  <c r="CD89" i="9"/>
  <c r="CF89" i="9"/>
  <c r="CK89" i="9"/>
  <c r="BY89" i="9"/>
  <c r="BP89" i="9"/>
  <c r="BU89" i="9"/>
  <c r="BV89" i="9"/>
  <c r="BS89" i="9"/>
  <c r="BR89" i="9"/>
  <c r="BQ89" i="9"/>
  <c r="BO89" i="9"/>
  <c r="BN89" i="9"/>
  <c r="BM89" i="9"/>
  <c r="S89" i="9"/>
  <c r="P89" i="9"/>
  <c r="BX88" i="9"/>
  <c r="BY88" i="9"/>
  <c r="BZ88" i="9"/>
  <c r="BP88" i="9"/>
  <c r="BU88" i="9"/>
  <c r="AW88" i="9"/>
  <c r="AZ88" i="9"/>
  <c r="P88" i="9"/>
  <c r="BX87" i="9"/>
  <c r="BY87" i="9"/>
  <c r="BZ87" i="9"/>
  <c r="BP87" i="9"/>
  <c r="BU87" i="9"/>
  <c r="AW87" i="9"/>
  <c r="AZ87" i="9"/>
  <c r="P87" i="9"/>
  <c r="BX86" i="9"/>
  <c r="BY86" i="9"/>
  <c r="BZ86" i="9"/>
  <c r="BP86" i="9"/>
  <c r="BU86" i="9"/>
  <c r="AW86" i="9"/>
  <c r="AZ86" i="9"/>
  <c r="P86" i="9"/>
  <c r="BX85" i="9"/>
  <c r="BY85" i="9"/>
  <c r="BZ85" i="9"/>
  <c r="BP85" i="9"/>
  <c r="BU85" i="9"/>
  <c r="AW85" i="9"/>
  <c r="AZ85" i="9"/>
  <c r="P85" i="9"/>
  <c r="CJ84" i="9"/>
  <c r="CF84" i="9"/>
  <c r="CK84" i="9"/>
  <c r="CO84" i="9"/>
  <c r="CN84" i="9"/>
  <c r="CE84" i="9"/>
  <c r="BU84" i="9"/>
  <c r="BP84" i="9"/>
  <c r="BV84" i="9"/>
  <c r="BZ84" i="9"/>
  <c r="BQ84" i="9"/>
  <c r="BL84" i="9"/>
  <c r="P84" i="9"/>
  <c r="CJ83" i="9"/>
  <c r="CF83" i="9"/>
  <c r="CK83" i="9"/>
  <c r="CO83" i="9"/>
  <c r="CN83" i="9"/>
  <c r="CE83" i="9"/>
  <c r="BP83" i="9"/>
  <c r="BL83" i="9"/>
  <c r="P83" i="9"/>
  <c r="CF82" i="9"/>
  <c r="P82" i="9"/>
  <c r="P81" i="9"/>
  <c r="CA80" i="9"/>
  <c r="CB80" i="9"/>
  <c r="CC80" i="9"/>
  <c r="CF80" i="9"/>
  <c r="BR80" i="9"/>
  <c r="BS80" i="9"/>
  <c r="BT80" i="9"/>
  <c r="BU80" i="9"/>
  <c r="BM80" i="9"/>
  <c r="BN80" i="9"/>
  <c r="BO80" i="9"/>
  <c r="BP80" i="9"/>
  <c r="BV80" i="9"/>
  <c r="BQ80" i="9"/>
  <c r="P80" i="9"/>
  <c r="CA79" i="9"/>
  <c r="CB79" i="9"/>
  <c r="CC79" i="9"/>
  <c r="CF79" i="9"/>
  <c r="BR79" i="9"/>
  <c r="BS79" i="9"/>
  <c r="BT79" i="9"/>
  <c r="BU79" i="9"/>
  <c r="BM79" i="9"/>
  <c r="BN79" i="9"/>
  <c r="BO79" i="9"/>
  <c r="BP79" i="9"/>
  <c r="BV79" i="9"/>
  <c r="BQ79" i="9"/>
  <c r="P79" i="9"/>
  <c r="BM78" i="9"/>
  <c r="BN78" i="9"/>
  <c r="BO78" i="9"/>
  <c r="BP78" i="9"/>
  <c r="S78" i="9"/>
  <c r="Q78" i="9"/>
  <c r="O78" i="9"/>
  <c r="P78" i="9"/>
  <c r="BM77" i="9"/>
  <c r="BN77" i="9"/>
  <c r="BO77" i="9"/>
  <c r="BP77" i="9"/>
  <c r="S77" i="9"/>
  <c r="Q77" i="9"/>
  <c r="O77" i="9"/>
  <c r="P77" i="9"/>
  <c r="CF76" i="9"/>
  <c r="CF75" i="9"/>
  <c r="CF74" i="9"/>
  <c r="CF73" i="9"/>
  <c r="BU73" i="9"/>
  <c r="BM73" i="9"/>
  <c r="BN73" i="9"/>
  <c r="BO73" i="9"/>
  <c r="BP73" i="9"/>
  <c r="BV73" i="9"/>
  <c r="BZ73" i="9"/>
  <c r="BQ73" i="9"/>
  <c r="AK73" i="9"/>
  <c r="AJ73" i="9"/>
  <c r="AI73" i="9"/>
  <c r="AH73" i="9"/>
  <c r="AG73" i="9"/>
  <c r="AF73" i="9"/>
  <c r="AE73" i="9"/>
  <c r="AC73" i="9"/>
  <c r="Z73" i="9"/>
  <c r="Y73" i="9"/>
  <c r="X73" i="9"/>
  <c r="BM72" i="9"/>
  <c r="BN72" i="9"/>
  <c r="BO72" i="9"/>
  <c r="BP72" i="9"/>
  <c r="S72" i="9"/>
  <c r="Q72" i="9"/>
  <c r="O72" i="9"/>
  <c r="P72" i="9"/>
  <c r="CA71" i="9"/>
  <c r="CB71" i="9"/>
  <c r="CC71" i="9"/>
  <c r="CF71" i="9"/>
  <c r="BR71" i="9"/>
  <c r="BS71" i="9"/>
  <c r="BT71" i="9"/>
  <c r="BU71" i="9"/>
  <c r="BM71" i="9"/>
  <c r="BN71" i="9"/>
  <c r="BO71" i="9"/>
  <c r="BP71" i="9"/>
  <c r="BV71" i="9"/>
  <c r="BQ71" i="9"/>
  <c r="P71" i="9"/>
  <c r="CA70" i="9"/>
  <c r="CB70" i="9"/>
  <c r="CC70" i="9"/>
  <c r="CF70" i="9"/>
  <c r="BR70" i="9"/>
  <c r="BS70" i="9"/>
  <c r="BT70" i="9"/>
  <c r="BU70" i="9"/>
  <c r="BM70" i="9"/>
  <c r="BN70" i="9"/>
  <c r="BO70" i="9"/>
  <c r="BP70" i="9"/>
  <c r="BV70" i="9"/>
  <c r="BQ70" i="9"/>
  <c r="P70" i="9"/>
  <c r="CA69" i="9"/>
  <c r="CB69" i="9"/>
  <c r="CC69" i="9"/>
  <c r="CF69" i="9"/>
  <c r="BR69" i="9"/>
  <c r="BS69" i="9"/>
  <c r="BT69" i="9"/>
  <c r="BU69" i="9"/>
  <c r="BM69" i="9"/>
  <c r="BN69" i="9"/>
  <c r="BO69" i="9"/>
  <c r="BP69" i="9"/>
  <c r="BV69" i="9"/>
  <c r="BQ69" i="9"/>
  <c r="P69" i="9"/>
  <c r="BM68" i="9"/>
  <c r="BN68" i="9"/>
  <c r="BO68" i="9"/>
  <c r="BP68" i="9"/>
  <c r="AK68" i="9"/>
  <c r="AJ68" i="9"/>
  <c r="AI68" i="9"/>
  <c r="AH68" i="9"/>
  <c r="AG68" i="9"/>
  <c r="AF68" i="9"/>
  <c r="AE68" i="9"/>
  <c r="AC68" i="9"/>
  <c r="Z68" i="9"/>
  <c r="Y68" i="9"/>
  <c r="X68" i="9"/>
  <c r="CF67" i="9"/>
  <c r="CJ67" i="9"/>
  <c r="CK67" i="9"/>
  <c r="CH67" i="9"/>
  <c r="CG67" i="9"/>
  <c r="CC67" i="9"/>
  <c r="CB67" i="9"/>
  <c r="CA67" i="9"/>
  <c r="BU67" i="9"/>
  <c r="BP67" i="9"/>
  <c r="BV67" i="9"/>
  <c r="BS67" i="9"/>
  <c r="BR67" i="9"/>
  <c r="BQ67" i="9"/>
  <c r="BO67" i="9"/>
  <c r="BN67" i="9"/>
  <c r="BM67" i="9"/>
  <c r="O67" i="9"/>
  <c r="P67" i="9"/>
  <c r="BU66" i="9"/>
  <c r="BP66" i="9"/>
  <c r="BV66" i="9"/>
  <c r="BS66" i="9"/>
  <c r="BR66" i="9"/>
  <c r="BQ66" i="9"/>
  <c r="BO66" i="9"/>
  <c r="BN66" i="9"/>
  <c r="BM66" i="9"/>
  <c r="AZ66" i="9"/>
  <c r="O66" i="9"/>
  <c r="P66" i="9"/>
  <c r="BU65" i="9"/>
  <c r="BP65" i="9"/>
  <c r="BV65" i="9"/>
  <c r="BS65" i="9"/>
  <c r="BR65" i="9"/>
  <c r="BQ65" i="9"/>
  <c r="BO65" i="9"/>
  <c r="BN65" i="9"/>
  <c r="BM65" i="9"/>
  <c r="AZ65" i="9"/>
  <c r="O65" i="9"/>
  <c r="P65" i="9"/>
  <c r="CA64" i="9"/>
  <c r="CB64" i="9"/>
  <c r="CC64" i="9"/>
  <c r="CF64" i="9"/>
  <c r="CD64" i="9"/>
  <c r="BM64" i="9"/>
  <c r="BN64" i="9"/>
  <c r="BO64" i="9"/>
  <c r="BP64" i="9"/>
  <c r="AU64" i="9"/>
  <c r="BR63" i="9"/>
  <c r="BS63" i="9"/>
  <c r="BU63" i="9"/>
  <c r="BP63" i="9"/>
  <c r="BV63" i="9"/>
  <c r="BX63" i="9"/>
  <c r="BZ63" i="9"/>
  <c r="BQ63" i="9"/>
  <c r="P63" i="9"/>
  <c r="BM62" i="9"/>
  <c r="BN62" i="9"/>
  <c r="BO62" i="9"/>
  <c r="BP62" i="9"/>
  <c r="BM61" i="9"/>
  <c r="BN61" i="9"/>
  <c r="BO61" i="9"/>
  <c r="BP61" i="9"/>
  <c r="CF62" i="9"/>
  <c r="CC62" i="9"/>
  <c r="CB62" i="9"/>
  <c r="CA62" i="9"/>
  <c r="AX62" i="9"/>
  <c r="AZ62" i="9"/>
  <c r="AY62" i="9"/>
  <c r="BM60" i="9"/>
  <c r="BN60" i="9"/>
  <c r="BO60" i="9"/>
  <c r="BP60" i="9"/>
  <c r="CF61" i="9"/>
  <c r="CC61" i="9"/>
  <c r="CB61" i="9"/>
  <c r="CA61" i="9"/>
  <c r="AX61" i="9"/>
  <c r="AZ61" i="9"/>
  <c r="AY61" i="9"/>
  <c r="AX60" i="9"/>
  <c r="AZ60" i="9"/>
  <c r="AY60" i="9"/>
  <c r="BM59" i="9"/>
  <c r="BN59" i="9"/>
  <c r="BO59" i="9"/>
  <c r="BP59" i="9"/>
  <c r="AX59" i="9"/>
  <c r="AZ59" i="9"/>
  <c r="AY59" i="9"/>
  <c r="CJ58" i="9"/>
  <c r="CA58" i="9"/>
  <c r="CD58" i="9"/>
  <c r="CF58" i="9"/>
  <c r="CK58" i="9"/>
  <c r="CM58" i="9"/>
  <c r="CO58" i="9"/>
  <c r="CL58" i="9"/>
  <c r="CN58" i="9"/>
  <c r="CE58" i="9"/>
  <c r="BR58" i="9"/>
  <c r="BS58" i="9"/>
  <c r="BU58" i="9"/>
  <c r="BM58" i="9"/>
  <c r="BN58" i="9"/>
  <c r="BO58" i="9"/>
  <c r="BP58" i="9"/>
  <c r="BV58" i="9"/>
  <c r="BX58" i="9"/>
  <c r="BZ58" i="9"/>
  <c r="BQ58" i="9"/>
  <c r="AZ58" i="9"/>
  <c r="P58" i="9"/>
  <c r="CF57" i="9"/>
  <c r="CD57" i="9"/>
  <c r="CC57" i="9"/>
  <c r="CB57" i="9"/>
  <c r="CA57" i="9"/>
  <c r="BM57" i="9"/>
  <c r="BN57" i="9"/>
  <c r="BO57" i="9"/>
  <c r="BP57" i="9"/>
  <c r="BM56" i="9"/>
  <c r="BN56" i="9"/>
  <c r="BO56" i="9"/>
  <c r="BP56" i="9"/>
  <c r="BO55" i="9"/>
  <c r="AX55" i="9"/>
  <c r="AW55" i="9"/>
  <c r="BO54" i="9"/>
  <c r="AZ54" i="9"/>
  <c r="AX54" i="9"/>
  <c r="AW54" i="9"/>
  <c r="CF53" i="9"/>
  <c r="CD53" i="9"/>
  <c r="CC53" i="9"/>
  <c r="CB53" i="9"/>
  <c r="CA53" i="9"/>
  <c r="BM53" i="9"/>
  <c r="BN53" i="9"/>
  <c r="BO53" i="9"/>
  <c r="BP53" i="9"/>
  <c r="CA52" i="9"/>
  <c r="CB52" i="9"/>
  <c r="CC52" i="9"/>
  <c r="CF52" i="9"/>
  <c r="CG52" i="9"/>
  <c r="CH52" i="9"/>
  <c r="CJ52" i="9"/>
  <c r="CK52" i="9"/>
  <c r="CD52" i="9"/>
  <c r="CE52" i="9"/>
  <c r="BM52" i="9"/>
  <c r="BN52" i="9"/>
  <c r="BO52" i="9"/>
  <c r="BP52" i="9"/>
  <c r="AX52" i="9"/>
  <c r="AW52" i="9"/>
  <c r="AZ52" i="9"/>
  <c r="AY52" i="9"/>
  <c r="BP50" i="9"/>
  <c r="BO50" i="9"/>
  <c r="BN50" i="9"/>
  <c r="AZ50" i="9"/>
  <c r="BO49" i="9"/>
  <c r="AZ49" i="9"/>
  <c r="AX49" i="9"/>
  <c r="AW49" i="9"/>
  <c r="CF48" i="9"/>
  <c r="CD48" i="9"/>
  <c r="CC48" i="9"/>
  <c r="CB48" i="9"/>
  <c r="CA48" i="9"/>
  <c r="BP48" i="9"/>
  <c r="BO48" i="9"/>
  <c r="BN48" i="9"/>
  <c r="BM48" i="9"/>
  <c r="BP47" i="9"/>
  <c r="AZ47" i="9"/>
  <c r="AX47" i="9"/>
  <c r="AW47" i="9"/>
  <c r="P47" i="9"/>
  <c r="BP46" i="9"/>
  <c r="AZ46" i="9"/>
  <c r="AX46" i="9"/>
  <c r="AW46" i="9"/>
  <c r="P46" i="9"/>
  <c r="CB45" i="9"/>
  <c r="CC45" i="9"/>
  <c r="CF45" i="9"/>
  <c r="BN45" i="9"/>
  <c r="BO45" i="9"/>
  <c r="BP45" i="9"/>
  <c r="AZ45" i="9"/>
  <c r="AY45" i="9"/>
  <c r="AX45" i="9"/>
  <c r="AW45" i="9"/>
  <c r="S45" i="9"/>
  <c r="P45" i="9"/>
  <c r="CB44" i="9"/>
  <c r="CC44" i="9"/>
  <c r="CF44" i="9"/>
  <c r="BN44" i="9"/>
  <c r="BO44" i="9"/>
  <c r="BP44" i="9"/>
  <c r="AW44" i="9"/>
  <c r="P44" i="9"/>
  <c r="CB43" i="9"/>
  <c r="CC43" i="9"/>
  <c r="CF43" i="9"/>
  <c r="BN43" i="9"/>
  <c r="BO43" i="9"/>
  <c r="BP43" i="9"/>
  <c r="AZ43" i="9"/>
  <c r="AY43" i="9"/>
  <c r="AX43" i="9"/>
  <c r="AW43" i="9"/>
  <c r="S43" i="9"/>
  <c r="P43" i="9"/>
  <c r="CD42" i="9"/>
  <c r="BP42" i="9"/>
  <c r="BP41" i="9"/>
  <c r="CD40" i="9"/>
  <c r="BP40" i="9"/>
  <c r="AX40" i="9"/>
  <c r="AW40" i="9"/>
  <c r="AZ40" i="9"/>
  <c r="P40" i="9"/>
  <c r="BU39" i="9"/>
  <c r="BP39" i="9"/>
  <c r="BV39" i="9"/>
  <c r="BZ39" i="9"/>
  <c r="BQ39" i="9"/>
  <c r="AZ39" i="9"/>
  <c r="BU38" i="9"/>
  <c r="BP38" i="9"/>
  <c r="BV38" i="9"/>
  <c r="BZ38" i="9"/>
  <c r="BQ38" i="9"/>
  <c r="AZ38" i="9"/>
  <c r="BU37" i="9"/>
  <c r="BP37" i="9"/>
  <c r="BV37" i="9"/>
  <c r="BZ37" i="9"/>
  <c r="BQ37" i="9"/>
  <c r="AZ37" i="9"/>
  <c r="BR36" i="9"/>
  <c r="BS36" i="9"/>
  <c r="BT36" i="9"/>
  <c r="BU36" i="9"/>
  <c r="BP36" i="9"/>
  <c r="BV36" i="9"/>
  <c r="BQ36" i="9"/>
  <c r="AX36" i="9"/>
  <c r="AZ36" i="9"/>
  <c r="P36" i="9"/>
  <c r="BP35" i="9"/>
  <c r="AW35" i="9"/>
  <c r="AX35" i="9"/>
  <c r="AZ35" i="9"/>
  <c r="AY35" i="9"/>
  <c r="S35" i="9"/>
  <c r="CD34" i="9"/>
  <c r="BR34" i="9"/>
  <c r="BS34" i="9"/>
  <c r="BU34" i="9"/>
  <c r="BM34" i="9"/>
  <c r="BN34" i="9"/>
  <c r="BO34" i="9"/>
  <c r="BP34" i="9"/>
  <c r="BV34" i="9"/>
  <c r="BQ34" i="9"/>
  <c r="AZ34" i="9"/>
  <c r="AD34" i="9"/>
  <c r="P34" i="9"/>
  <c r="CD33" i="9"/>
  <c r="BR33" i="9"/>
  <c r="BS33" i="9"/>
  <c r="BU33" i="9"/>
  <c r="BM33" i="9"/>
  <c r="BN33" i="9"/>
  <c r="BO33" i="9"/>
  <c r="BP33" i="9"/>
  <c r="BV33" i="9"/>
  <c r="BQ33" i="9"/>
  <c r="AZ33" i="9"/>
  <c r="AD33" i="9"/>
  <c r="P33" i="9"/>
  <c r="CD32" i="9"/>
  <c r="BR32" i="9"/>
  <c r="BS32" i="9"/>
  <c r="BU32" i="9"/>
  <c r="BM32" i="9"/>
  <c r="BN32" i="9"/>
  <c r="BO32" i="9"/>
  <c r="BP32" i="9"/>
  <c r="BV32" i="9"/>
  <c r="BQ32" i="9"/>
  <c r="AZ32" i="9"/>
  <c r="AD32" i="9"/>
  <c r="P32" i="9"/>
  <c r="CF31" i="9"/>
  <c r="BR31" i="9"/>
  <c r="BS31" i="9"/>
  <c r="BT31" i="9"/>
  <c r="BU31" i="9"/>
  <c r="BM31" i="9"/>
  <c r="BN31" i="9"/>
  <c r="BO31" i="9"/>
  <c r="BP31" i="9"/>
  <c r="BV31" i="9"/>
  <c r="P31" i="9"/>
  <c r="CF30" i="9"/>
  <c r="BR30" i="9"/>
  <c r="BS30" i="9"/>
  <c r="BT30" i="9"/>
  <c r="BU30" i="9"/>
  <c r="BM30" i="9"/>
  <c r="BN30" i="9"/>
  <c r="BO30" i="9"/>
  <c r="BP30" i="9"/>
  <c r="BV30" i="9"/>
  <c r="BQ30" i="9"/>
  <c r="P30" i="9"/>
  <c r="CO29" i="9"/>
  <c r="BV29" i="9"/>
  <c r="BZ29" i="9"/>
  <c r="P29" i="9"/>
  <c r="CO28" i="9"/>
  <c r="BV28" i="9"/>
  <c r="BZ28" i="9"/>
  <c r="P28" i="9"/>
  <c r="CO27" i="9"/>
  <c r="BV27" i="9"/>
  <c r="BZ27" i="9"/>
  <c r="P27" i="9"/>
  <c r="CO26" i="9"/>
  <c r="BV26" i="9"/>
  <c r="BZ26" i="9"/>
  <c r="P26" i="9"/>
  <c r="BP25" i="9"/>
  <c r="AX25" i="9"/>
  <c r="AW25" i="9"/>
  <c r="AZ25" i="9"/>
  <c r="S25" i="9"/>
  <c r="P25" i="9"/>
  <c r="AZ24" i="9"/>
  <c r="AZ23" i="9"/>
  <c r="AZ22" i="9"/>
  <c r="AX21" i="9"/>
  <c r="AZ21" i="9"/>
  <c r="O21" i="9"/>
  <c r="P21" i="9"/>
  <c r="BU20" i="9"/>
  <c r="BP20" i="9"/>
  <c r="BV20" i="9"/>
  <c r="BQ20" i="9"/>
  <c r="Q20" i="9"/>
  <c r="O20" i="9"/>
  <c r="P20" i="9"/>
  <c r="BU19" i="9"/>
  <c r="BP19" i="9"/>
  <c r="BV19" i="9"/>
  <c r="BQ19" i="9"/>
  <c r="Q19" i="9"/>
  <c r="O19" i="9"/>
  <c r="P19" i="9"/>
  <c r="BU18" i="9"/>
  <c r="BP18" i="9"/>
  <c r="BV18" i="9"/>
  <c r="BQ18" i="9"/>
  <c r="Q18" i="9"/>
  <c r="O18" i="9"/>
  <c r="P18" i="9"/>
  <c r="BU17" i="9"/>
  <c r="BP17" i="9"/>
  <c r="BV17" i="9"/>
  <c r="BQ17" i="9"/>
  <c r="Q17" i="9"/>
  <c r="O17" i="9"/>
  <c r="P17" i="9"/>
  <c r="BP16" i="9"/>
  <c r="AZ16" i="9"/>
  <c r="O16" i="9"/>
  <c r="CJ15" i="9"/>
  <c r="CF15" i="9"/>
  <c r="CK15" i="9"/>
  <c r="CM15" i="9"/>
  <c r="CO15" i="9"/>
  <c r="CL15" i="9"/>
  <c r="CN15" i="9"/>
  <c r="BZ15" i="9"/>
  <c r="AC15" i="9"/>
  <c r="Q15" i="9"/>
  <c r="P15" i="9"/>
  <c r="CD14" i="9"/>
  <c r="BR14" i="9"/>
  <c r="BP14" i="9"/>
  <c r="BQ14" i="9"/>
  <c r="BL14" i="9"/>
  <c r="BK14" i="9"/>
  <c r="Q14" i="9"/>
  <c r="P14" i="9"/>
  <c r="CD13" i="9"/>
  <c r="BR13" i="9"/>
  <c r="BP13" i="9"/>
  <c r="BL13" i="9"/>
  <c r="BK13" i="9"/>
  <c r="Q13" i="9"/>
  <c r="P13" i="9"/>
  <c r="CD12" i="9"/>
  <c r="BR12" i="9"/>
  <c r="BP12" i="9"/>
  <c r="BL12" i="9"/>
  <c r="BK12" i="9"/>
  <c r="Q12" i="9"/>
  <c r="P12" i="9"/>
  <c r="BR11" i="9"/>
  <c r="BT11" i="9"/>
  <c r="BU11" i="9"/>
  <c r="BM11" i="9"/>
  <c r="BN11" i="9"/>
  <c r="BO11" i="9"/>
  <c r="BP11" i="9"/>
  <c r="BV11" i="9"/>
  <c r="BQ11" i="9"/>
  <c r="AX11" i="9"/>
  <c r="AZ11" i="9"/>
  <c r="P11" i="9"/>
  <c r="BR10" i="9"/>
  <c r="BT10" i="9"/>
  <c r="BU10" i="9"/>
  <c r="BM10" i="9"/>
  <c r="BN10" i="9"/>
  <c r="BO10" i="9"/>
  <c r="BP10" i="9"/>
  <c r="BV10" i="9"/>
  <c r="BQ10" i="9"/>
  <c r="AX10" i="9"/>
  <c r="AZ10" i="9"/>
  <c r="P10" i="9"/>
  <c r="CG9" i="9"/>
  <c r="CH9" i="9"/>
  <c r="CI9" i="9"/>
  <c r="CJ9" i="9"/>
  <c r="CA9" i="9"/>
  <c r="CB9" i="9"/>
  <c r="CC9" i="9"/>
  <c r="CF9" i="9"/>
  <c r="CK9" i="9"/>
  <c r="BR9" i="9"/>
  <c r="BS9" i="9"/>
  <c r="BT9" i="9"/>
  <c r="BU9" i="9"/>
  <c r="BM9" i="9"/>
  <c r="BN9" i="9"/>
  <c r="BO9" i="9"/>
  <c r="BP9" i="9"/>
  <c r="BV9" i="9"/>
  <c r="BQ9" i="9"/>
  <c r="AX9" i="9"/>
  <c r="AZ9" i="9"/>
  <c r="S9" i="9"/>
  <c r="P9" i="9"/>
  <c r="BR8" i="9"/>
  <c r="BT8" i="9"/>
  <c r="BU8" i="9"/>
  <c r="BM8" i="9"/>
  <c r="BN8" i="9"/>
  <c r="BO8" i="9"/>
  <c r="BP8" i="9"/>
  <c r="BV8" i="9"/>
  <c r="BQ8" i="9"/>
  <c r="AX8" i="9"/>
  <c r="AZ8" i="9"/>
  <c r="P8" i="9"/>
  <c r="BR7" i="9"/>
  <c r="BS7" i="9"/>
  <c r="BU7" i="9"/>
  <c r="BN7" i="9"/>
  <c r="BO7" i="9"/>
  <c r="BP7" i="9"/>
  <c r="BV7" i="9"/>
  <c r="BZ7" i="9"/>
  <c r="BQ7" i="9"/>
  <c r="P7" i="9"/>
  <c r="CC6" i="9"/>
  <c r="CD6" i="9"/>
  <c r="CF6" i="9"/>
  <c r="BU6" i="9"/>
  <c r="BP6" i="9"/>
  <c r="BV6" i="9"/>
  <c r="BQ6" i="9"/>
  <c r="AV6" i="9"/>
  <c r="AU6" i="9"/>
  <c r="AT6" i="9"/>
  <c r="AQ6" i="9"/>
  <c r="P6" i="9"/>
  <c r="BR5" i="9"/>
  <c r="BS5" i="9"/>
  <c r="BU5" i="9"/>
  <c r="BN5" i="9"/>
  <c r="BO5" i="9"/>
  <c r="BP5" i="9"/>
  <c r="BV5" i="9"/>
  <c r="BZ5" i="9"/>
  <c r="BQ5" i="9"/>
  <c r="P5" i="9"/>
  <c r="BR4" i="9"/>
  <c r="BS4" i="9"/>
  <c r="BU4" i="9"/>
  <c r="BN4" i="9"/>
  <c r="BO4" i="9"/>
  <c r="BP4" i="9"/>
  <c r="BV4" i="9"/>
  <c r="BZ4" i="9"/>
  <c r="BQ4" i="9"/>
  <c r="P4" i="9"/>
  <c r="BY6" i="1"/>
  <c r="BY7" i="1"/>
  <c r="BY8" i="1"/>
  <c r="BY9" i="1"/>
  <c r="BY10" i="1"/>
  <c r="BY11" i="1"/>
  <c r="BY12" i="1"/>
  <c r="BY13" i="1"/>
  <c r="BY14" i="1"/>
  <c r="BY5" i="1"/>
  <c r="BU12" i="1"/>
  <c r="BU13" i="1"/>
  <c r="BU14" i="1"/>
  <c r="BU6" i="1"/>
  <c r="BU7" i="1"/>
  <c r="BU8" i="1"/>
  <c r="BU9" i="1"/>
  <c r="BU10" i="1"/>
  <c r="BU11" i="1"/>
  <c r="BU5" i="1"/>
  <c r="BF108" i="6"/>
  <c r="BE108" i="6"/>
  <c r="BD108" i="6"/>
  <c r="AX108" i="6"/>
  <c r="AW108" i="6"/>
  <c r="AX107" i="6"/>
  <c r="AW107" i="6"/>
  <c r="P107" i="6"/>
  <c r="BU105" i="6"/>
  <c r="BQ105" i="6"/>
  <c r="AZ105" i="6"/>
  <c r="AK105" i="6"/>
  <c r="AJ105" i="6"/>
  <c r="AI105" i="6"/>
  <c r="AH105" i="6"/>
  <c r="AG105" i="6"/>
  <c r="AF105" i="6"/>
  <c r="AC105" i="6"/>
  <c r="Z105" i="6"/>
  <c r="Y105" i="6"/>
  <c r="P105" i="6"/>
  <c r="BP104" i="6"/>
  <c r="BO104" i="6"/>
  <c r="BN104" i="6"/>
  <c r="BM104" i="6"/>
  <c r="BP103" i="6"/>
  <c r="BO103" i="6"/>
  <c r="BN103" i="6"/>
  <c r="BM103" i="6"/>
  <c r="BP102" i="6"/>
  <c r="BO102" i="6"/>
  <c r="BN102" i="6"/>
  <c r="BM102" i="6"/>
  <c r="AZ102" i="6"/>
  <c r="CL101" i="6"/>
  <c r="AZ101" i="6"/>
  <c r="S101" i="6"/>
  <c r="P101" i="6"/>
  <c r="CL100" i="6"/>
  <c r="AZ100" i="6"/>
  <c r="S100" i="6"/>
  <c r="P100" i="6"/>
  <c r="CO99" i="6"/>
  <c r="CL99" i="6"/>
  <c r="CF99" i="6"/>
  <c r="AZ99" i="6"/>
  <c r="S99" i="6"/>
  <c r="P99" i="6"/>
  <c r="BU98" i="6"/>
  <c r="BP98" i="6"/>
  <c r="BV98" i="6"/>
  <c r="BZ98" i="6"/>
  <c r="AZ98" i="6"/>
  <c r="S98" i="6"/>
  <c r="P98" i="6"/>
  <c r="BU97" i="6"/>
  <c r="BQ97" i="6"/>
  <c r="BP97" i="6"/>
  <c r="CF97" i="6"/>
  <c r="AZ97" i="6"/>
  <c r="S97" i="6"/>
  <c r="P97" i="6"/>
  <c r="BU96" i="6"/>
  <c r="BP96" i="6"/>
  <c r="CF96" i="6"/>
  <c r="AZ96" i="6"/>
  <c r="S96" i="6"/>
  <c r="P96" i="6"/>
  <c r="BU95" i="6"/>
  <c r="BP95" i="6"/>
  <c r="AZ95" i="6"/>
  <c r="S95" i="6"/>
  <c r="P95" i="6"/>
  <c r="CM94" i="6"/>
  <c r="CL94" i="6"/>
  <c r="CN94" i="6"/>
  <c r="AZ94" i="6"/>
  <c r="AK94" i="6"/>
  <c r="AJ94" i="6"/>
  <c r="AI94" i="6"/>
  <c r="S94" i="6"/>
  <c r="P94" i="6"/>
  <c r="CM93" i="6"/>
  <c r="CL93" i="6"/>
  <c r="CN93" i="6"/>
  <c r="AZ93" i="6"/>
  <c r="AK93" i="6"/>
  <c r="AJ93" i="6"/>
  <c r="AI93" i="6"/>
  <c r="S93" i="6"/>
  <c r="P93" i="6"/>
  <c r="CM92" i="6"/>
  <c r="CL92" i="6"/>
  <c r="AZ92" i="6"/>
  <c r="AK92" i="6"/>
  <c r="AJ92" i="6"/>
  <c r="AI92" i="6"/>
  <c r="S92" i="6"/>
  <c r="P92" i="6"/>
  <c r="CM91" i="6"/>
  <c r="CL91" i="6"/>
  <c r="AZ91" i="6"/>
  <c r="AK91" i="6"/>
  <c r="AJ91" i="6"/>
  <c r="AI91" i="6"/>
  <c r="Y91" i="6"/>
  <c r="S91" i="6"/>
  <c r="P91" i="6"/>
  <c r="AY90" i="6"/>
  <c r="AX90" i="6"/>
  <c r="P90" i="6"/>
  <c r="CD89" i="6"/>
  <c r="CF89" i="6"/>
  <c r="CK89" i="6"/>
  <c r="BY89" i="6"/>
  <c r="BU89" i="6"/>
  <c r="BP89" i="6"/>
  <c r="BV89" i="6"/>
  <c r="S89" i="6"/>
  <c r="P89" i="6"/>
  <c r="BY88" i="6"/>
  <c r="BX88" i="6"/>
  <c r="BP88" i="6"/>
  <c r="BU88" i="6"/>
  <c r="AW88" i="6"/>
  <c r="AZ88" i="6"/>
  <c r="P88" i="6"/>
  <c r="BY87" i="6"/>
  <c r="BX87" i="6"/>
  <c r="BZ87" i="6"/>
  <c r="BP87" i="6"/>
  <c r="BU87" i="6"/>
  <c r="AZ87" i="6"/>
  <c r="AW87" i="6"/>
  <c r="P87" i="6"/>
  <c r="BY86" i="6"/>
  <c r="BX86" i="6"/>
  <c r="BP86" i="6"/>
  <c r="BU86" i="6"/>
  <c r="AW86" i="6"/>
  <c r="AZ86" i="6"/>
  <c r="P86" i="6"/>
  <c r="BY85" i="6"/>
  <c r="BX85" i="6"/>
  <c r="BZ85" i="6"/>
  <c r="BP85" i="6"/>
  <c r="BU85" i="6"/>
  <c r="AW85" i="6"/>
  <c r="AZ85" i="6"/>
  <c r="P85" i="6"/>
  <c r="CN84" i="6"/>
  <c r="CJ84" i="6"/>
  <c r="CF84" i="6"/>
  <c r="CE84" i="6"/>
  <c r="BU84" i="6"/>
  <c r="BV84" i="6"/>
  <c r="BZ84" i="6"/>
  <c r="BQ84" i="6"/>
  <c r="BP84" i="6"/>
  <c r="BL84" i="6"/>
  <c r="P84" i="6"/>
  <c r="CN83" i="6"/>
  <c r="CJ83" i="6"/>
  <c r="CF83" i="6"/>
  <c r="CE83" i="6"/>
  <c r="BP83" i="6"/>
  <c r="BL83" i="6"/>
  <c r="AZ83" i="6"/>
  <c r="P83" i="6"/>
  <c r="CF82" i="6"/>
  <c r="AZ82" i="6"/>
  <c r="P82" i="6"/>
  <c r="AZ81" i="6"/>
  <c r="P81" i="6"/>
  <c r="CC80" i="6"/>
  <c r="CB80" i="6"/>
  <c r="CA80" i="6"/>
  <c r="CF80" i="6"/>
  <c r="BT80" i="6"/>
  <c r="BS80" i="6"/>
  <c r="BR80" i="6"/>
  <c r="BU80" i="6"/>
  <c r="BO80" i="6"/>
  <c r="BN80" i="6"/>
  <c r="BM80" i="6"/>
  <c r="BP80" i="6"/>
  <c r="AZ80" i="6"/>
  <c r="P80" i="6"/>
  <c r="CC79" i="6"/>
  <c r="CB79" i="6"/>
  <c r="CA79" i="6"/>
  <c r="CF79" i="6"/>
  <c r="BU79" i="6"/>
  <c r="BT79" i="6"/>
  <c r="BS79" i="6"/>
  <c r="BR79" i="6"/>
  <c r="BO79" i="6"/>
  <c r="BN79" i="6"/>
  <c r="BM79" i="6"/>
  <c r="AZ79" i="6"/>
  <c r="P79" i="6"/>
  <c r="BO78" i="6"/>
  <c r="BN78" i="6"/>
  <c r="BM78" i="6"/>
  <c r="AZ78" i="6"/>
  <c r="S78" i="6"/>
  <c r="Q78" i="6"/>
  <c r="P78" i="6"/>
  <c r="O78" i="6"/>
  <c r="BO77" i="6"/>
  <c r="BN77" i="6"/>
  <c r="BM77" i="6"/>
  <c r="BP77" i="6"/>
  <c r="AZ77" i="6"/>
  <c r="S77" i="6"/>
  <c r="Q77" i="6"/>
  <c r="O77" i="6"/>
  <c r="P77" i="6"/>
  <c r="CF76" i="6"/>
  <c r="AZ76" i="6"/>
  <c r="CF75" i="6"/>
  <c r="AZ75" i="6"/>
  <c r="CF74" i="6"/>
  <c r="AZ74" i="6"/>
  <c r="CF73" i="6"/>
  <c r="BU73" i="6"/>
  <c r="BO73" i="6"/>
  <c r="BN73" i="6"/>
  <c r="BM73" i="6"/>
  <c r="BP73" i="6"/>
  <c r="AZ73" i="6"/>
  <c r="AK73" i="6"/>
  <c r="AJ73" i="6"/>
  <c r="AI73" i="6"/>
  <c r="AH73" i="6"/>
  <c r="AG73" i="6"/>
  <c r="AF73" i="6"/>
  <c r="AE73" i="6"/>
  <c r="AC73" i="6"/>
  <c r="Z73" i="6"/>
  <c r="Y73" i="6"/>
  <c r="X73" i="6"/>
  <c r="BO72" i="6"/>
  <c r="BN72" i="6"/>
  <c r="BM72" i="6"/>
  <c r="BP72" i="6"/>
  <c r="AZ72" i="6"/>
  <c r="AZ108" i="6"/>
  <c r="S72" i="6"/>
  <c r="Q72" i="6"/>
  <c r="O72" i="6"/>
  <c r="P72" i="6"/>
  <c r="CC71" i="6"/>
  <c r="CB71" i="6"/>
  <c r="CA71" i="6"/>
  <c r="CF71" i="6"/>
  <c r="BT71" i="6"/>
  <c r="BS71" i="6"/>
  <c r="BR71" i="6"/>
  <c r="BO71" i="6"/>
  <c r="BN71" i="6"/>
  <c r="BM71" i="6"/>
  <c r="AZ71" i="6"/>
  <c r="P71" i="6"/>
  <c r="CC70" i="6"/>
  <c r="CB70" i="6"/>
  <c r="CA70" i="6"/>
  <c r="BT70" i="6"/>
  <c r="BS70" i="6"/>
  <c r="BR70" i="6"/>
  <c r="BO70" i="6"/>
  <c r="BN70" i="6"/>
  <c r="BM70" i="6"/>
  <c r="AZ70" i="6"/>
  <c r="P70" i="6"/>
  <c r="CC69" i="6"/>
  <c r="CB69" i="6"/>
  <c r="CA69" i="6"/>
  <c r="BT69" i="6"/>
  <c r="BS69" i="6"/>
  <c r="BR69" i="6"/>
  <c r="BO69" i="6"/>
  <c r="BN69" i="6"/>
  <c r="BM69" i="6"/>
  <c r="BP69" i="6"/>
  <c r="AZ69" i="6"/>
  <c r="P69" i="6"/>
  <c r="BO68" i="6"/>
  <c r="BN68" i="6"/>
  <c r="BM68" i="6"/>
  <c r="BP68" i="6"/>
  <c r="AZ68" i="6"/>
  <c r="AK68" i="6"/>
  <c r="AJ68" i="6"/>
  <c r="AI68" i="6"/>
  <c r="AH68" i="6"/>
  <c r="AG68" i="6"/>
  <c r="AF68" i="6"/>
  <c r="AE68" i="6"/>
  <c r="AC68" i="6"/>
  <c r="Z68" i="6"/>
  <c r="Y68" i="6"/>
  <c r="X68" i="6"/>
  <c r="CJ67" i="6"/>
  <c r="CH67" i="6"/>
  <c r="CG67" i="6"/>
  <c r="CF67" i="6"/>
  <c r="CC67" i="6"/>
  <c r="CB67" i="6"/>
  <c r="CA67" i="6"/>
  <c r="BU67" i="6"/>
  <c r="BS67" i="6"/>
  <c r="BR67" i="6"/>
  <c r="BP67" i="6"/>
  <c r="BQ67" i="6"/>
  <c r="BO67" i="6"/>
  <c r="BN67" i="6"/>
  <c r="BM67" i="6"/>
  <c r="O67" i="6"/>
  <c r="P67" i="6"/>
  <c r="BU66" i="6"/>
  <c r="BV66" i="6"/>
  <c r="BS66" i="6"/>
  <c r="BR66" i="6"/>
  <c r="BP66" i="6"/>
  <c r="BQ66" i="6"/>
  <c r="BO66" i="6"/>
  <c r="BN66" i="6"/>
  <c r="BM66" i="6"/>
  <c r="AZ66" i="6"/>
  <c r="P66" i="6"/>
  <c r="O66" i="6"/>
  <c r="BU65" i="6"/>
  <c r="BV65" i="6"/>
  <c r="BS65" i="6"/>
  <c r="BR65" i="6"/>
  <c r="BP65" i="6"/>
  <c r="BO65" i="6"/>
  <c r="BN65" i="6"/>
  <c r="BM65" i="6"/>
  <c r="AZ65" i="6"/>
  <c r="P65" i="6"/>
  <c r="O65" i="6"/>
  <c r="CD64" i="6"/>
  <c r="CC64" i="6"/>
  <c r="CB64" i="6"/>
  <c r="CA64" i="6"/>
  <c r="CF64" i="6"/>
  <c r="BO64" i="6"/>
  <c r="BN64" i="6"/>
  <c r="BM64" i="6"/>
  <c r="BP64" i="6"/>
  <c r="AU64" i="6"/>
  <c r="BX63" i="6"/>
  <c r="BS63" i="6"/>
  <c r="BR63" i="6"/>
  <c r="BU63" i="6"/>
  <c r="BP63" i="6"/>
  <c r="P63" i="6"/>
  <c r="BO62" i="6"/>
  <c r="BN62" i="6"/>
  <c r="CB62" i="6"/>
  <c r="BM62" i="6"/>
  <c r="CA62" i="6"/>
  <c r="AY62" i="6"/>
  <c r="AX62" i="6"/>
  <c r="AZ62" i="6"/>
  <c r="BO61" i="6"/>
  <c r="CC61" i="6"/>
  <c r="BN61" i="6"/>
  <c r="CB61" i="6"/>
  <c r="BM61" i="6"/>
  <c r="CA61" i="6"/>
  <c r="AY61" i="6"/>
  <c r="AX61" i="6"/>
  <c r="AZ61" i="6"/>
  <c r="BO60" i="6"/>
  <c r="BN60" i="6"/>
  <c r="BM60" i="6"/>
  <c r="AZ60" i="6"/>
  <c r="AY60" i="6"/>
  <c r="AX60" i="6"/>
  <c r="BO59" i="6"/>
  <c r="BN59" i="6"/>
  <c r="BM59" i="6"/>
  <c r="BP59" i="6"/>
  <c r="AY59" i="6"/>
  <c r="AX59" i="6"/>
  <c r="AZ59" i="6"/>
  <c r="CM58" i="6"/>
  <c r="CL58" i="6"/>
  <c r="CN58" i="6"/>
  <c r="CJ58" i="6"/>
  <c r="CD58" i="6"/>
  <c r="CA58" i="6"/>
  <c r="CF58" i="6"/>
  <c r="BX58" i="6"/>
  <c r="BU58" i="6"/>
  <c r="BS58" i="6"/>
  <c r="BR58" i="6"/>
  <c r="BP58" i="6"/>
  <c r="BO58" i="6"/>
  <c r="BO57" i="6"/>
  <c r="BN58" i="6"/>
  <c r="BN57" i="6"/>
  <c r="BM58" i="6"/>
  <c r="BM57" i="6"/>
  <c r="BP57" i="6"/>
  <c r="AZ58" i="6"/>
  <c r="P58" i="6"/>
  <c r="CF57" i="6"/>
  <c r="CD57" i="6"/>
  <c r="CC57" i="6"/>
  <c r="CB57" i="6"/>
  <c r="CA57" i="6"/>
  <c r="BO56" i="6"/>
  <c r="BN56" i="6"/>
  <c r="BM56" i="6"/>
  <c r="BP56" i="6"/>
  <c r="BO55" i="6"/>
  <c r="AX55" i="6"/>
  <c r="AW55" i="6"/>
  <c r="BO54" i="6"/>
  <c r="AZ54" i="6"/>
  <c r="AX54" i="6"/>
  <c r="AW54" i="6"/>
  <c r="CF53" i="6"/>
  <c r="CD53" i="6"/>
  <c r="CC53" i="6"/>
  <c r="CB53" i="6"/>
  <c r="CA53" i="6"/>
  <c r="BO53" i="6"/>
  <c r="BN53" i="6"/>
  <c r="BM53" i="6"/>
  <c r="CJ52" i="6"/>
  <c r="CH52" i="6"/>
  <c r="CG52" i="6"/>
  <c r="CC52" i="6"/>
  <c r="CB52" i="6"/>
  <c r="CA52" i="6"/>
  <c r="BO52" i="6"/>
  <c r="BN52" i="6"/>
  <c r="BM52" i="6"/>
  <c r="AY52" i="6"/>
  <c r="AX52" i="6"/>
  <c r="AW52" i="6"/>
  <c r="AZ52" i="6"/>
  <c r="BP50" i="6"/>
  <c r="BO50" i="6"/>
  <c r="BN50" i="6"/>
  <c r="AZ50" i="6"/>
  <c r="BO49" i="6"/>
  <c r="AZ49" i="6"/>
  <c r="AX49" i="6"/>
  <c r="AW49" i="6"/>
  <c r="CF48" i="6"/>
  <c r="CD48" i="6"/>
  <c r="CC48" i="6"/>
  <c r="CB48" i="6"/>
  <c r="CA48" i="6"/>
  <c r="BP48" i="6"/>
  <c r="BO48" i="6"/>
  <c r="BN48" i="6"/>
  <c r="BM48" i="6"/>
  <c r="BP47" i="6"/>
  <c r="AZ47" i="6"/>
  <c r="AX47" i="6"/>
  <c r="AW47" i="6"/>
  <c r="P47" i="6"/>
  <c r="BP46" i="6"/>
  <c r="AZ46" i="6"/>
  <c r="AX46" i="6"/>
  <c r="AW46" i="6"/>
  <c r="P46" i="6"/>
  <c r="CF45" i="6"/>
  <c r="CC45" i="6"/>
  <c r="CB45" i="6"/>
  <c r="BO45" i="6"/>
  <c r="BN45" i="6"/>
  <c r="BP45" i="6"/>
  <c r="AZ45" i="6"/>
  <c r="AY45" i="6"/>
  <c r="AX45" i="6"/>
  <c r="AW45" i="6"/>
  <c r="S45" i="6"/>
  <c r="P45" i="6"/>
  <c r="CC44" i="6"/>
  <c r="CB44" i="6"/>
  <c r="CF44" i="6"/>
  <c r="BO44" i="6"/>
  <c r="BN44" i="6"/>
  <c r="BP44" i="6"/>
  <c r="AW44" i="6"/>
  <c r="P44" i="6"/>
  <c r="CC43" i="6"/>
  <c r="CB43" i="6"/>
  <c r="CF43" i="6"/>
  <c r="BO43" i="6"/>
  <c r="BN43" i="6"/>
  <c r="BP43" i="6"/>
  <c r="AZ43" i="6"/>
  <c r="AY43" i="6"/>
  <c r="AX43" i="6"/>
  <c r="AW43" i="6"/>
  <c r="S43" i="6"/>
  <c r="P43" i="6"/>
  <c r="CD42" i="6"/>
  <c r="BP42" i="6"/>
  <c r="BP41" i="6"/>
  <c r="CD40" i="6"/>
  <c r="BP40" i="6"/>
  <c r="AZ40" i="6"/>
  <c r="AX40" i="6"/>
  <c r="AW40" i="6"/>
  <c r="P40" i="6"/>
  <c r="BU39" i="6"/>
  <c r="BP39" i="6"/>
  <c r="BQ39" i="6"/>
  <c r="AZ39" i="6"/>
  <c r="BU38" i="6"/>
  <c r="BV38" i="6"/>
  <c r="BZ38" i="6"/>
  <c r="BP38" i="6"/>
  <c r="AZ38" i="6"/>
  <c r="BU37" i="6"/>
  <c r="BP37" i="6"/>
  <c r="BQ37" i="6"/>
  <c r="AZ37" i="6"/>
  <c r="BT36" i="6"/>
  <c r="BS36" i="6"/>
  <c r="BR36" i="6"/>
  <c r="BU36" i="6"/>
  <c r="BP36" i="6"/>
  <c r="AX36" i="6"/>
  <c r="AZ36" i="6"/>
  <c r="P36" i="6"/>
  <c r="BP35" i="6"/>
  <c r="AW35" i="6"/>
  <c r="AY35" i="6"/>
  <c r="S35" i="6"/>
  <c r="CD34" i="6"/>
  <c r="BS34" i="6"/>
  <c r="BU34" i="6"/>
  <c r="BR34" i="6"/>
  <c r="BO34" i="6"/>
  <c r="BN34" i="6"/>
  <c r="BM34" i="6"/>
  <c r="AZ34" i="6"/>
  <c r="AD34" i="6"/>
  <c r="P34" i="6"/>
  <c r="CD33" i="6"/>
  <c r="BS33" i="6"/>
  <c r="BR33" i="6"/>
  <c r="BU33" i="6"/>
  <c r="BO33" i="6"/>
  <c r="BN33" i="6"/>
  <c r="BM33" i="6"/>
  <c r="BP33" i="6"/>
  <c r="AZ33" i="6"/>
  <c r="AD33" i="6"/>
  <c r="P33" i="6"/>
  <c r="CD32" i="6"/>
  <c r="BS32" i="6"/>
  <c r="BR32" i="6"/>
  <c r="BU32" i="6"/>
  <c r="BO32" i="6"/>
  <c r="BN32" i="6"/>
  <c r="BM32" i="6"/>
  <c r="BP32" i="6"/>
  <c r="AZ32" i="6"/>
  <c r="AD32" i="6"/>
  <c r="P32" i="6"/>
  <c r="CF31" i="6"/>
  <c r="BT31" i="6"/>
  <c r="BS31" i="6"/>
  <c r="BU31" i="6"/>
  <c r="BR31" i="6"/>
  <c r="BO31" i="6"/>
  <c r="BP31" i="6"/>
  <c r="BN31" i="6"/>
  <c r="BM31" i="6"/>
  <c r="P31" i="6"/>
  <c r="CF30" i="6"/>
  <c r="BT30" i="6"/>
  <c r="BS30" i="6"/>
  <c r="BR30" i="6"/>
  <c r="BO30" i="6"/>
  <c r="BN30" i="6"/>
  <c r="BM30" i="6"/>
  <c r="BP30" i="6"/>
  <c r="P30" i="6"/>
  <c r="CO29" i="6"/>
  <c r="BV29" i="6"/>
  <c r="BZ29" i="6"/>
  <c r="P29" i="6"/>
  <c r="CO28" i="6"/>
  <c r="BV28" i="6"/>
  <c r="BZ28" i="6"/>
  <c r="P28" i="6"/>
  <c r="CO27" i="6"/>
  <c r="BV27" i="6"/>
  <c r="BZ27" i="6"/>
  <c r="P27" i="6"/>
  <c r="CO26" i="6"/>
  <c r="BV26" i="6"/>
  <c r="BZ26" i="6"/>
  <c r="P26" i="6"/>
  <c r="BP25" i="6"/>
  <c r="AX25" i="6"/>
  <c r="AZ25" i="6"/>
  <c r="AW25" i="6"/>
  <c r="S25" i="6"/>
  <c r="P25" i="6"/>
  <c r="AZ24" i="6"/>
  <c r="AZ23" i="6"/>
  <c r="AZ22" i="6"/>
  <c r="AX21" i="6"/>
  <c r="AZ21" i="6"/>
  <c r="P21" i="6"/>
  <c r="O21" i="6"/>
  <c r="BU20" i="6"/>
  <c r="BV20" i="6"/>
  <c r="BP20" i="6"/>
  <c r="Q20" i="6"/>
  <c r="O20" i="6"/>
  <c r="P20" i="6"/>
  <c r="BU19" i="6"/>
  <c r="BP19" i="6"/>
  <c r="BV19" i="6"/>
  <c r="Q19" i="6"/>
  <c r="O19" i="6"/>
  <c r="P19" i="6"/>
  <c r="BU18" i="6"/>
  <c r="BP18" i="6"/>
  <c r="Q18" i="6"/>
  <c r="O18" i="6"/>
  <c r="P18" i="6"/>
  <c r="BU17" i="6"/>
  <c r="BP17" i="6"/>
  <c r="Q17" i="6"/>
  <c r="P17" i="6"/>
  <c r="O17" i="6"/>
  <c r="BP16" i="6"/>
  <c r="AZ16" i="6"/>
  <c r="O16" i="6"/>
  <c r="CM15" i="6"/>
  <c r="CL15" i="6"/>
  <c r="CN15" i="6"/>
  <c r="CJ15" i="6"/>
  <c r="CF15" i="6"/>
  <c r="BZ15" i="6"/>
  <c r="AC15" i="6"/>
  <c r="Q15" i="6"/>
  <c r="P15" i="6"/>
  <c r="CD14" i="6"/>
  <c r="BR14" i="6"/>
  <c r="BP14" i="6"/>
  <c r="BQ14" i="6"/>
  <c r="BL14" i="6"/>
  <c r="BK14" i="6"/>
  <c r="Q14" i="6"/>
  <c r="P14" i="6"/>
  <c r="CD13" i="6"/>
  <c r="BR13" i="6"/>
  <c r="BP13" i="6"/>
  <c r="BL13" i="6"/>
  <c r="BK13" i="6"/>
  <c r="Q13" i="6"/>
  <c r="P13" i="6"/>
  <c r="CD12" i="6"/>
  <c r="BR12" i="6"/>
  <c r="BP12" i="6"/>
  <c r="BL12" i="6"/>
  <c r="BK12" i="6"/>
  <c r="Q12" i="6"/>
  <c r="P12" i="6"/>
  <c r="BT11" i="6"/>
  <c r="BR11" i="6"/>
  <c r="BO11" i="6"/>
  <c r="BP11" i="6"/>
  <c r="BN11" i="6"/>
  <c r="BM11" i="6"/>
  <c r="AX11" i="6"/>
  <c r="AZ11" i="6"/>
  <c r="P11" i="6"/>
  <c r="BT10" i="6"/>
  <c r="BR10" i="6"/>
  <c r="BO10" i="6"/>
  <c r="BP10" i="6"/>
  <c r="BN10" i="6"/>
  <c r="BM10" i="6"/>
  <c r="AX10" i="6"/>
  <c r="AZ10" i="6"/>
  <c r="P10" i="6"/>
  <c r="CI9" i="6"/>
  <c r="CH9" i="6"/>
  <c r="CG9" i="6"/>
  <c r="CC9" i="6"/>
  <c r="CB9" i="6"/>
  <c r="CA9" i="6"/>
  <c r="BT9" i="6"/>
  <c r="BS9" i="6"/>
  <c r="BR9" i="6"/>
  <c r="BU9" i="6"/>
  <c r="BO9" i="6"/>
  <c r="BN9" i="6"/>
  <c r="BM9" i="6"/>
  <c r="BP9" i="6"/>
  <c r="AX9" i="6"/>
  <c r="AZ9" i="6"/>
  <c r="S9" i="6"/>
  <c r="P9" i="6"/>
  <c r="BT8" i="6"/>
  <c r="BR8" i="6"/>
  <c r="BU8" i="6"/>
  <c r="BO8" i="6"/>
  <c r="BN8" i="6"/>
  <c r="BM8" i="6"/>
  <c r="AX8" i="6"/>
  <c r="AZ8" i="6"/>
  <c r="P8" i="6"/>
  <c r="BS7" i="6"/>
  <c r="BR7" i="6"/>
  <c r="BO7" i="6"/>
  <c r="BP7" i="6"/>
  <c r="BN7" i="6"/>
  <c r="P7" i="6"/>
  <c r="CD6" i="6"/>
  <c r="CC6" i="6"/>
  <c r="BU6" i="6"/>
  <c r="BV6" i="6"/>
  <c r="BP6" i="6"/>
  <c r="AV6" i="6"/>
  <c r="AU6" i="6"/>
  <c r="AT6" i="6"/>
  <c r="AQ6" i="6"/>
  <c r="P6" i="6"/>
  <c r="BS5" i="6"/>
  <c r="BR5" i="6"/>
  <c r="BU5" i="6"/>
  <c r="BO5" i="6"/>
  <c r="BN5" i="6"/>
  <c r="BP5" i="6"/>
  <c r="P5" i="6"/>
  <c r="BS4" i="6"/>
  <c r="BR4" i="6"/>
  <c r="BO4" i="6"/>
  <c r="BN4" i="6"/>
  <c r="P4" i="6"/>
  <c r="BF108" i="5"/>
  <c r="BE108" i="5"/>
  <c r="BD108" i="5"/>
  <c r="AX108" i="5"/>
  <c r="AW108" i="5"/>
  <c r="AX107" i="5"/>
  <c r="AW107" i="5"/>
  <c r="P107" i="5"/>
  <c r="BU105" i="5"/>
  <c r="BQ105" i="5"/>
  <c r="AZ105" i="5"/>
  <c r="AK105" i="5"/>
  <c r="AJ105" i="5"/>
  <c r="AI105" i="5"/>
  <c r="AH105" i="5"/>
  <c r="AG105" i="5"/>
  <c r="AF105" i="5"/>
  <c r="AC105" i="5"/>
  <c r="Z105" i="5"/>
  <c r="Y105" i="5"/>
  <c r="P105" i="5"/>
  <c r="BP104" i="5"/>
  <c r="BO104" i="5"/>
  <c r="BN104" i="5"/>
  <c r="BM104" i="5"/>
  <c r="BP103" i="5"/>
  <c r="BO103" i="5"/>
  <c r="BN103" i="5"/>
  <c r="BM103" i="5"/>
  <c r="BP102" i="5"/>
  <c r="BO102" i="5"/>
  <c r="BN102" i="5"/>
  <c r="BM102" i="5"/>
  <c r="AZ102" i="5"/>
  <c r="CL101" i="5"/>
  <c r="AZ101" i="5"/>
  <c r="S101" i="5"/>
  <c r="P101" i="5"/>
  <c r="CL100" i="5"/>
  <c r="AZ100" i="5"/>
  <c r="S100" i="5"/>
  <c r="P100" i="5"/>
  <c r="CO99" i="5"/>
  <c r="CL99" i="5"/>
  <c r="CF99" i="5"/>
  <c r="AZ99" i="5"/>
  <c r="S99" i="5"/>
  <c r="P99" i="5"/>
  <c r="BU98" i="5"/>
  <c r="BP98" i="5"/>
  <c r="BV98" i="5"/>
  <c r="BZ98" i="5"/>
  <c r="AZ98" i="5"/>
  <c r="S98" i="5"/>
  <c r="P98" i="5"/>
  <c r="BU97" i="5"/>
  <c r="BP97" i="5"/>
  <c r="CF97" i="5"/>
  <c r="AZ97" i="5"/>
  <c r="S97" i="5"/>
  <c r="P97" i="5"/>
  <c r="BU96" i="5"/>
  <c r="BP96" i="5"/>
  <c r="BQ96" i="5"/>
  <c r="AZ96" i="5"/>
  <c r="S96" i="5"/>
  <c r="P96" i="5"/>
  <c r="BU95" i="5"/>
  <c r="BQ95" i="5"/>
  <c r="BP95" i="5"/>
  <c r="AZ95" i="5"/>
  <c r="S95" i="5"/>
  <c r="P95" i="5"/>
  <c r="CM94" i="5"/>
  <c r="CN94" i="5"/>
  <c r="CL94" i="5"/>
  <c r="AZ94" i="5"/>
  <c r="AK94" i="5"/>
  <c r="AJ94" i="5"/>
  <c r="AI94" i="5"/>
  <c r="S94" i="5"/>
  <c r="P94" i="5"/>
  <c r="CM93" i="5"/>
  <c r="CL93" i="5"/>
  <c r="AZ93" i="5"/>
  <c r="AK93" i="5"/>
  <c r="AJ93" i="5"/>
  <c r="AI93" i="5"/>
  <c r="S93" i="5"/>
  <c r="P93" i="5"/>
  <c r="CM92" i="5"/>
  <c r="CL92" i="5"/>
  <c r="CN92" i="5"/>
  <c r="AZ92" i="5"/>
  <c r="AK92" i="5"/>
  <c r="AJ92" i="5"/>
  <c r="AI92" i="5"/>
  <c r="S92" i="5"/>
  <c r="P92" i="5"/>
  <c r="CM91" i="5"/>
  <c r="CL91" i="5"/>
  <c r="CN91" i="5"/>
  <c r="AZ91" i="5"/>
  <c r="AK91" i="5"/>
  <c r="AJ91" i="5"/>
  <c r="AI91" i="5"/>
  <c r="Y91" i="5"/>
  <c r="S91" i="5"/>
  <c r="P91" i="5"/>
  <c r="AY90" i="5"/>
  <c r="AX90" i="5"/>
  <c r="P90" i="5"/>
  <c r="CD89" i="5"/>
  <c r="CF89" i="5"/>
  <c r="CK89" i="5"/>
  <c r="BY89" i="5"/>
  <c r="BU89" i="5"/>
  <c r="BP89" i="5"/>
  <c r="BV89" i="5"/>
  <c r="BS89" i="5"/>
  <c r="S89" i="5"/>
  <c r="P89" i="5"/>
  <c r="BY88" i="5"/>
  <c r="BX88" i="5"/>
  <c r="BZ88" i="5"/>
  <c r="BP88" i="5"/>
  <c r="BU88" i="5"/>
  <c r="AW88" i="5"/>
  <c r="AZ88" i="5"/>
  <c r="P88" i="5"/>
  <c r="BY87" i="5"/>
  <c r="BX87" i="5"/>
  <c r="BZ87" i="5"/>
  <c r="BP87" i="5"/>
  <c r="BU87" i="5"/>
  <c r="AW87" i="5"/>
  <c r="AZ87" i="5"/>
  <c r="P87" i="5"/>
  <c r="BY86" i="5"/>
  <c r="BX86" i="5"/>
  <c r="BP86" i="5"/>
  <c r="BU86" i="5"/>
  <c r="AW86" i="5"/>
  <c r="AZ86" i="5"/>
  <c r="P86" i="5"/>
  <c r="BY85" i="5"/>
  <c r="BX85" i="5"/>
  <c r="BP85" i="5"/>
  <c r="BU85" i="5"/>
  <c r="AZ85" i="5"/>
  <c r="AW85" i="5"/>
  <c r="P85" i="5"/>
  <c r="CN84" i="5"/>
  <c r="CJ84" i="5"/>
  <c r="CF84" i="5"/>
  <c r="CE84" i="5"/>
  <c r="BU84" i="5"/>
  <c r="BV84" i="5"/>
  <c r="BZ84" i="5"/>
  <c r="BP84" i="5"/>
  <c r="BQ84" i="5"/>
  <c r="BL84" i="5"/>
  <c r="P84" i="5"/>
  <c r="CN83" i="5"/>
  <c r="CJ83" i="5"/>
  <c r="CF83" i="5"/>
  <c r="CK83" i="5"/>
  <c r="CO83" i="5"/>
  <c r="CE83" i="5"/>
  <c r="BP83" i="5"/>
  <c r="BL83" i="5"/>
  <c r="AZ83" i="5"/>
  <c r="P83" i="5"/>
  <c r="CF82" i="5"/>
  <c r="AZ82" i="5"/>
  <c r="P82" i="5"/>
  <c r="AZ81" i="5"/>
  <c r="P81" i="5"/>
  <c r="CC80" i="5"/>
  <c r="CB80" i="5"/>
  <c r="CA80" i="5"/>
  <c r="BU80" i="5"/>
  <c r="BQ80" i="5"/>
  <c r="BT80" i="5"/>
  <c r="BS80" i="5"/>
  <c r="BR80" i="5"/>
  <c r="BO80" i="5"/>
  <c r="BN80" i="5"/>
  <c r="BM80" i="5"/>
  <c r="BP80" i="5"/>
  <c r="AZ80" i="5"/>
  <c r="P80" i="5"/>
  <c r="CC79" i="5"/>
  <c r="CB79" i="5"/>
  <c r="CA79" i="5"/>
  <c r="CF79" i="5"/>
  <c r="BT79" i="5"/>
  <c r="BS79" i="5"/>
  <c r="BR79" i="5"/>
  <c r="BU79" i="5"/>
  <c r="BV79" i="5"/>
  <c r="BO79" i="5"/>
  <c r="BN79" i="5"/>
  <c r="BM79" i="5"/>
  <c r="BP79" i="5"/>
  <c r="AZ79" i="5"/>
  <c r="P79" i="5"/>
  <c r="BO78" i="5"/>
  <c r="BN78" i="5"/>
  <c r="BM78" i="5"/>
  <c r="BP78" i="5"/>
  <c r="AZ78" i="5"/>
  <c r="S78" i="5"/>
  <c r="Q78" i="5"/>
  <c r="P78" i="5"/>
  <c r="O78" i="5"/>
  <c r="BO77" i="5"/>
  <c r="BP77" i="5"/>
  <c r="BN77" i="5"/>
  <c r="BM77" i="5"/>
  <c r="AZ77" i="5"/>
  <c r="S77" i="5"/>
  <c r="Q77" i="5"/>
  <c r="O77" i="5"/>
  <c r="P77" i="5"/>
  <c r="CF76" i="5"/>
  <c r="AZ76" i="5"/>
  <c r="CF75" i="5"/>
  <c r="AZ75" i="5"/>
  <c r="CF74" i="5"/>
  <c r="AZ74" i="5"/>
  <c r="CF73" i="5"/>
  <c r="BU73" i="5"/>
  <c r="BO73" i="5"/>
  <c r="BN73" i="5"/>
  <c r="BM73" i="5"/>
  <c r="BP73" i="5"/>
  <c r="AZ73" i="5"/>
  <c r="AK73" i="5"/>
  <c r="AJ73" i="5"/>
  <c r="AI73" i="5"/>
  <c r="AH73" i="5"/>
  <c r="AG73" i="5"/>
  <c r="AF73" i="5"/>
  <c r="AE73" i="5"/>
  <c r="AC73" i="5"/>
  <c r="Z73" i="5"/>
  <c r="Y73" i="5"/>
  <c r="X73" i="5"/>
  <c r="BO72" i="5"/>
  <c r="BP72" i="5"/>
  <c r="BN72" i="5"/>
  <c r="BM72" i="5"/>
  <c r="AZ72" i="5"/>
  <c r="S72" i="5"/>
  <c r="Q72" i="5"/>
  <c r="O72" i="5"/>
  <c r="P72" i="5"/>
  <c r="CC71" i="5"/>
  <c r="CB71" i="5"/>
  <c r="CA71" i="5"/>
  <c r="CF71" i="5"/>
  <c r="BT71" i="5"/>
  <c r="BS71" i="5"/>
  <c r="BR71" i="5"/>
  <c r="BO71" i="5"/>
  <c r="BN71" i="5"/>
  <c r="BM71" i="5"/>
  <c r="BP71" i="5"/>
  <c r="AZ71" i="5"/>
  <c r="P71" i="5"/>
  <c r="CC70" i="5"/>
  <c r="CB70" i="5"/>
  <c r="CA70" i="5"/>
  <c r="CF70" i="5"/>
  <c r="BT70" i="5"/>
  <c r="BS70" i="5"/>
  <c r="BU70" i="5"/>
  <c r="BR70" i="5"/>
  <c r="BO70" i="5"/>
  <c r="BN70" i="5"/>
  <c r="BM70" i="5"/>
  <c r="BP70" i="5"/>
  <c r="AZ70" i="5"/>
  <c r="P70" i="5"/>
  <c r="CC69" i="5"/>
  <c r="CB69" i="5"/>
  <c r="CA69" i="5"/>
  <c r="BT69" i="5"/>
  <c r="BS69" i="5"/>
  <c r="BR69" i="5"/>
  <c r="BO69" i="5"/>
  <c r="BN69" i="5"/>
  <c r="BM69" i="5"/>
  <c r="AZ69" i="5"/>
  <c r="P69" i="5"/>
  <c r="BO68" i="5"/>
  <c r="BN68" i="5"/>
  <c r="BM68" i="5"/>
  <c r="BP68" i="5"/>
  <c r="AZ68" i="5"/>
  <c r="AK68" i="5"/>
  <c r="AJ68" i="5"/>
  <c r="AI68" i="5"/>
  <c r="AH68" i="5"/>
  <c r="AG68" i="5"/>
  <c r="AF68" i="5"/>
  <c r="AE68" i="5"/>
  <c r="AC68" i="5"/>
  <c r="Z68" i="5"/>
  <c r="Y68" i="5"/>
  <c r="X68" i="5"/>
  <c r="CJ67" i="5"/>
  <c r="CH67" i="5"/>
  <c r="CG67" i="5"/>
  <c r="CF67" i="5"/>
  <c r="CK67" i="5"/>
  <c r="CC67" i="5"/>
  <c r="CB67" i="5"/>
  <c r="CA67" i="5"/>
  <c r="BU67" i="5"/>
  <c r="BS67" i="5"/>
  <c r="BR67" i="5"/>
  <c r="BP67" i="5"/>
  <c r="BO67" i="5"/>
  <c r="BN67" i="5"/>
  <c r="BM67" i="5"/>
  <c r="P67" i="5"/>
  <c r="O67" i="5"/>
  <c r="BU66" i="5"/>
  <c r="BV66" i="5"/>
  <c r="BS66" i="5"/>
  <c r="BR66" i="5"/>
  <c r="BP66" i="5"/>
  <c r="BQ66" i="5"/>
  <c r="BO66" i="5"/>
  <c r="BN66" i="5"/>
  <c r="BM66" i="5"/>
  <c r="AZ66" i="5"/>
  <c r="O66" i="5"/>
  <c r="P66" i="5"/>
  <c r="BU65" i="5"/>
  <c r="BV65" i="5"/>
  <c r="BS65" i="5"/>
  <c r="BR65" i="5"/>
  <c r="BP65" i="5"/>
  <c r="BO65" i="5"/>
  <c r="BN65" i="5"/>
  <c r="BM65" i="5"/>
  <c r="AZ65" i="5"/>
  <c r="P65" i="5"/>
  <c r="O65" i="5"/>
  <c r="CD64" i="5"/>
  <c r="CC64" i="5"/>
  <c r="CB64" i="5"/>
  <c r="CA64" i="5"/>
  <c r="BO64" i="5"/>
  <c r="BN64" i="5"/>
  <c r="BM64" i="5"/>
  <c r="AU64" i="5"/>
  <c r="BX63" i="5"/>
  <c r="BS63" i="5"/>
  <c r="BR63" i="5"/>
  <c r="BP63" i="5"/>
  <c r="P63" i="5"/>
  <c r="BO62" i="5"/>
  <c r="BN62" i="5"/>
  <c r="BM62" i="5"/>
  <c r="AY62" i="5"/>
  <c r="AX62" i="5"/>
  <c r="AZ62" i="5"/>
  <c r="BO61" i="5"/>
  <c r="BN61" i="5"/>
  <c r="CB61" i="5"/>
  <c r="BM61" i="5"/>
  <c r="CA61" i="5"/>
  <c r="AY61" i="5"/>
  <c r="AX61" i="5"/>
  <c r="AZ61" i="5"/>
  <c r="BO60" i="5"/>
  <c r="BN60" i="5"/>
  <c r="BM60" i="5"/>
  <c r="AZ60" i="5"/>
  <c r="AY60" i="5"/>
  <c r="AX60" i="5"/>
  <c r="BO59" i="5"/>
  <c r="BP59" i="5"/>
  <c r="BN59" i="5"/>
  <c r="BM59" i="5"/>
  <c r="AZ59" i="5"/>
  <c r="AY59" i="5"/>
  <c r="AX59" i="5"/>
  <c r="CM58" i="5"/>
  <c r="CL58" i="5"/>
  <c r="CN58" i="5"/>
  <c r="CJ58" i="5"/>
  <c r="CD58" i="5"/>
  <c r="CA58" i="5"/>
  <c r="CF58" i="5"/>
  <c r="BX58" i="5"/>
  <c r="BS58" i="5"/>
  <c r="BR58" i="5"/>
  <c r="BU58" i="5"/>
  <c r="BO58" i="5"/>
  <c r="BN58" i="5"/>
  <c r="BN57" i="5"/>
  <c r="BM58" i="5"/>
  <c r="BP58" i="5"/>
  <c r="AZ58" i="5"/>
  <c r="P58" i="5"/>
  <c r="CF57" i="5"/>
  <c r="CD57" i="5"/>
  <c r="CC57" i="5"/>
  <c r="CB57" i="5"/>
  <c r="CA57" i="5"/>
  <c r="BO57" i="5"/>
  <c r="BM57" i="5"/>
  <c r="BO56" i="5"/>
  <c r="BN56" i="5"/>
  <c r="BM56" i="5"/>
  <c r="BO55" i="5"/>
  <c r="BO53" i="5"/>
  <c r="AX55" i="5"/>
  <c r="AW55" i="5"/>
  <c r="BO54" i="5"/>
  <c r="AZ54" i="5"/>
  <c r="AX54" i="5"/>
  <c r="AW54" i="5"/>
  <c r="CF53" i="5"/>
  <c r="CD53" i="5"/>
  <c r="CC53" i="5"/>
  <c r="CB53" i="5"/>
  <c r="CA53" i="5"/>
  <c r="BN53" i="5"/>
  <c r="BM53" i="5"/>
  <c r="CH52" i="5"/>
  <c r="CG52" i="5"/>
  <c r="CJ52" i="5"/>
  <c r="CC52" i="5"/>
  <c r="CB52" i="5"/>
  <c r="CA52" i="5"/>
  <c r="CD52" i="5"/>
  <c r="CE52" i="5"/>
  <c r="BO52" i="5"/>
  <c r="BN52" i="5"/>
  <c r="BM52" i="5"/>
  <c r="BP52" i="5"/>
  <c r="AY52" i="5"/>
  <c r="AX52" i="5"/>
  <c r="AW52" i="5"/>
  <c r="BP50" i="5"/>
  <c r="BO50" i="5"/>
  <c r="BN50" i="5"/>
  <c r="AZ50" i="5"/>
  <c r="BO49" i="5"/>
  <c r="AZ49" i="5"/>
  <c r="AX49" i="5"/>
  <c r="AW49" i="5"/>
  <c r="CF48" i="5"/>
  <c r="CD48" i="5"/>
  <c r="CC48" i="5"/>
  <c r="CB48" i="5"/>
  <c r="CA48" i="5"/>
  <c r="BP48" i="5"/>
  <c r="BO48" i="5"/>
  <c r="BN48" i="5"/>
  <c r="BM48" i="5"/>
  <c r="BP47" i="5"/>
  <c r="AZ47" i="5"/>
  <c r="AX47" i="5"/>
  <c r="AW47" i="5"/>
  <c r="P47" i="5"/>
  <c r="BP46" i="5"/>
  <c r="AZ46" i="5"/>
  <c r="AX46" i="5"/>
  <c r="AW46" i="5"/>
  <c r="P46" i="5"/>
  <c r="CC45" i="5"/>
  <c r="CB45" i="5"/>
  <c r="CF45" i="5"/>
  <c r="BO45" i="5"/>
  <c r="BN45" i="5"/>
  <c r="AZ45" i="5"/>
  <c r="AY45" i="5"/>
  <c r="AX45" i="5"/>
  <c r="AW45" i="5"/>
  <c r="S45" i="5"/>
  <c r="P45" i="5"/>
  <c r="CC44" i="5"/>
  <c r="CB44" i="5"/>
  <c r="CF44" i="5"/>
  <c r="BO44" i="5"/>
  <c r="BN44" i="5"/>
  <c r="AW44" i="5"/>
  <c r="P44" i="5"/>
  <c r="CF43" i="5"/>
  <c r="CC43" i="5"/>
  <c r="CB43" i="5"/>
  <c r="BO43" i="5"/>
  <c r="BN43" i="5"/>
  <c r="AZ43" i="5"/>
  <c r="AY43" i="5"/>
  <c r="AX43" i="5"/>
  <c r="AW43" i="5"/>
  <c r="S43" i="5"/>
  <c r="P43" i="5"/>
  <c r="CD42" i="5"/>
  <c r="BP42" i="5"/>
  <c r="BP41" i="5"/>
  <c r="CD40" i="5"/>
  <c r="BP40" i="5"/>
  <c r="AX40" i="5"/>
  <c r="AW40" i="5"/>
  <c r="P40" i="5"/>
  <c r="BU39" i="5"/>
  <c r="BP39" i="5"/>
  <c r="BQ39" i="5"/>
  <c r="AZ39" i="5"/>
  <c r="BU38" i="5"/>
  <c r="BQ38" i="5"/>
  <c r="BP38" i="5"/>
  <c r="AZ38" i="5"/>
  <c r="BU37" i="5"/>
  <c r="BV37" i="5"/>
  <c r="BZ37" i="5"/>
  <c r="BP37" i="5"/>
  <c r="AZ37" i="5"/>
  <c r="BU36" i="5"/>
  <c r="BV36" i="5"/>
  <c r="BT36" i="5"/>
  <c r="BS36" i="5"/>
  <c r="BR36" i="5"/>
  <c r="BP36" i="5"/>
  <c r="AX36" i="5"/>
  <c r="AZ36" i="5"/>
  <c r="P36" i="5"/>
  <c r="BP35" i="5"/>
  <c r="AW35" i="5"/>
  <c r="AY35" i="5"/>
  <c r="S35" i="5"/>
  <c r="CD34" i="5"/>
  <c r="BS34" i="5"/>
  <c r="BR34" i="5"/>
  <c r="BU34" i="5"/>
  <c r="BO34" i="5"/>
  <c r="BN34" i="5"/>
  <c r="BM34" i="5"/>
  <c r="BP34" i="5"/>
  <c r="AZ34" i="5"/>
  <c r="AD34" i="5"/>
  <c r="P34" i="5"/>
  <c r="CD33" i="5"/>
  <c r="BS33" i="5"/>
  <c r="BR33" i="5"/>
  <c r="BO33" i="5"/>
  <c r="BN33" i="5"/>
  <c r="BM33" i="5"/>
  <c r="AZ33" i="5"/>
  <c r="AD33" i="5"/>
  <c r="P33" i="5"/>
  <c r="CD32" i="5"/>
  <c r="BS32" i="5"/>
  <c r="BR32" i="5"/>
  <c r="BU32" i="5"/>
  <c r="BO32" i="5"/>
  <c r="BN32" i="5"/>
  <c r="BM32" i="5"/>
  <c r="AZ32" i="5"/>
  <c r="AD32" i="5"/>
  <c r="P32" i="5"/>
  <c r="CF31" i="5"/>
  <c r="BT31" i="5"/>
  <c r="BS31" i="5"/>
  <c r="BR31" i="5"/>
  <c r="BU31" i="5"/>
  <c r="BO31" i="5"/>
  <c r="BN31" i="5"/>
  <c r="BM31" i="5"/>
  <c r="BP31" i="5"/>
  <c r="P31" i="5"/>
  <c r="CF30" i="5"/>
  <c r="BT30" i="5"/>
  <c r="BS30" i="5"/>
  <c r="BR30" i="5"/>
  <c r="BO30" i="5"/>
  <c r="BP30" i="5"/>
  <c r="BN30" i="5"/>
  <c r="BM30" i="5"/>
  <c r="P30" i="5"/>
  <c r="CO29" i="5"/>
  <c r="BV29" i="5"/>
  <c r="BZ29" i="5"/>
  <c r="P29" i="5"/>
  <c r="CO28" i="5"/>
  <c r="BV28" i="5"/>
  <c r="BZ28" i="5"/>
  <c r="P28" i="5"/>
  <c r="CO27" i="5"/>
  <c r="BV27" i="5"/>
  <c r="BZ27" i="5"/>
  <c r="P27" i="5"/>
  <c r="CO26" i="5"/>
  <c r="BV26" i="5"/>
  <c r="BZ26" i="5"/>
  <c r="P26" i="5"/>
  <c r="BP25" i="5"/>
  <c r="AX25" i="5"/>
  <c r="AW25" i="5"/>
  <c r="S25" i="5"/>
  <c r="P25" i="5"/>
  <c r="AZ24" i="5"/>
  <c r="AZ23" i="5"/>
  <c r="AZ22" i="5"/>
  <c r="AX21" i="5"/>
  <c r="AZ21" i="5"/>
  <c r="O21" i="5"/>
  <c r="P21" i="5"/>
  <c r="BU20" i="5"/>
  <c r="BV20" i="5"/>
  <c r="BQ20" i="5"/>
  <c r="BP20" i="5"/>
  <c r="Q20" i="5"/>
  <c r="O20" i="5"/>
  <c r="P20" i="5"/>
  <c r="BU19" i="5"/>
  <c r="BV19" i="5"/>
  <c r="BP19" i="5"/>
  <c r="Q19" i="5"/>
  <c r="O19" i="5"/>
  <c r="P19" i="5"/>
  <c r="BU18" i="5"/>
  <c r="BV18" i="5"/>
  <c r="BP18" i="5"/>
  <c r="BQ18" i="5"/>
  <c r="Q18" i="5"/>
  <c r="O18" i="5"/>
  <c r="P18" i="5"/>
  <c r="BU17" i="5"/>
  <c r="BP17" i="5"/>
  <c r="Q17" i="5"/>
  <c r="O17" i="5"/>
  <c r="P17" i="5"/>
  <c r="BP16" i="5"/>
  <c r="AZ16" i="5"/>
  <c r="O16" i="5"/>
  <c r="CM15" i="5"/>
  <c r="CL15" i="5"/>
  <c r="CN15" i="5"/>
  <c r="CJ15" i="5"/>
  <c r="CF15" i="5"/>
  <c r="BZ15" i="5"/>
  <c r="AC15" i="5"/>
  <c r="Q15" i="5"/>
  <c r="P15" i="5"/>
  <c r="CD14" i="5"/>
  <c r="BR14" i="5"/>
  <c r="BP14" i="5"/>
  <c r="BQ14" i="5"/>
  <c r="BL14" i="5"/>
  <c r="BK14" i="5"/>
  <c r="Q14" i="5"/>
  <c r="P14" i="5"/>
  <c r="CD13" i="5"/>
  <c r="BR13" i="5"/>
  <c r="BP13" i="5"/>
  <c r="BL13" i="5"/>
  <c r="BK13" i="5"/>
  <c r="Q13" i="5"/>
  <c r="P13" i="5"/>
  <c r="CD12" i="5"/>
  <c r="BR12" i="5"/>
  <c r="BP12" i="5"/>
  <c r="BL12" i="5"/>
  <c r="BK12" i="5"/>
  <c r="Q12" i="5"/>
  <c r="P12" i="5"/>
  <c r="BT11" i="5"/>
  <c r="BR11" i="5"/>
  <c r="BO11" i="5"/>
  <c r="BN11" i="5"/>
  <c r="BM11" i="5"/>
  <c r="AX11" i="5"/>
  <c r="AZ11" i="5"/>
  <c r="P11" i="5"/>
  <c r="BT10" i="5"/>
  <c r="BR10" i="5"/>
  <c r="BO10" i="5"/>
  <c r="BN10" i="5"/>
  <c r="BM10" i="5"/>
  <c r="AX10" i="5"/>
  <c r="AZ10" i="5"/>
  <c r="P10" i="5"/>
  <c r="CI9" i="5"/>
  <c r="CJ9" i="5"/>
  <c r="CH9" i="5"/>
  <c r="CG9" i="5"/>
  <c r="CC9" i="5"/>
  <c r="CB9" i="5"/>
  <c r="CA9" i="5"/>
  <c r="BT9" i="5"/>
  <c r="BU9" i="5"/>
  <c r="BS9" i="5"/>
  <c r="BR9" i="5"/>
  <c r="BO9" i="5"/>
  <c r="BN9" i="5"/>
  <c r="BM9" i="5"/>
  <c r="AX9" i="5"/>
  <c r="AZ9" i="5"/>
  <c r="S9" i="5"/>
  <c r="P9" i="5"/>
  <c r="BT8" i="5"/>
  <c r="BR8" i="5"/>
  <c r="BU8" i="5"/>
  <c r="BO8" i="5"/>
  <c r="BN8" i="5"/>
  <c r="BM8" i="5"/>
  <c r="AX8" i="5"/>
  <c r="AZ8" i="5"/>
  <c r="P8" i="5"/>
  <c r="BS7" i="5"/>
  <c r="BR7" i="5"/>
  <c r="BO7" i="5"/>
  <c r="BN7" i="5"/>
  <c r="P7" i="5"/>
  <c r="CD6" i="5"/>
  <c r="CC6" i="5"/>
  <c r="BU6" i="5"/>
  <c r="BP6" i="5"/>
  <c r="BQ6" i="5"/>
  <c r="AV6" i="5"/>
  <c r="AU6" i="5"/>
  <c r="AT6" i="5"/>
  <c r="AQ6" i="5"/>
  <c r="P6" i="5"/>
  <c r="BS5" i="5"/>
  <c r="BR5" i="5"/>
  <c r="BU5" i="5"/>
  <c r="BO5" i="5"/>
  <c r="BN5" i="5"/>
  <c r="BP5" i="5"/>
  <c r="P5" i="5"/>
  <c r="BS4" i="5"/>
  <c r="BU4" i="5"/>
  <c r="BR4" i="5"/>
  <c r="BO4" i="5"/>
  <c r="BN4" i="5"/>
  <c r="P4" i="5"/>
  <c r="BV63" i="6"/>
  <c r="BZ63" i="6"/>
  <c r="BQ63" i="6"/>
  <c r="BV31" i="6"/>
  <c r="BV36" i="6"/>
  <c r="BQ36" i="6"/>
  <c r="BV58" i="5"/>
  <c r="BZ58" i="5"/>
  <c r="BV31" i="5"/>
  <c r="BS89" i="6"/>
  <c r="BM89" i="6"/>
  <c r="BV58" i="6"/>
  <c r="BZ58" i="6"/>
  <c r="AZ40" i="5"/>
  <c r="BQ17" i="6"/>
  <c r="CA62" i="5"/>
  <c r="CB62" i="5"/>
  <c r="BQ97" i="5"/>
  <c r="BQ37" i="5"/>
  <c r="BU69" i="5"/>
  <c r="CF80" i="5"/>
  <c r="BP52" i="6"/>
  <c r="BP78" i="6"/>
  <c r="BQ98" i="6"/>
  <c r="BQ65" i="6"/>
  <c r="CF69" i="5"/>
  <c r="BU10" i="6"/>
  <c r="BQ10" i="6"/>
  <c r="BQ96" i="6"/>
  <c r="BP33" i="5"/>
  <c r="BV33" i="5"/>
  <c r="BV67" i="5"/>
  <c r="BU7" i="6"/>
  <c r="BV7" i="6"/>
  <c r="BZ7" i="6"/>
  <c r="CK15" i="6"/>
  <c r="CO15" i="6"/>
  <c r="CD52" i="6"/>
  <c r="CE52" i="6"/>
  <c r="BU70" i="6"/>
  <c r="BQ70" i="6"/>
  <c r="BV96" i="6"/>
  <c r="BZ96" i="6"/>
  <c r="BV38" i="5"/>
  <c r="BZ38" i="5"/>
  <c r="BP56" i="5"/>
  <c r="CF70" i="6"/>
  <c r="BP79" i="6"/>
  <c r="BQ19" i="5"/>
  <c r="BU33" i="5"/>
  <c r="BZ86" i="5"/>
  <c r="BV95" i="5"/>
  <c r="BZ95" i="5"/>
  <c r="BP8" i="6"/>
  <c r="AX35" i="6"/>
  <c r="AZ35" i="6"/>
  <c r="CK83" i="6"/>
  <c r="CO83" i="6"/>
  <c r="CN92" i="6"/>
  <c r="BZ88" i="6"/>
  <c r="BU30" i="5"/>
  <c r="BV39" i="5"/>
  <c r="BZ39" i="5"/>
  <c r="BP60" i="5"/>
  <c r="BU11" i="6"/>
  <c r="BV11" i="6"/>
  <c r="BP53" i="6"/>
  <c r="CC62" i="6"/>
  <c r="BP45" i="5"/>
  <c r="AZ52" i="5"/>
  <c r="BQ65" i="5"/>
  <c r="BP71" i="6"/>
  <c r="AZ107" i="6"/>
  <c r="CK9" i="5"/>
  <c r="BP4" i="6"/>
  <c r="BV4" i="6"/>
  <c r="BZ4" i="6"/>
  <c r="CC61" i="5"/>
  <c r="BQ18" i="6"/>
  <c r="BP11" i="5"/>
  <c r="BP8" i="5"/>
  <c r="BV8" i="5"/>
  <c r="CK84" i="5"/>
  <c r="CO84" i="5"/>
  <c r="CF9" i="6"/>
  <c r="CK9" i="6"/>
  <c r="BU69" i="6"/>
  <c r="BU11" i="5"/>
  <c r="BQ36" i="5"/>
  <c r="BU63" i="5"/>
  <c r="BQ63" i="5"/>
  <c r="CN93" i="5"/>
  <c r="BQ98" i="5"/>
  <c r="BP32" i="5"/>
  <c r="BV32" i="5"/>
  <c r="CF69" i="6"/>
  <c r="BU4" i="6"/>
  <c r="CK84" i="6"/>
  <c r="CO84" i="6"/>
  <c r="BU7" i="5"/>
  <c r="AZ25" i="5"/>
  <c r="BP53" i="5"/>
  <c r="BP43" i="5"/>
  <c r="BQ89" i="5"/>
  <c r="CK58" i="5"/>
  <c r="CO58" i="5"/>
  <c r="CF98" i="5"/>
  <c r="BQ6" i="6"/>
  <c r="CJ9" i="6"/>
  <c r="BU30" i="6"/>
  <c r="BV39" i="6"/>
  <c r="BZ39" i="6"/>
  <c r="BV67" i="6"/>
  <c r="BZ86" i="6"/>
  <c r="CF6" i="5"/>
  <c r="CF96" i="5"/>
  <c r="BP10" i="5"/>
  <c r="CF98" i="6"/>
  <c r="BU10" i="5"/>
  <c r="BV10" i="5"/>
  <c r="AX35" i="5"/>
  <c r="AZ35" i="5"/>
  <c r="BV18" i="6"/>
  <c r="CC62" i="5"/>
  <c r="AZ107" i="5"/>
  <c r="BQ38" i="6"/>
  <c r="BP64" i="5"/>
  <c r="BP69" i="5"/>
  <c r="BQ20" i="6"/>
  <c r="BV95" i="6"/>
  <c r="BZ95" i="6"/>
  <c r="CF9" i="5"/>
  <c r="BV6" i="5"/>
  <c r="BQ89" i="6"/>
  <c r="BV96" i="5"/>
  <c r="BZ96" i="5"/>
  <c r="CK58" i="6"/>
  <c r="CO58" i="6"/>
  <c r="BV73" i="5"/>
  <c r="BZ73" i="5"/>
  <c r="BU71" i="5"/>
  <c r="BV71" i="5"/>
  <c r="BP34" i="6"/>
  <c r="BV34" i="6"/>
  <c r="BP60" i="6"/>
  <c r="BP4" i="5"/>
  <c r="BQ17" i="5"/>
  <c r="AZ108" i="5"/>
  <c r="CF6" i="6"/>
  <c r="CN91" i="6"/>
  <c r="BV73" i="6"/>
  <c r="BZ73" i="6"/>
  <c r="BU71" i="6"/>
  <c r="BV71" i="6"/>
  <c r="BP7" i="5"/>
  <c r="BV37" i="6"/>
  <c r="BZ37" i="6"/>
  <c r="CK15" i="5"/>
  <c r="CO15" i="5"/>
  <c r="BP9" i="5"/>
  <c r="BQ9" i="5"/>
  <c r="BP44" i="5"/>
  <c r="CF64" i="5"/>
  <c r="BZ85" i="5"/>
  <c r="CK67" i="6"/>
  <c r="BP70" i="6"/>
  <c r="BV8" i="6"/>
  <c r="BQ8" i="6"/>
  <c r="BQ9" i="6"/>
  <c r="BV32" i="6"/>
  <c r="BQ32" i="6"/>
  <c r="BV69" i="6"/>
  <c r="BQ69" i="6"/>
  <c r="BV5" i="6"/>
  <c r="BZ5" i="6"/>
  <c r="BQ5" i="6"/>
  <c r="BV30" i="6"/>
  <c r="BQ30" i="6"/>
  <c r="BV33" i="6"/>
  <c r="BQ33" i="6"/>
  <c r="BQ79" i="6"/>
  <c r="BV80" i="6"/>
  <c r="BQ80" i="6"/>
  <c r="BV9" i="6"/>
  <c r="BV17" i="6"/>
  <c r="BQ19" i="6"/>
  <c r="CF52" i="6"/>
  <c r="CK52" i="6"/>
  <c r="BQ58" i="6"/>
  <c r="BP62" i="6"/>
  <c r="BQ73" i="6"/>
  <c r="BV79" i="6"/>
  <c r="BN89" i="6"/>
  <c r="BR89" i="6"/>
  <c r="BQ95" i="6"/>
  <c r="CF95" i="6"/>
  <c r="BV97" i="6"/>
  <c r="BZ97" i="6"/>
  <c r="BV105" i="6"/>
  <c r="CE58" i="6"/>
  <c r="BP61" i="6"/>
  <c r="BO89" i="6"/>
  <c r="BV70" i="5"/>
  <c r="BQ70" i="5"/>
  <c r="BV34" i="5"/>
  <c r="BQ34" i="5"/>
  <c r="BV4" i="5"/>
  <c r="BZ4" i="5"/>
  <c r="BQ4" i="5"/>
  <c r="BV5" i="5"/>
  <c r="BZ5" i="5"/>
  <c r="BQ5" i="5"/>
  <c r="BV7" i="5"/>
  <c r="BZ7" i="5"/>
  <c r="BQ7" i="5"/>
  <c r="BP57" i="5"/>
  <c r="BV69" i="5"/>
  <c r="BQ69" i="5"/>
  <c r="BV9" i="5"/>
  <c r="BV11" i="5"/>
  <c r="BQ11" i="5"/>
  <c r="BV30" i="5"/>
  <c r="BQ30" i="5"/>
  <c r="BV63" i="5"/>
  <c r="BZ63" i="5"/>
  <c r="BQ71" i="5"/>
  <c r="BQ79" i="5"/>
  <c r="BM89" i="5"/>
  <c r="BV17" i="5"/>
  <c r="CF52" i="5"/>
  <c r="CK52" i="5"/>
  <c r="BQ58" i="5"/>
  <c r="BP62" i="5"/>
  <c r="BQ73" i="5"/>
  <c r="BV80" i="5"/>
  <c r="BN89" i="5"/>
  <c r="BR89" i="5"/>
  <c r="CF95" i="5"/>
  <c r="BV97" i="5"/>
  <c r="BZ97" i="5"/>
  <c r="BV105" i="5"/>
  <c r="CE58" i="5"/>
  <c r="BP61" i="5"/>
  <c r="CF61" i="5"/>
  <c r="BO89" i="5"/>
  <c r="BQ67" i="5"/>
  <c r="BV70" i="6"/>
  <c r="BQ7" i="6"/>
  <c r="CF61" i="6"/>
  <c r="BQ33" i="5"/>
  <c r="BQ10" i="5"/>
  <c r="BV10" i="6"/>
  <c r="BQ34" i="6"/>
  <c r="BQ11" i="6"/>
  <c r="BQ71" i="6"/>
  <c r="BQ4" i="6"/>
  <c r="BQ8" i="5"/>
  <c r="BQ32" i="5"/>
  <c r="CF62" i="6"/>
  <c r="CF62" i="5"/>
  <c r="BF108" i="3"/>
  <c r="BE108" i="3"/>
  <c r="BD108" i="3"/>
  <c r="AX108" i="3"/>
  <c r="AW108" i="3"/>
  <c r="AX107" i="3"/>
  <c r="AW107" i="3"/>
  <c r="P107" i="3"/>
  <c r="BU105" i="3"/>
  <c r="BV105" i="3"/>
  <c r="BQ105" i="3"/>
  <c r="AZ105" i="3"/>
  <c r="AK105" i="3"/>
  <c r="AJ105" i="3"/>
  <c r="AI105" i="3"/>
  <c r="AH105" i="3"/>
  <c r="AG105" i="3"/>
  <c r="AF105" i="3"/>
  <c r="AC105" i="3"/>
  <c r="Z105" i="3"/>
  <c r="Y105" i="3"/>
  <c r="P105" i="3"/>
  <c r="BP104" i="3"/>
  <c r="BO104" i="3"/>
  <c r="BN104" i="3"/>
  <c r="BM104" i="3"/>
  <c r="BP103" i="3"/>
  <c r="BO103" i="3"/>
  <c r="BN103" i="3"/>
  <c r="BM103" i="3"/>
  <c r="BP102" i="3"/>
  <c r="BO102" i="3"/>
  <c r="BN102" i="3"/>
  <c r="BM102" i="3"/>
  <c r="AZ102" i="3"/>
  <c r="CL101" i="3"/>
  <c r="AZ101" i="3"/>
  <c r="S101" i="3"/>
  <c r="P101" i="3"/>
  <c r="CL100" i="3"/>
  <c r="AZ100" i="3"/>
  <c r="S100" i="3"/>
  <c r="P100" i="3"/>
  <c r="CO99" i="3"/>
  <c r="CL99" i="3"/>
  <c r="CF99" i="3"/>
  <c r="AZ99" i="3"/>
  <c r="S99" i="3"/>
  <c r="P99" i="3"/>
  <c r="BU98" i="3"/>
  <c r="BP98" i="3"/>
  <c r="BV98" i="3"/>
  <c r="BZ98" i="3"/>
  <c r="AZ98" i="3"/>
  <c r="S98" i="3"/>
  <c r="P98" i="3"/>
  <c r="BU97" i="3"/>
  <c r="BP97" i="3"/>
  <c r="BV97" i="3"/>
  <c r="BZ97" i="3"/>
  <c r="AZ97" i="3"/>
  <c r="S97" i="3"/>
  <c r="P97" i="3"/>
  <c r="BU96" i="3"/>
  <c r="BP96" i="3"/>
  <c r="AZ96" i="3"/>
  <c r="S96" i="3"/>
  <c r="P96" i="3"/>
  <c r="BU95" i="3"/>
  <c r="BP95" i="3"/>
  <c r="BQ95" i="3"/>
  <c r="AZ95" i="3"/>
  <c r="S95" i="3"/>
  <c r="P95" i="3"/>
  <c r="CM94" i="3"/>
  <c r="CL94" i="3"/>
  <c r="CN94" i="3"/>
  <c r="AZ94" i="3"/>
  <c r="AK94" i="3"/>
  <c r="AJ94" i="3"/>
  <c r="AI94" i="3"/>
  <c r="S94" i="3"/>
  <c r="P94" i="3"/>
  <c r="CM93" i="3"/>
  <c r="CL93" i="3"/>
  <c r="CN93" i="3"/>
  <c r="AZ93" i="3"/>
  <c r="AK93" i="3"/>
  <c r="AJ93" i="3"/>
  <c r="AI93" i="3"/>
  <c r="S93" i="3"/>
  <c r="P93" i="3"/>
  <c r="CM92" i="3"/>
  <c r="CL92" i="3"/>
  <c r="AZ92" i="3"/>
  <c r="AK92" i="3"/>
  <c r="AJ92" i="3"/>
  <c r="AI92" i="3"/>
  <c r="S92" i="3"/>
  <c r="P92" i="3"/>
  <c r="CM91" i="3"/>
  <c r="CL91" i="3"/>
  <c r="CN91" i="3"/>
  <c r="AZ91" i="3"/>
  <c r="AK91" i="3"/>
  <c r="AJ91" i="3"/>
  <c r="AI91" i="3"/>
  <c r="Y91" i="3"/>
  <c r="S91" i="3"/>
  <c r="P91" i="3"/>
  <c r="AY90" i="3"/>
  <c r="AX90" i="3"/>
  <c r="P90" i="3"/>
  <c r="CD89" i="3"/>
  <c r="CF89" i="3"/>
  <c r="CK89" i="3"/>
  <c r="BY89" i="3"/>
  <c r="BU89" i="3"/>
  <c r="BP89" i="3"/>
  <c r="BV89" i="3"/>
  <c r="BN89" i="3"/>
  <c r="S89" i="3"/>
  <c r="P89" i="3"/>
  <c r="BY88" i="3"/>
  <c r="BX88" i="3"/>
  <c r="BZ88" i="3"/>
  <c r="BP88" i="3"/>
  <c r="BU88" i="3"/>
  <c r="AW88" i="3"/>
  <c r="AZ88" i="3"/>
  <c r="P88" i="3"/>
  <c r="BY87" i="3"/>
  <c r="BZ87" i="3"/>
  <c r="BX87" i="3"/>
  <c r="BP87" i="3"/>
  <c r="BU87" i="3"/>
  <c r="AW87" i="3"/>
  <c r="AZ87" i="3"/>
  <c r="P87" i="3"/>
  <c r="BY86" i="3"/>
  <c r="BX86" i="3"/>
  <c r="BZ86" i="3"/>
  <c r="BP86" i="3"/>
  <c r="BU86" i="3"/>
  <c r="AW86" i="3"/>
  <c r="AZ86" i="3"/>
  <c r="P86" i="3"/>
  <c r="BY85" i="3"/>
  <c r="BX85" i="3"/>
  <c r="BZ85" i="3"/>
  <c r="BP85" i="3"/>
  <c r="BU85" i="3"/>
  <c r="AW85" i="3"/>
  <c r="AZ85" i="3"/>
  <c r="P85" i="3"/>
  <c r="CN84" i="3"/>
  <c r="CJ84" i="3"/>
  <c r="CF84" i="3"/>
  <c r="CK84" i="3"/>
  <c r="CO84" i="3"/>
  <c r="CE84" i="3"/>
  <c r="BU84" i="3"/>
  <c r="BP84" i="3"/>
  <c r="BL84" i="3"/>
  <c r="P84" i="3"/>
  <c r="CN83" i="3"/>
  <c r="CJ83" i="3"/>
  <c r="CF83" i="3"/>
  <c r="CE83" i="3"/>
  <c r="BP83" i="3"/>
  <c r="BL83" i="3"/>
  <c r="AZ83" i="3"/>
  <c r="P83" i="3"/>
  <c r="CF82" i="3"/>
  <c r="AZ82" i="3"/>
  <c r="P82" i="3"/>
  <c r="AZ81" i="3"/>
  <c r="P81" i="3"/>
  <c r="CC80" i="3"/>
  <c r="CB80" i="3"/>
  <c r="CA80" i="3"/>
  <c r="CF80" i="3"/>
  <c r="BT80" i="3"/>
  <c r="BS80" i="3"/>
  <c r="BR80" i="3"/>
  <c r="BU80" i="3"/>
  <c r="BO80" i="3"/>
  <c r="BN80" i="3"/>
  <c r="BM80" i="3"/>
  <c r="AZ80" i="3"/>
  <c r="P80" i="3"/>
  <c r="CC79" i="3"/>
  <c r="CB79" i="3"/>
  <c r="CA79" i="3"/>
  <c r="CF79" i="3"/>
  <c r="BT79" i="3"/>
  <c r="BS79" i="3"/>
  <c r="BR79" i="3"/>
  <c r="BU79" i="3"/>
  <c r="BO79" i="3"/>
  <c r="BN79" i="3"/>
  <c r="BM79" i="3"/>
  <c r="AZ79" i="3"/>
  <c r="P79" i="3"/>
  <c r="BP78" i="3"/>
  <c r="BO78" i="3"/>
  <c r="BN78" i="3"/>
  <c r="BM78" i="3"/>
  <c r="AZ78" i="3"/>
  <c r="S78" i="3"/>
  <c r="Q78" i="3"/>
  <c r="O78" i="3"/>
  <c r="P78" i="3"/>
  <c r="BO77" i="3"/>
  <c r="BN77" i="3"/>
  <c r="BM77" i="3"/>
  <c r="BP77" i="3"/>
  <c r="AZ77" i="3"/>
  <c r="S77" i="3"/>
  <c r="Q77" i="3"/>
  <c r="O77" i="3"/>
  <c r="P77" i="3"/>
  <c r="CF76" i="3"/>
  <c r="AZ76" i="3"/>
  <c r="CF75" i="3"/>
  <c r="AZ75" i="3"/>
  <c r="CF74" i="3"/>
  <c r="AZ74" i="3"/>
  <c r="CF73" i="3"/>
  <c r="BU73" i="3"/>
  <c r="BO73" i="3"/>
  <c r="BN73" i="3"/>
  <c r="BM73" i="3"/>
  <c r="BP73" i="3"/>
  <c r="BV73" i="3"/>
  <c r="BZ73" i="3"/>
  <c r="AZ73" i="3"/>
  <c r="AK73" i="3"/>
  <c r="AJ73" i="3"/>
  <c r="AI73" i="3"/>
  <c r="AH73" i="3"/>
  <c r="AG73" i="3"/>
  <c r="AF73" i="3"/>
  <c r="AE73" i="3"/>
  <c r="AC73" i="3"/>
  <c r="Z73" i="3"/>
  <c r="Y73" i="3"/>
  <c r="X73" i="3"/>
  <c r="BO72" i="3"/>
  <c r="BN72" i="3"/>
  <c r="BM72" i="3"/>
  <c r="BP72" i="3"/>
  <c r="AZ72" i="3"/>
  <c r="S72" i="3"/>
  <c r="Q72" i="3"/>
  <c r="O72" i="3"/>
  <c r="P72" i="3"/>
  <c r="CC71" i="3"/>
  <c r="CB71" i="3"/>
  <c r="CA71" i="3"/>
  <c r="BT71" i="3"/>
  <c r="BS71" i="3"/>
  <c r="BR71" i="3"/>
  <c r="BO71" i="3"/>
  <c r="BN71" i="3"/>
  <c r="BM71" i="3"/>
  <c r="BP71" i="3"/>
  <c r="AZ71" i="3"/>
  <c r="P71" i="3"/>
  <c r="CC70" i="3"/>
  <c r="CB70" i="3"/>
  <c r="CA70" i="3"/>
  <c r="BT70" i="3"/>
  <c r="BS70" i="3"/>
  <c r="BR70" i="3"/>
  <c r="BO70" i="3"/>
  <c r="BN70" i="3"/>
  <c r="BM70" i="3"/>
  <c r="BP70" i="3"/>
  <c r="AZ70" i="3"/>
  <c r="P70" i="3"/>
  <c r="CC69" i="3"/>
  <c r="CB69" i="3"/>
  <c r="CA69" i="3"/>
  <c r="BT69" i="3"/>
  <c r="BS69" i="3"/>
  <c r="BR69" i="3"/>
  <c r="BO69" i="3"/>
  <c r="BN69" i="3"/>
  <c r="BM69" i="3"/>
  <c r="BP69" i="3"/>
  <c r="AZ69" i="3"/>
  <c r="P69" i="3"/>
  <c r="BO68" i="3"/>
  <c r="BN68" i="3"/>
  <c r="BM68" i="3"/>
  <c r="AZ68" i="3"/>
  <c r="AK68" i="3"/>
  <c r="AJ68" i="3"/>
  <c r="AI68" i="3"/>
  <c r="AH68" i="3"/>
  <c r="AG68" i="3"/>
  <c r="AF68" i="3"/>
  <c r="AE68" i="3"/>
  <c r="AC68" i="3"/>
  <c r="Z68" i="3"/>
  <c r="Y68" i="3"/>
  <c r="X68" i="3"/>
  <c r="CJ67" i="3"/>
  <c r="CH67" i="3"/>
  <c r="CG67" i="3"/>
  <c r="CF67" i="3"/>
  <c r="CK67" i="3"/>
  <c r="CC67" i="3"/>
  <c r="CB67" i="3"/>
  <c r="CA67" i="3"/>
  <c r="BU67" i="3"/>
  <c r="BV67" i="3"/>
  <c r="BS67" i="3"/>
  <c r="BR67" i="3"/>
  <c r="BP67" i="3"/>
  <c r="BQ67" i="3"/>
  <c r="BO67" i="3"/>
  <c r="BN67" i="3"/>
  <c r="BM67" i="3"/>
  <c r="O67" i="3"/>
  <c r="P67" i="3"/>
  <c r="BU66" i="3"/>
  <c r="BS66" i="3"/>
  <c r="BR66" i="3"/>
  <c r="BP66" i="3"/>
  <c r="BO66" i="3"/>
  <c r="BN66" i="3"/>
  <c r="BM66" i="3"/>
  <c r="AZ66" i="3"/>
  <c r="O66" i="3"/>
  <c r="P66" i="3"/>
  <c r="BU65" i="3"/>
  <c r="BS65" i="3"/>
  <c r="BR65" i="3"/>
  <c r="BP65" i="3"/>
  <c r="BO65" i="3"/>
  <c r="BN65" i="3"/>
  <c r="BM65" i="3"/>
  <c r="AZ65" i="3"/>
  <c r="O65" i="3"/>
  <c r="P65" i="3"/>
  <c r="CD64" i="3"/>
  <c r="CC64" i="3"/>
  <c r="CB64" i="3"/>
  <c r="CA64" i="3"/>
  <c r="CF64" i="3"/>
  <c r="BO64" i="3"/>
  <c r="BN64" i="3"/>
  <c r="BM64" i="3"/>
  <c r="AU64" i="3"/>
  <c r="BX63" i="3"/>
  <c r="BS63" i="3"/>
  <c r="BR63" i="3"/>
  <c r="BU63" i="3"/>
  <c r="BP63" i="3"/>
  <c r="P63" i="3"/>
  <c r="BO62" i="3"/>
  <c r="BN62" i="3"/>
  <c r="BM62" i="3"/>
  <c r="AY62" i="3"/>
  <c r="AX62" i="3"/>
  <c r="AZ62" i="3"/>
  <c r="BO61" i="3"/>
  <c r="BN61" i="3"/>
  <c r="BM61" i="3"/>
  <c r="BP61" i="3"/>
  <c r="AY61" i="3"/>
  <c r="AX61" i="3"/>
  <c r="AZ61" i="3"/>
  <c r="BO60" i="3"/>
  <c r="BN60" i="3"/>
  <c r="BP60" i="3"/>
  <c r="BM60" i="3"/>
  <c r="AY60" i="3"/>
  <c r="AX60" i="3"/>
  <c r="AZ60" i="3"/>
  <c r="BO59" i="3"/>
  <c r="BN59" i="3"/>
  <c r="BM59" i="3"/>
  <c r="AY59" i="3"/>
  <c r="AX59" i="3"/>
  <c r="AZ59" i="3"/>
  <c r="CM58" i="3"/>
  <c r="CL58" i="3"/>
  <c r="CN58" i="3"/>
  <c r="CJ58" i="3"/>
  <c r="CD58" i="3"/>
  <c r="CA58" i="3"/>
  <c r="BX58" i="3"/>
  <c r="BS58" i="3"/>
  <c r="BR58" i="3"/>
  <c r="BO58" i="3"/>
  <c r="BO57" i="3"/>
  <c r="BN58" i="3"/>
  <c r="BM58" i="3"/>
  <c r="AZ58" i="3"/>
  <c r="P58" i="3"/>
  <c r="CF57" i="3"/>
  <c r="CD57" i="3"/>
  <c r="CC57" i="3"/>
  <c r="CB57" i="3"/>
  <c r="CA57" i="3"/>
  <c r="BN57" i="3"/>
  <c r="BO56" i="3"/>
  <c r="BN56" i="3"/>
  <c r="BM56" i="3"/>
  <c r="BP56" i="3"/>
  <c r="BO55" i="3"/>
  <c r="BO53" i="3"/>
  <c r="AX55" i="3"/>
  <c r="AW55" i="3"/>
  <c r="BO54" i="3"/>
  <c r="AZ54" i="3"/>
  <c r="AX54" i="3"/>
  <c r="AW54" i="3"/>
  <c r="CF53" i="3"/>
  <c r="CD53" i="3"/>
  <c r="CC53" i="3"/>
  <c r="CB53" i="3"/>
  <c r="CA53" i="3"/>
  <c r="BN53" i="3"/>
  <c r="BM53" i="3"/>
  <c r="BP53" i="3"/>
  <c r="CH52" i="3"/>
  <c r="CG52" i="3"/>
  <c r="CC52" i="3"/>
  <c r="CB52" i="3"/>
  <c r="CA52" i="3"/>
  <c r="CF52" i="3"/>
  <c r="BO52" i="3"/>
  <c r="BN52" i="3"/>
  <c r="BM52" i="3"/>
  <c r="BP52" i="3"/>
  <c r="AY52" i="3"/>
  <c r="AX52" i="3"/>
  <c r="AZ52" i="3"/>
  <c r="AW52" i="3"/>
  <c r="BP50" i="3"/>
  <c r="BO50" i="3"/>
  <c r="BN50" i="3"/>
  <c r="AZ50" i="3"/>
  <c r="BO49" i="3"/>
  <c r="AZ49" i="3"/>
  <c r="AX49" i="3"/>
  <c r="AW49" i="3"/>
  <c r="CF48" i="3"/>
  <c r="CD48" i="3"/>
  <c r="CC48" i="3"/>
  <c r="CB48" i="3"/>
  <c r="CA48" i="3"/>
  <c r="BP48" i="3"/>
  <c r="BO48" i="3"/>
  <c r="BN48" i="3"/>
  <c r="BM48" i="3"/>
  <c r="BP47" i="3"/>
  <c r="AZ47" i="3"/>
  <c r="AX47" i="3"/>
  <c r="AW47" i="3"/>
  <c r="P47" i="3"/>
  <c r="BP46" i="3"/>
  <c r="AZ46" i="3"/>
  <c r="AX46" i="3"/>
  <c r="AW46" i="3"/>
  <c r="P46" i="3"/>
  <c r="CC45" i="3"/>
  <c r="CB45" i="3"/>
  <c r="BO45" i="3"/>
  <c r="BN45" i="3"/>
  <c r="BP45" i="3"/>
  <c r="AZ45" i="3"/>
  <c r="AY45" i="3"/>
  <c r="AX45" i="3"/>
  <c r="AW45" i="3"/>
  <c r="S45" i="3"/>
  <c r="P45" i="3"/>
  <c r="CC44" i="3"/>
  <c r="CB44" i="3"/>
  <c r="BO44" i="3"/>
  <c r="BN44" i="3"/>
  <c r="BP44" i="3"/>
  <c r="AW44" i="3"/>
  <c r="P44" i="3"/>
  <c r="CC43" i="3"/>
  <c r="CB43" i="3"/>
  <c r="BO43" i="3"/>
  <c r="BN43" i="3"/>
  <c r="BP43" i="3"/>
  <c r="AZ43" i="3"/>
  <c r="AY43" i="3"/>
  <c r="AX43" i="3"/>
  <c r="AW43" i="3"/>
  <c r="S43" i="3"/>
  <c r="P43" i="3"/>
  <c r="CD42" i="3"/>
  <c r="BP42" i="3"/>
  <c r="BP41" i="3"/>
  <c r="CD40" i="3"/>
  <c r="BP40" i="3"/>
  <c r="AX40" i="3"/>
  <c r="AZ40" i="3"/>
  <c r="AW40" i="3"/>
  <c r="P40" i="3"/>
  <c r="BU39" i="3"/>
  <c r="BP39" i="3"/>
  <c r="AZ39" i="3"/>
  <c r="BU38" i="3"/>
  <c r="BP38" i="3"/>
  <c r="AZ38" i="3"/>
  <c r="BU37" i="3"/>
  <c r="BP37" i="3"/>
  <c r="AZ37" i="3"/>
  <c r="BT36" i="3"/>
  <c r="BS36" i="3"/>
  <c r="BR36" i="3"/>
  <c r="BP36" i="3"/>
  <c r="AX36" i="3"/>
  <c r="AZ36" i="3"/>
  <c r="P36" i="3"/>
  <c r="BP35" i="3"/>
  <c r="AW35" i="3"/>
  <c r="AX35" i="3"/>
  <c r="AZ35" i="3"/>
  <c r="S35" i="3"/>
  <c r="CD34" i="3"/>
  <c r="BS34" i="3"/>
  <c r="BR34" i="3"/>
  <c r="BU34" i="3"/>
  <c r="BO34" i="3"/>
  <c r="BN34" i="3"/>
  <c r="BM34" i="3"/>
  <c r="AZ34" i="3"/>
  <c r="AD34" i="3"/>
  <c r="P34" i="3"/>
  <c r="CD33" i="3"/>
  <c r="BS33" i="3"/>
  <c r="BR33" i="3"/>
  <c r="BO33" i="3"/>
  <c r="BN33" i="3"/>
  <c r="BM33" i="3"/>
  <c r="AZ33" i="3"/>
  <c r="AD33" i="3"/>
  <c r="P33" i="3"/>
  <c r="CD32" i="3"/>
  <c r="BS32" i="3"/>
  <c r="BR32" i="3"/>
  <c r="BU32" i="3"/>
  <c r="BO32" i="3"/>
  <c r="BN32" i="3"/>
  <c r="BM32" i="3"/>
  <c r="BP32" i="3"/>
  <c r="AZ32" i="3"/>
  <c r="AD32" i="3"/>
  <c r="P32" i="3"/>
  <c r="CF31" i="3"/>
  <c r="BT31" i="3"/>
  <c r="BS31" i="3"/>
  <c r="BR31" i="3"/>
  <c r="BU31" i="3"/>
  <c r="BO31" i="3"/>
  <c r="BN31" i="3"/>
  <c r="BM31" i="3"/>
  <c r="P31" i="3"/>
  <c r="CF30" i="3"/>
  <c r="BT30" i="3"/>
  <c r="BS30" i="3"/>
  <c r="BR30" i="3"/>
  <c r="BO30" i="3"/>
  <c r="BN30" i="3"/>
  <c r="BM30" i="3"/>
  <c r="BP30" i="3"/>
  <c r="P30" i="3"/>
  <c r="CO29" i="3"/>
  <c r="BV29" i="3"/>
  <c r="BZ29" i="3"/>
  <c r="P29" i="3"/>
  <c r="CO28" i="3"/>
  <c r="BV28" i="3"/>
  <c r="BZ28" i="3"/>
  <c r="P28" i="3"/>
  <c r="CO27" i="3"/>
  <c r="BV27" i="3"/>
  <c r="BZ27" i="3"/>
  <c r="P27" i="3"/>
  <c r="CO26" i="3"/>
  <c r="BV26" i="3"/>
  <c r="BZ26" i="3"/>
  <c r="P26" i="3"/>
  <c r="BP25" i="3"/>
  <c r="AX25" i="3"/>
  <c r="AW25" i="3"/>
  <c r="S25" i="3"/>
  <c r="P25" i="3"/>
  <c r="AZ24" i="3"/>
  <c r="AZ23" i="3"/>
  <c r="AZ22" i="3"/>
  <c r="AX21" i="3"/>
  <c r="AZ21" i="3"/>
  <c r="O21" i="3"/>
  <c r="P21" i="3"/>
  <c r="BU20" i="3"/>
  <c r="BP20" i="3"/>
  <c r="Q20" i="3"/>
  <c r="O20" i="3"/>
  <c r="P20" i="3"/>
  <c r="BU19" i="3"/>
  <c r="BV19" i="3"/>
  <c r="BP19" i="3"/>
  <c r="BQ19" i="3"/>
  <c r="Q19" i="3"/>
  <c r="O19" i="3"/>
  <c r="P19" i="3"/>
  <c r="BU18" i="3"/>
  <c r="BP18" i="3"/>
  <c r="Q18" i="3"/>
  <c r="O18" i="3"/>
  <c r="P18" i="3"/>
  <c r="BU17" i="3"/>
  <c r="BV17" i="3"/>
  <c r="BP17" i="3"/>
  <c r="BQ17" i="3"/>
  <c r="Q17" i="3"/>
  <c r="O17" i="3"/>
  <c r="P17" i="3"/>
  <c r="BP16" i="3"/>
  <c r="AZ16" i="3"/>
  <c r="O16" i="3"/>
  <c r="CM15" i="3"/>
  <c r="CL15" i="3"/>
  <c r="CJ15" i="3"/>
  <c r="CK15" i="3"/>
  <c r="CO15" i="3"/>
  <c r="CF15" i="3"/>
  <c r="BZ15" i="3"/>
  <c r="AC15" i="3"/>
  <c r="Q15" i="3"/>
  <c r="P15" i="3"/>
  <c r="CD14" i="3"/>
  <c r="BR14" i="3"/>
  <c r="BP14" i="3"/>
  <c r="BQ14" i="3"/>
  <c r="BL14" i="3"/>
  <c r="BK14" i="3"/>
  <c r="Q14" i="3"/>
  <c r="P14" i="3"/>
  <c r="CD13" i="3"/>
  <c r="BR13" i="3"/>
  <c r="BP13" i="3"/>
  <c r="BL13" i="3"/>
  <c r="BK13" i="3"/>
  <c r="Q13" i="3"/>
  <c r="P13" i="3"/>
  <c r="CD12" i="3"/>
  <c r="BR12" i="3"/>
  <c r="BP12" i="3"/>
  <c r="BL12" i="3"/>
  <c r="BK12" i="3"/>
  <c r="Q12" i="3"/>
  <c r="P12" i="3"/>
  <c r="BT11" i="3"/>
  <c r="BR11" i="3"/>
  <c r="BU11" i="3"/>
  <c r="BO11" i="3"/>
  <c r="BN11" i="3"/>
  <c r="BM11" i="3"/>
  <c r="BP11" i="3"/>
  <c r="AX11" i="3"/>
  <c r="AZ11" i="3"/>
  <c r="P11" i="3"/>
  <c r="BT10" i="3"/>
  <c r="BR10" i="3"/>
  <c r="BU10" i="3"/>
  <c r="BO10" i="3"/>
  <c r="BN10" i="3"/>
  <c r="BM10" i="3"/>
  <c r="AX10" i="3"/>
  <c r="AZ10" i="3"/>
  <c r="P10" i="3"/>
  <c r="CI9" i="3"/>
  <c r="CH9" i="3"/>
  <c r="CJ9" i="3"/>
  <c r="CG9" i="3"/>
  <c r="CC9" i="3"/>
  <c r="CB9" i="3"/>
  <c r="CA9" i="3"/>
  <c r="CF9" i="3"/>
  <c r="BT9" i="3"/>
  <c r="BS9" i="3"/>
  <c r="BR9" i="3"/>
  <c r="BU9" i="3"/>
  <c r="BO9" i="3"/>
  <c r="BN9" i="3"/>
  <c r="BM9" i="3"/>
  <c r="BP9" i="3"/>
  <c r="AX9" i="3"/>
  <c r="AZ9" i="3"/>
  <c r="S9" i="3"/>
  <c r="P9" i="3"/>
  <c r="BT8" i="3"/>
  <c r="BR8" i="3"/>
  <c r="BO8" i="3"/>
  <c r="BN8" i="3"/>
  <c r="BM8" i="3"/>
  <c r="AX8" i="3"/>
  <c r="AZ8" i="3"/>
  <c r="P8" i="3"/>
  <c r="BS7" i="3"/>
  <c r="BR7" i="3"/>
  <c r="BU7" i="3"/>
  <c r="BO7" i="3"/>
  <c r="BN7" i="3"/>
  <c r="BP7" i="3"/>
  <c r="P7" i="3"/>
  <c r="CD6" i="3"/>
  <c r="CC6" i="3"/>
  <c r="CF6" i="3"/>
  <c r="BU6" i="3"/>
  <c r="BP6" i="3"/>
  <c r="AV6" i="3"/>
  <c r="AU6" i="3"/>
  <c r="AT6" i="3"/>
  <c r="AQ6" i="3"/>
  <c r="P6" i="3"/>
  <c r="BS5" i="3"/>
  <c r="BR5" i="3"/>
  <c r="BU5" i="3"/>
  <c r="BO5" i="3"/>
  <c r="BN5" i="3"/>
  <c r="BP5" i="3"/>
  <c r="P5" i="3"/>
  <c r="BS4" i="3"/>
  <c r="BR4" i="3"/>
  <c r="BU4" i="3"/>
  <c r="BO4" i="3"/>
  <c r="BN4" i="3"/>
  <c r="BP4" i="3"/>
  <c r="P4" i="3"/>
  <c r="BQ4" i="3"/>
  <c r="BV65" i="3"/>
  <c r="BU30" i="3"/>
  <c r="CF70" i="3"/>
  <c r="BP79" i="3"/>
  <c r="BV79" i="3"/>
  <c r="CF97" i="3"/>
  <c r="CA62" i="3"/>
  <c r="CB62" i="3"/>
  <c r="BQ89" i="3"/>
  <c r="CE58" i="3"/>
  <c r="CN92" i="3"/>
  <c r="CD52" i="3"/>
  <c r="CE52" i="3"/>
  <c r="AZ107" i="3"/>
  <c r="BU58" i="3"/>
  <c r="AZ25" i="3"/>
  <c r="CF69" i="3"/>
  <c r="CF95" i="3"/>
  <c r="CK83" i="3"/>
  <c r="CO83" i="3"/>
  <c r="CC61" i="3"/>
  <c r="BQ97" i="3"/>
  <c r="BV66" i="3"/>
  <c r="CF71" i="3"/>
  <c r="BQ80" i="3"/>
  <c r="BQ9" i="3"/>
  <c r="BV95" i="3"/>
  <c r="BZ95" i="3"/>
  <c r="CF61" i="3"/>
  <c r="BQ79" i="3"/>
  <c r="BP10" i="3"/>
  <c r="BV10" i="3"/>
  <c r="BQ73" i="3"/>
  <c r="BP34" i="3"/>
  <c r="BQ34" i="3"/>
  <c r="BP68" i="3"/>
  <c r="BP62" i="3"/>
  <c r="CF62" i="3"/>
  <c r="BQ98" i="3"/>
  <c r="CJ52" i="3"/>
  <c r="CK52" i="3"/>
  <c r="BP80" i="3"/>
  <c r="AY35" i="3"/>
  <c r="CN15" i="3"/>
  <c r="BP64" i="3"/>
  <c r="AZ108" i="3"/>
  <c r="BV80" i="3"/>
  <c r="CF44" i="3"/>
  <c r="BP33" i="3"/>
  <c r="BV32" i="3"/>
  <c r="BQ32" i="3"/>
  <c r="BV7" i="3"/>
  <c r="BZ7" i="3"/>
  <c r="BQ7" i="3"/>
  <c r="BV30" i="3"/>
  <c r="BQ30" i="3"/>
  <c r="BQ18" i="3"/>
  <c r="BV18" i="3"/>
  <c r="BP8" i="3"/>
  <c r="BU8" i="3"/>
  <c r="BP31" i="3"/>
  <c r="BV31" i="3"/>
  <c r="BU36" i="3"/>
  <c r="CF45" i="3"/>
  <c r="CF58" i="3"/>
  <c r="CK58" i="3"/>
  <c r="CO58" i="3"/>
  <c r="CB61" i="3"/>
  <c r="CC62" i="3"/>
  <c r="BU69" i="3"/>
  <c r="BU70" i="3"/>
  <c r="BU71" i="3"/>
  <c r="BV84" i="3"/>
  <c r="BZ84" i="3"/>
  <c r="BQ84" i="3"/>
  <c r="BQ96" i="3"/>
  <c r="BM57" i="3"/>
  <c r="BP57" i="3"/>
  <c r="BP58" i="3"/>
  <c r="BP59" i="3"/>
  <c r="BV63" i="3"/>
  <c r="BZ63" i="3"/>
  <c r="BQ63" i="3"/>
  <c r="BS89" i="3"/>
  <c r="BO89" i="3"/>
  <c r="BM89" i="3"/>
  <c r="BV4" i="3"/>
  <c r="BZ4" i="3"/>
  <c r="BV5" i="3"/>
  <c r="BZ5" i="3"/>
  <c r="BQ5" i="3"/>
  <c r="BV6" i="3"/>
  <c r="BQ6" i="3"/>
  <c r="BV9" i="3"/>
  <c r="CK9" i="3"/>
  <c r="BV11" i="3"/>
  <c r="BQ11" i="3"/>
  <c r="BV20" i="3"/>
  <c r="BQ20" i="3"/>
  <c r="BU33" i="3"/>
  <c r="BV37" i="3"/>
  <c r="BZ37" i="3"/>
  <c r="BQ37" i="3"/>
  <c r="BQ38" i="3"/>
  <c r="BV38" i="3"/>
  <c r="BZ38" i="3"/>
  <c r="BV39" i="3"/>
  <c r="BZ39" i="3"/>
  <c r="BQ39" i="3"/>
  <c r="CF43" i="3"/>
  <c r="BR89" i="3"/>
  <c r="CF96" i="3"/>
  <c r="BV96" i="3"/>
  <c r="BZ96" i="3"/>
  <c r="CA61" i="3"/>
  <c r="BQ65" i="3"/>
  <c r="BQ66" i="3"/>
  <c r="CF98" i="3"/>
  <c r="BV34" i="3"/>
  <c r="BQ10" i="3"/>
  <c r="BQ71" i="3"/>
  <c r="BV71" i="3"/>
  <c r="BQ33" i="3"/>
  <c r="BV33" i="3"/>
  <c r="BQ70" i="3"/>
  <c r="BV70" i="3"/>
  <c r="BV8" i="3"/>
  <c r="BQ8" i="3"/>
  <c r="BQ69" i="3"/>
  <c r="BV69" i="3"/>
  <c r="BQ58" i="3"/>
  <c r="BV58" i="3"/>
  <c r="BZ58" i="3"/>
  <c r="BQ36" i="3"/>
  <c r="BV36" i="3"/>
</calcChain>
</file>

<file path=xl/sharedStrings.xml><?xml version="1.0" encoding="utf-8"?>
<sst xmlns="http://schemas.openxmlformats.org/spreadsheetml/2006/main" count="4930" uniqueCount="707">
  <si>
    <t>Country</t>
  </si>
  <si>
    <t>Location</t>
  </si>
  <si>
    <t>Ecological zone code</t>
  </si>
  <si>
    <t>Land use description</t>
  </si>
  <si>
    <t>ID</t>
  </si>
  <si>
    <t>Beginning year</t>
  </si>
  <si>
    <t>Finishing year</t>
  </si>
  <si>
    <t>managed</t>
  </si>
  <si>
    <t>fertilised</t>
  </si>
  <si>
    <t>weeded and selective cutting</t>
  </si>
  <si>
    <t>shoots dug</t>
  </si>
  <si>
    <t>clear cutting</t>
  </si>
  <si>
    <t>mixed with other forests</t>
  </si>
  <si>
    <t>mean annual temperature4</t>
  </si>
  <si>
    <t>warmth index</t>
  </si>
  <si>
    <t>annual rainfall4</t>
  </si>
  <si>
    <t>snow</t>
  </si>
  <si>
    <t>elevation (a.s.l.)</t>
  </si>
  <si>
    <t>relative humidity</t>
  </si>
  <si>
    <t>sunshine duration</t>
  </si>
  <si>
    <t>wind speed</t>
  </si>
  <si>
    <t>water content (soil)</t>
  </si>
  <si>
    <t>pH (soil)</t>
  </si>
  <si>
    <t>Total N (soil)</t>
  </si>
  <si>
    <t>Total P (soil)</t>
  </si>
  <si>
    <t>Total K (soil)</t>
  </si>
  <si>
    <t>Available P2O5 (soil)</t>
  </si>
  <si>
    <t>Available SiO2 (soil)</t>
  </si>
  <si>
    <t>C.E.C (soil)</t>
  </si>
  <si>
    <t>K+ (soil)</t>
  </si>
  <si>
    <t>Ca2+ (soil)</t>
  </si>
  <si>
    <t>Mg2+ (soil)</t>
  </si>
  <si>
    <t>Sand</t>
  </si>
  <si>
    <t>Silt</t>
  </si>
  <si>
    <t>Clay</t>
  </si>
  <si>
    <t>N (litter)</t>
  </si>
  <si>
    <t>Ca (litter)</t>
  </si>
  <si>
    <t>K (litter)</t>
  </si>
  <si>
    <t>Mg (litter)</t>
  </si>
  <si>
    <t>P (litter)</t>
  </si>
  <si>
    <t>Si (storage in Plant above ground)</t>
  </si>
  <si>
    <t>Si (storage in Plant below ground)</t>
  </si>
  <si>
    <t>Si (storage in soil)</t>
  </si>
  <si>
    <t>Si (primary sink in Plant annually)</t>
  </si>
  <si>
    <t>Si (net sink in Plant annually)</t>
  </si>
  <si>
    <t>Si (return to soil)</t>
  </si>
  <si>
    <t>Culm density2</t>
  </si>
  <si>
    <t>Culm DBH3</t>
  </si>
  <si>
    <t>Culm height3</t>
  </si>
  <si>
    <t>Basal area (b.a.)</t>
  </si>
  <si>
    <t>Relative luminosity</t>
  </si>
  <si>
    <t>Leaf area index (Fisheye lens)</t>
  </si>
  <si>
    <t>Leaf area index (leaf area scanner)</t>
  </si>
  <si>
    <t>Leaves C</t>
  </si>
  <si>
    <t>Branches C</t>
  </si>
  <si>
    <t>Culms C</t>
  </si>
  <si>
    <t>Fine roots C</t>
  </si>
  <si>
    <t>Coarse root C</t>
  </si>
  <si>
    <t>Rhizomes C</t>
  </si>
  <si>
    <t>Stump C</t>
  </si>
  <si>
    <t>Soil C (0-10cm)</t>
  </si>
  <si>
    <t>Soil C (10-30cm)</t>
  </si>
  <si>
    <t>Foliages</t>
  </si>
  <si>
    <t>Branches</t>
  </si>
  <si>
    <t>Culms</t>
  </si>
  <si>
    <t>AGC</t>
  </si>
  <si>
    <t>Root_Shoot Ratio</t>
  </si>
  <si>
    <t>Roots</t>
  </si>
  <si>
    <t>Rhizomes</t>
  </si>
  <si>
    <t>Stumps</t>
  </si>
  <si>
    <t>BGC</t>
  </si>
  <si>
    <t>TC (AGC+BGC)</t>
  </si>
  <si>
    <t>Litter layer</t>
  </si>
  <si>
    <t>SC (soil carbon)</t>
  </si>
  <si>
    <t>Undergrowth</t>
  </si>
  <si>
    <t>TEC (Total ecosystem carbon)</t>
  </si>
  <si>
    <t>LNP</t>
  </si>
  <si>
    <t>BNP</t>
  </si>
  <si>
    <t>CNP</t>
  </si>
  <si>
    <t>Litterfall</t>
  </si>
  <si>
    <t>ANPP</t>
  </si>
  <si>
    <t>RoNP</t>
  </si>
  <si>
    <t>RhNP</t>
  </si>
  <si>
    <t>StNP</t>
  </si>
  <si>
    <t>BNPP</t>
  </si>
  <si>
    <t>TNPP</t>
  </si>
  <si>
    <t>SR</t>
  </si>
  <si>
    <t>HR</t>
  </si>
  <si>
    <t>NEP</t>
  </si>
  <si>
    <t>References</t>
  </si>
  <si>
    <t>Available or not</t>
  </si>
  <si>
    <t>Link</t>
  </si>
  <si>
    <t>°C</t>
  </si>
  <si>
    <t>mm</t>
  </si>
  <si>
    <t>m</t>
  </si>
  <si>
    <t>%</t>
  </si>
  <si>
    <t>hr yr-1</t>
  </si>
  <si>
    <t>m s-1</t>
  </si>
  <si>
    <t>kg kg-1</t>
  </si>
  <si>
    <t>KCl</t>
  </si>
  <si>
    <t>(H2O 1:5)</t>
  </si>
  <si>
    <t>g kg-1</t>
  </si>
  <si>
    <t>mg kg-1</t>
  </si>
  <si>
    <t>cmole kg-1</t>
  </si>
  <si>
    <t>me 100g-1</t>
  </si>
  <si>
    <t>(%)</t>
  </si>
  <si>
    <t>kg ha-1</t>
  </si>
  <si>
    <t>kg ha-1 yr-1</t>
  </si>
  <si>
    <t>culm ha-1</t>
  </si>
  <si>
    <t>cm</t>
  </si>
  <si>
    <t>m2 ha-1</t>
  </si>
  <si>
    <t>LAI</t>
  </si>
  <si>
    <t>Mg C ha-1</t>
  </si>
  <si>
    <t>Mg C ha-1 yr-1</t>
  </si>
  <si>
    <t>Taiwan</t>
  </si>
  <si>
    <t>Sanjiaolun, Nantou County</t>
  </si>
  <si>
    <t>SCf</t>
  </si>
  <si>
    <t>3 Phyllostachys pubescens stands managed before 2008. The moso bamboo forest of the study site was planted 30 yr ago.</t>
  </si>
  <si>
    <t>TW-NTC-SJL-M</t>
  </si>
  <si>
    <t>Chen et al. (2016)</t>
  </si>
  <si>
    <t>available</t>
  </si>
  <si>
    <t>https://www.researchgate.net/publication/306133854_The_trend_of_growth_characteristics_of_moso_bamboo_Phyllostachys_pubescens_forests_under_an_unmanaged_condition_in_central_Taiwan</t>
  </si>
  <si>
    <t>V</t>
  </si>
  <si>
    <t>RoD</t>
  </si>
  <si>
    <t>RhD</t>
  </si>
  <si>
    <t>StD</t>
  </si>
  <si>
    <t>LD</t>
  </si>
  <si>
    <t>BD</t>
  </si>
  <si>
    <t>CD</t>
  </si>
  <si>
    <t>Dbelow</t>
  </si>
  <si>
    <t>AvgTemp</t>
  </si>
  <si>
    <t>AR</t>
  </si>
  <si>
    <r>
      <t>Supplementary Dataset 1. Raw data matrix of target and independent variables collected from Moso bamboo (</t>
    </r>
    <r>
      <rPr>
        <i/>
        <sz val="10"/>
        <color theme="1"/>
        <rFont val="Helvetica"/>
        <family val="2"/>
      </rPr>
      <t>Phyllostachys edulis</t>
    </r>
    <r>
      <rPr>
        <sz val="10"/>
        <color theme="1"/>
        <rFont val="Helvetica"/>
        <family val="2"/>
      </rPr>
      <t>) worldwide (East Asia)</t>
    </r>
  </si>
  <si>
    <t>Observation order</t>
    <phoneticPr fontId="0" type="noConversion"/>
  </si>
  <si>
    <t>Country</t>
    <phoneticPr fontId="0" type="noConversion"/>
  </si>
  <si>
    <t>Ecological zone code</t>
    <phoneticPr fontId="0" type="noConversion"/>
  </si>
  <si>
    <t>Land use description</t>
    <phoneticPr fontId="0" type="noConversion"/>
  </si>
  <si>
    <t>ID</t>
    <phoneticPr fontId="0" type="noConversion"/>
  </si>
  <si>
    <t>Beginning year</t>
    <phoneticPr fontId="0" type="noConversion"/>
  </si>
  <si>
    <t>Finishing year</t>
    <phoneticPr fontId="0" type="noConversion"/>
  </si>
  <si>
    <t>managed</t>
    <phoneticPr fontId="0" type="noConversion"/>
  </si>
  <si>
    <t>fertilised</t>
    <phoneticPr fontId="0" type="noConversion"/>
  </si>
  <si>
    <t>weeded and selective cutting</t>
    <phoneticPr fontId="0" type="noConversion"/>
  </si>
  <si>
    <t>shoots dug</t>
    <phoneticPr fontId="0" type="noConversion"/>
  </si>
  <si>
    <t>clear cutting</t>
    <phoneticPr fontId="0" type="noConversion"/>
  </si>
  <si>
    <t>mixed with other forests</t>
    <phoneticPr fontId="0" type="noConversion"/>
  </si>
  <si>
    <r>
      <t>mean annual temperature</t>
    </r>
    <r>
      <rPr>
        <vertAlign val="superscript"/>
        <sz val="10"/>
        <color theme="1"/>
        <rFont val="Helvetica"/>
        <family val="2"/>
      </rPr>
      <t>4</t>
    </r>
  </si>
  <si>
    <t>warmth index</t>
    <phoneticPr fontId="0" type="noConversion"/>
  </si>
  <si>
    <r>
      <t>annual rainfall</t>
    </r>
    <r>
      <rPr>
        <vertAlign val="superscript"/>
        <sz val="10"/>
        <color theme="1"/>
        <rFont val="Helvetica"/>
        <family val="2"/>
      </rPr>
      <t>4</t>
    </r>
  </si>
  <si>
    <t>snow</t>
    <phoneticPr fontId="0" type="noConversion"/>
  </si>
  <si>
    <t>elevation (a.s.l.)</t>
    <phoneticPr fontId="0" type="noConversion"/>
  </si>
  <si>
    <t>relative humidity</t>
    <phoneticPr fontId="0" type="noConversion"/>
  </si>
  <si>
    <t>sunshine duration</t>
    <phoneticPr fontId="0" type="noConversion"/>
  </si>
  <si>
    <t>wind speed</t>
    <phoneticPr fontId="0" type="noConversion"/>
  </si>
  <si>
    <t>water content (soil)</t>
    <phoneticPr fontId="0" type="noConversion"/>
  </si>
  <si>
    <t>pH (soil)</t>
    <phoneticPr fontId="0" type="noConversion"/>
  </si>
  <si>
    <t>Total N (soil)</t>
    <phoneticPr fontId="0" type="noConversion"/>
  </si>
  <si>
    <t>Total P (soil)</t>
    <phoneticPr fontId="0" type="noConversion"/>
  </si>
  <si>
    <t>Total K (soil)</t>
    <phoneticPr fontId="0" type="noConversion"/>
  </si>
  <si>
    <r>
      <t>Available P</t>
    </r>
    <r>
      <rPr>
        <vertAlign val="subscript"/>
        <sz val="10"/>
        <color theme="1"/>
        <rFont val="Helvetica"/>
        <family val="2"/>
      </rPr>
      <t>2</t>
    </r>
    <r>
      <rPr>
        <sz val="10"/>
        <color theme="1"/>
        <rFont val="Helvetica"/>
        <family val="2"/>
      </rPr>
      <t>O</t>
    </r>
    <r>
      <rPr>
        <vertAlign val="subscript"/>
        <sz val="10"/>
        <color theme="1"/>
        <rFont val="Helvetica"/>
        <family val="2"/>
      </rPr>
      <t>5</t>
    </r>
    <r>
      <rPr>
        <sz val="10"/>
        <color theme="1"/>
        <rFont val="Helvetica"/>
        <family val="2"/>
      </rPr>
      <t xml:space="preserve"> (soil)</t>
    </r>
  </si>
  <si>
    <t>Available SiO2 (soil)</t>
    <phoneticPr fontId="0" type="noConversion"/>
  </si>
  <si>
    <t>C.E.C (soil)</t>
    <phoneticPr fontId="0" type="noConversion"/>
  </si>
  <si>
    <t>K+ (soil)</t>
    <phoneticPr fontId="0" type="noConversion"/>
  </si>
  <si>
    <t>Ca2+ (soil)</t>
    <phoneticPr fontId="0" type="noConversion"/>
  </si>
  <si>
    <t>Mg2+ (soil)</t>
    <phoneticPr fontId="0" type="noConversion"/>
  </si>
  <si>
    <t>Sand</t>
    <phoneticPr fontId="0" type="noConversion"/>
  </si>
  <si>
    <t>Silt</t>
    <phoneticPr fontId="0" type="noConversion"/>
  </si>
  <si>
    <t>Clay</t>
    <phoneticPr fontId="0" type="noConversion"/>
  </si>
  <si>
    <t>N (litter)</t>
    <phoneticPr fontId="0" type="noConversion"/>
  </si>
  <si>
    <t>Ca (litter)</t>
    <phoneticPr fontId="0" type="noConversion"/>
  </si>
  <si>
    <t>K (litter)</t>
    <phoneticPr fontId="0" type="noConversion"/>
  </si>
  <si>
    <t>Mg (litter)</t>
    <phoneticPr fontId="0" type="noConversion"/>
  </si>
  <si>
    <t>P (litter)</t>
    <phoneticPr fontId="0" type="noConversion"/>
  </si>
  <si>
    <t>Si (storage in Plant above ground)</t>
    <phoneticPr fontId="0" type="noConversion"/>
  </si>
  <si>
    <t>Si (storage in Plant below ground)</t>
    <phoneticPr fontId="0" type="noConversion"/>
  </si>
  <si>
    <t>Si (storage in soil)</t>
    <phoneticPr fontId="0" type="noConversion"/>
  </si>
  <si>
    <t>Si (primary sink in Plant annually)</t>
    <phoneticPr fontId="0" type="noConversion"/>
  </si>
  <si>
    <t>Si (net sink in Plant annually)</t>
    <phoneticPr fontId="0" type="noConversion"/>
  </si>
  <si>
    <t>Si (return to soil)</t>
    <phoneticPr fontId="0" type="noConversion"/>
  </si>
  <si>
    <r>
      <t>Culm density</t>
    </r>
    <r>
      <rPr>
        <vertAlign val="superscript"/>
        <sz val="10"/>
        <color theme="1"/>
        <rFont val="Helvetica"/>
        <family val="2"/>
      </rPr>
      <t>2</t>
    </r>
  </si>
  <si>
    <r>
      <t>Culm DBH</t>
    </r>
    <r>
      <rPr>
        <vertAlign val="superscript"/>
        <sz val="10"/>
        <color theme="1"/>
        <rFont val="Helvetica"/>
        <family val="2"/>
      </rPr>
      <t>3</t>
    </r>
  </si>
  <si>
    <r>
      <t>Culm height</t>
    </r>
    <r>
      <rPr>
        <vertAlign val="superscript"/>
        <sz val="10"/>
        <color theme="1"/>
        <rFont val="Helvetica"/>
        <family val="2"/>
      </rPr>
      <t>3</t>
    </r>
  </si>
  <si>
    <t>Basal area (b.a.)</t>
    <phoneticPr fontId="0" type="noConversion"/>
  </si>
  <si>
    <t>Relative luminosity</t>
    <phoneticPr fontId="0" type="noConversion"/>
  </si>
  <si>
    <t>Leaf area index (Fisheye lens)</t>
    <phoneticPr fontId="0" type="noConversion"/>
  </si>
  <si>
    <t>Leaf area index (leaf area scanner)</t>
    <phoneticPr fontId="0" type="noConversion"/>
  </si>
  <si>
    <t>Leaves C</t>
    <phoneticPr fontId="0" type="noConversion"/>
  </si>
  <si>
    <t>Branches C</t>
    <phoneticPr fontId="0" type="noConversion"/>
  </si>
  <si>
    <t>Culms C</t>
    <phoneticPr fontId="0" type="noConversion"/>
  </si>
  <si>
    <t>Fine roots C</t>
    <phoneticPr fontId="0" type="noConversion"/>
  </si>
  <si>
    <t>Coarse root C</t>
    <phoneticPr fontId="0" type="noConversion"/>
  </si>
  <si>
    <t>Rhizomes C</t>
    <phoneticPr fontId="0" type="noConversion"/>
  </si>
  <si>
    <t>Stump C</t>
    <phoneticPr fontId="0" type="noConversion"/>
  </si>
  <si>
    <t>Soil C (0-10cm)</t>
    <phoneticPr fontId="0" type="noConversion"/>
  </si>
  <si>
    <t>Soil C (10-30cm)</t>
    <phoneticPr fontId="0" type="noConversion"/>
  </si>
  <si>
    <t>Foliages</t>
    <phoneticPr fontId="0" type="noConversion"/>
  </si>
  <si>
    <t>Branches</t>
    <phoneticPr fontId="0" type="noConversion"/>
  </si>
  <si>
    <t>Culms</t>
    <phoneticPr fontId="0" type="noConversion"/>
  </si>
  <si>
    <t>AGC</t>
    <phoneticPr fontId="0" type="noConversion"/>
  </si>
  <si>
    <t>Root_Shoot Ratio</t>
    <phoneticPr fontId="0" type="noConversion"/>
  </si>
  <si>
    <t>Roots</t>
    <phoneticPr fontId="0" type="noConversion"/>
  </si>
  <si>
    <t>Rhizomes</t>
    <phoneticPr fontId="0" type="noConversion"/>
  </si>
  <si>
    <t>Stumps</t>
    <phoneticPr fontId="0" type="noConversion"/>
  </si>
  <si>
    <t>BGC</t>
    <phoneticPr fontId="0" type="noConversion"/>
  </si>
  <si>
    <t>TC (AGC+BGC)</t>
    <phoneticPr fontId="0" type="noConversion"/>
  </si>
  <si>
    <t>Litter layer</t>
    <phoneticPr fontId="0" type="noConversion"/>
  </si>
  <si>
    <t>SC (soil carbon)</t>
    <phoneticPr fontId="0" type="noConversion"/>
  </si>
  <si>
    <t>Undergrowth</t>
    <phoneticPr fontId="0" type="noConversion"/>
  </si>
  <si>
    <t>TEC (Total ecosystem carbon)</t>
    <phoneticPr fontId="0" type="noConversion"/>
  </si>
  <si>
    <t>LNP</t>
    <phoneticPr fontId="0" type="noConversion"/>
  </si>
  <si>
    <t>BNP</t>
    <phoneticPr fontId="0" type="noConversion"/>
  </si>
  <si>
    <t>CNP</t>
    <phoneticPr fontId="0" type="noConversion"/>
  </si>
  <si>
    <t>Litterfall</t>
    <phoneticPr fontId="0" type="noConversion"/>
  </si>
  <si>
    <t>LGP</t>
  </si>
  <si>
    <t>ANPP</t>
    <phoneticPr fontId="0" type="noConversion"/>
  </si>
  <si>
    <t>RoNP</t>
    <phoneticPr fontId="0" type="noConversion"/>
  </si>
  <si>
    <t>RhNP</t>
    <phoneticPr fontId="0" type="noConversion"/>
  </si>
  <si>
    <t>StNP</t>
    <phoneticPr fontId="0" type="noConversion"/>
  </si>
  <si>
    <t>BNPP</t>
    <phoneticPr fontId="0" type="noConversion"/>
  </si>
  <si>
    <t>TNPP</t>
    <phoneticPr fontId="0" type="noConversion"/>
  </si>
  <si>
    <t>SR</t>
    <phoneticPr fontId="0" type="noConversion"/>
  </si>
  <si>
    <t>HR</t>
    <phoneticPr fontId="0" type="noConversion"/>
  </si>
  <si>
    <t>AR</t>
    <phoneticPr fontId="0" type="noConversion"/>
  </si>
  <si>
    <t>NEP</t>
    <phoneticPr fontId="0" type="noConversion"/>
  </si>
  <si>
    <t>References</t>
    <phoneticPr fontId="0" type="noConversion"/>
  </si>
  <si>
    <t>Available or not</t>
    <phoneticPr fontId="0" type="noConversion"/>
  </si>
  <si>
    <t>Link</t>
    <phoneticPr fontId="0" type="noConversion"/>
  </si>
  <si>
    <t>Check data</t>
    <phoneticPr fontId="0" type="noConversion"/>
  </si>
  <si>
    <t>°C</t>
    <phoneticPr fontId="0" type="noConversion"/>
  </si>
  <si>
    <t>m</t>
    <phoneticPr fontId="0" type="noConversion"/>
  </si>
  <si>
    <t>%</t>
    <phoneticPr fontId="0" type="noConversion"/>
  </si>
  <si>
    <r>
      <t>hr yr</t>
    </r>
    <r>
      <rPr>
        <vertAlign val="superscript"/>
        <sz val="10"/>
        <color theme="1"/>
        <rFont val="Helvetica"/>
        <family val="2"/>
      </rPr>
      <t>-1</t>
    </r>
  </si>
  <si>
    <r>
      <t>m s</t>
    </r>
    <r>
      <rPr>
        <vertAlign val="superscript"/>
        <sz val="10"/>
        <color theme="1"/>
        <rFont val="Helvetica"/>
        <family val="2"/>
      </rPr>
      <t>-1</t>
    </r>
  </si>
  <si>
    <r>
      <t>kg kg</t>
    </r>
    <r>
      <rPr>
        <vertAlign val="superscript"/>
        <sz val="10"/>
        <color theme="1"/>
        <rFont val="Helvetica"/>
        <family val="2"/>
      </rPr>
      <t>-1</t>
    </r>
  </si>
  <si>
    <t>KCl</t>
    <phoneticPr fontId="0" type="noConversion"/>
  </si>
  <si>
    <r>
      <t>(H</t>
    </r>
    <r>
      <rPr>
        <vertAlign val="subscript"/>
        <sz val="10"/>
        <color theme="1"/>
        <rFont val="Helvetica"/>
        <family val="2"/>
      </rPr>
      <t>2</t>
    </r>
    <r>
      <rPr>
        <sz val="10"/>
        <color theme="1"/>
        <rFont val="Helvetica"/>
        <family val="2"/>
      </rPr>
      <t>O 1:5)</t>
    </r>
  </si>
  <si>
    <r>
      <t>g kg</t>
    </r>
    <r>
      <rPr>
        <vertAlign val="superscript"/>
        <sz val="10"/>
        <color theme="1"/>
        <rFont val="Helvetica"/>
        <family val="2"/>
      </rPr>
      <t>-1</t>
    </r>
  </si>
  <si>
    <r>
      <t>mg kg</t>
    </r>
    <r>
      <rPr>
        <vertAlign val="superscript"/>
        <sz val="10"/>
        <color theme="1"/>
        <rFont val="Helvetica"/>
        <family val="2"/>
      </rPr>
      <t>-1</t>
    </r>
  </si>
  <si>
    <r>
      <t>cmole kg</t>
    </r>
    <r>
      <rPr>
        <vertAlign val="superscript"/>
        <sz val="10"/>
        <color theme="1"/>
        <rFont val="Helvetica"/>
        <family val="2"/>
      </rPr>
      <t>-1</t>
    </r>
  </si>
  <si>
    <r>
      <t>me 100g</t>
    </r>
    <r>
      <rPr>
        <vertAlign val="superscript"/>
        <sz val="10"/>
        <color theme="1"/>
        <rFont val="Helvetica"/>
        <family val="2"/>
      </rPr>
      <t>-1</t>
    </r>
  </si>
  <si>
    <t>(%)</t>
    <phoneticPr fontId="0" type="noConversion"/>
  </si>
  <si>
    <r>
      <t>kg ha</t>
    </r>
    <r>
      <rPr>
        <vertAlign val="superscript"/>
        <sz val="10"/>
        <color theme="1"/>
        <rFont val="Helvetica"/>
        <family val="2"/>
      </rPr>
      <t>-1</t>
    </r>
  </si>
  <si>
    <r>
      <t>kg ha</t>
    </r>
    <r>
      <rPr>
        <vertAlign val="superscript"/>
        <sz val="10"/>
        <color theme="1"/>
        <rFont val="Helvetica"/>
        <family val="2"/>
      </rPr>
      <t xml:space="preserve">-1 </t>
    </r>
    <r>
      <rPr>
        <sz val="10"/>
        <color theme="1"/>
        <rFont val="Helvetica"/>
        <family val="2"/>
      </rPr>
      <t>yr</t>
    </r>
    <r>
      <rPr>
        <vertAlign val="superscript"/>
        <sz val="10"/>
        <color theme="1"/>
        <rFont val="Helvetica"/>
        <family val="2"/>
      </rPr>
      <t>-1</t>
    </r>
  </si>
  <si>
    <r>
      <t>culm ha</t>
    </r>
    <r>
      <rPr>
        <vertAlign val="superscript"/>
        <sz val="10"/>
        <color theme="1"/>
        <rFont val="Helvetica"/>
        <family val="2"/>
      </rPr>
      <t>-1</t>
    </r>
  </si>
  <si>
    <r>
      <t>m</t>
    </r>
    <r>
      <rPr>
        <vertAlign val="superscript"/>
        <sz val="10"/>
        <color theme="1"/>
        <rFont val="Helvetica"/>
        <family val="2"/>
      </rPr>
      <t xml:space="preserve">2 </t>
    </r>
    <r>
      <rPr>
        <sz val="10"/>
        <color theme="1"/>
        <rFont val="Helvetica"/>
        <family val="2"/>
      </rPr>
      <t>ha</t>
    </r>
    <r>
      <rPr>
        <vertAlign val="superscript"/>
        <sz val="10"/>
        <color theme="1"/>
        <rFont val="Helvetica"/>
        <family val="2"/>
      </rPr>
      <t>-1</t>
    </r>
  </si>
  <si>
    <t>LAI</t>
    <phoneticPr fontId="0" type="noConversion"/>
  </si>
  <si>
    <r>
      <t>Mg C ha</t>
    </r>
    <r>
      <rPr>
        <vertAlign val="superscript"/>
        <sz val="10"/>
        <color theme="1"/>
        <rFont val="Helvetica"/>
        <family val="2"/>
      </rPr>
      <t>-1</t>
    </r>
  </si>
  <si>
    <r>
      <t>Mg C ha</t>
    </r>
    <r>
      <rPr>
        <vertAlign val="superscript"/>
        <sz val="10"/>
        <color theme="1"/>
        <rFont val="Helvetica"/>
        <family val="2"/>
      </rPr>
      <t>-1</t>
    </r>
    <r>
      <rPr>
        <sz val="10"/>
        <color theme="1"/>
        <rFont val="Helvetica"/>
        <family val="2"/>
      </rPr>
      <t xml:space="preserve"> yr</t>
    </r>
    <r>
      <rPr>
        <vertAlign val="superscript"/>
        <sz val="10"/>
        <color theme="1"/>
        <rFont val="Helvetica"/>
        <family val="2"/>
      </rPr>
      <t>-1</t>
    </r>
  </si>
  <si>
    <t>China</t>
  </si>
  <si>
    <t>Fangdang, north part of Fujian province (nearby Wu Yi Mount)</t>
    <phoneticPr fontId="0" type="noConversion"/>
  </si>
  <si>
    <t>SCf</t>
    <phoneticPr fontId="0" type="noConversion"/>
  </si>
  <si>
    <t>9 managed Moso bamboo (Phyllostachys pubescens) plots</t>
    <phoneticPr fontId="0" type="noConversion"/>
  </si>
  <si>
    <t>CN-FJP-FD-9P</t>
    <phoneticPr fontId="0" type="noConversion"/>
  </si>
  <si>
    <t>Zhuang et al. (2015)</t>
    <phoneticPr fontId="0" type="noConversion"/>
  </si>
  <si>
    <t>available</t>
    <phoneticPr fontId="0" type="noConversion"/>
  </si>
  <si>
    <t>https://www.cabdirect.org/cabdirect/abstract/20153321847</t>
    <phoneticPr fontId="0" type="noConversion"/>
  </si>
  <si>
    <t>V</t>
    <phoneticPr fontId="0" type="noConversion"/>
  </si>
  <si>
    <t>Ouning, north part of Fujian province (nearby Wu Yi Mount)</t>
    <phoneticPr fontId="0" type="noConversion"/>
  </si>
  <si>
    <t>CN-FJP-ON-9P</t>
    <phoneticPr fontId="0" type="noConversion"/>
  </si>
  <si>
    <t>Zhuang et al. (2015)</t>
  </si>
  <si>
    <t>Wuyishan Biosphere Reserv, Fujian</t>
    <phoneticPr fontId="0" type="noConversion"/>
  </si>
  <si>
    <t>SM</t>
    <phoneticPr fontId="0" type="noConversion"/>
  </si>
  <si>
    <t>Unmanaged Phyllostachys heterocycla var. pubescens stand</t>
    <phoneticPr fontId="0" type="noConversion"/>
  </si>
  <si>
    <t>CN-FJP-WYS</t>
    <phoneticPr fontId="0" type="noConversion"/>
  </si>
  <si>
    <t>Li et al. (2006)</t>
    <phoneticPr fontId="0" type="noConversion"/>
  </si>
  <si>
    <t>https://www.ncbi.nlm.nih.gov/pmc/articles/PMC1635818/</t>
    <phoneticPr fontId="0" type="noConversion"/>
  </si>
  <si>
    <t>Xiaoqiao, north part of Fujian province (nearby Wu Yi Mount)</t>
    <phoneticPr fontId="0" type="noConversion"/>
  </si>
  <si>
    <t>CN-FJP-XQ-9P</t>
    <phoneticPr fontId="0" type="noConversion"/>
  </si>
  <si>
    <t>https://www.researchgate.net/profile/Shunyao_Zhuang/publication/281752141_Carbon_storage_estimation_of_Moso_bamboo_Phyllostachys_pubescens_forest_stands_in_Fujian_China/links/569591e908ae3ad8e33d8918.pdf</t>
    <phoneticPr fontId="0" type="noConversion"/>
  </si>
  <si>
    <t>Fujian province, Yong'an county, Tianbaoyan National Nature Reserve</t>
  </si>
  <si>
    <t>Phyllostachys pubescens stand, 13 years fertilization. Management: bamboo shoots dug out in march, grass cut once during Jun - Sept.</t>
    <phoneticPr fontId="0" type="noConversion"/>
  </si>
  <si>
    <t>CN-FJP-YAC-TNNR-13YF</t>
    <phoneticPr fontId="0" type="noConversion"/>
  </si>
  <si>
    <t>Chen et al. (2012)</t>
    <phoneticPr fontId="0" type="noConversion"/>
  </si>
  <si>
    <t>http://zlxb.zafu.edu.cn/CN/10.11833/j.issn.2095-0756.2012.01.010</t>
    <phoneticPr fontId="0" type="noConversion"/>
  </si>
  <si>
    <t>Fujian province, Yong'an county, Tianbaoyan National Nature Reserve</t>
    <phoneticPr fontId="0" type="noConversion"/>
  </si>
  <si>
    <r>
      <t>Pure phyllostachys edulis stand. Weeded once a year, fertilised every 2 yrs. Amount of fertilizers added = 0.25 kg per culm (N:P</t>
    </r>
    <r>
      <rPr>
        <vertAlign val="subscript"/>
        <sz val="10"/>
        <color theme="1"/>
        <rFont val="Helvetica"/>
        <family val="2"/>
      </rPr>
      <t>2</t>
    </r>
    <r>
      <rPr>
        <sz val="10"/>
        <color theme="1"/>
        <rFont val="Helvetica"/>
        <family val="2"/>
      </rPr>
      <t>O</t>
    </r>
    <r>
      <rPr>
        <vertAlign val="subscript"/>
        <sz val="10"/>
        <color theme="1"/>
        <rFont val="Helvetica"/>
        <family val="2"/>
      </rPr>
      <t>5</t>
    </r>
    <r>
      <rPr>
        <sz val="10"/>
        <color theme="1"/>
        <rFont val="Helvetica"/>
        <family val="2"/>
      </rPr>
      <t>:K</t>
    </r>
    <r>
      <rPr>
        <vertAlign val="subscript"/>
        <sz val="10"/>
        <color theme="1"/>
        <rFont val="Helvetica"/>
        <family val="2"/>
      </rPr>
      <t>2</t>
    </r>
    <r>
      <rPr>
        <sz val="10"/>
        <color theme="1"/>
        <rFont val="Helvetica"/>
        <family val="2"/>
      </rPr>
      <t>O=9:5:6)</t>
    </r>
  </si>
  <si>
    <t>CN-FJP-YAC-TNNR-2YFEY</t>
    <phoneticPr fontId="0" type="noConversion"/>
  </si>
  <si>
    <t>Fan et al. (2011)</t>
    <phoneticPr fontId="0" type="noConversion"/>
  </si>
  <si>
    <t>http://ahnydxxb.ahau.edu.cn/ch/reader/view_abstract.aspx?file_no=201106005&amp;flag=1</t>
    <phoneticPr fontId="0" type="noConversion"/>
  </si>
  <si>
    <t>Phyllostachys pubescens stand, 5 years fertilization. Management: bamboo shoots dug out in march, grass cut once during Jun - Sept.</t>
    <phoneticPr fontId="0" type="noConversion"/>
  </si>
  <si>
    <t>CN-FJP-YAC-TNNR-5YF</t>
    <phoneticPr fontId="0" type="noConversion"/>
  </si>
  <si>
    <t>Phyllostachys pubescens stand, no fertilization. Management: bamboo shoots dug out in march, grass cut once during Jun - Sept.</t>
    <phoneticPr fontId="0" type="noConversion"/>
  </si>
  <si>
    <t>CN-FJP-YAC-TNNR-NF</t>
    <phoneticPr fontId="0" type="noConversion"/>
  </si>
  <si>
    <t>Dingmushan Forest Farm, Chibi city, Hubei province</t>
  </si>
  <si>
    <t xml:space="preserve">Moso bamboo in managed stand with appling pesticides </t>
    <phoneticPr fontId="0" type="noConversion"/>
  </si>
  <si>
    <t>CN-HBP-CC-DFF-AP</t>
    <phoneticPr fontId="0" type="noConversion"/>
  </si>
  <si>
    <t>Tang et al. (2015)</t>
    <phoneticPr fontId="0" type="noConversion"/>
  </si>
  <si>
    <t>http://www.sisef.it/iforest/contents/?id=ifor1674-008</t>
  </si>
  <si>
    <t>Moso bamboo in managed stand with hand-weeded</t>
    <phoneticPr fontId="0" type="noConversion"/>
  </si>
  <si>
    <t>CN-HBP-CC-DFF-HW</t>
    <phoneticPr fontId="0" type="noConversion"/>
  </si>
  <si>
    <t>Tang et al. (2015)</t>
  </si>
  <si>
    <t>Dingmushan Forest Farm, Chibi city, Hubei province</t>
    <phoneticPr fontId="0" type="noConversion"/>
  </si>
  <si>
    <t>Moso bamboo in unmanaged stand</t>
    <phoneticPr fontId="0" type="noConversion"/>
  </si>
  <si>
    <t>CN-HBP-CC-DMS</t>
    <phoneticPr fontId="0" type="noConversion"/>
  </si>
  <si>
    <t>Huitong County, Hunan province</t>
    <phoneticPr fontId="0" type="noConversion"/>
  </si>
  <si>
    <t>Unmanaged before 1988</t>
    <phoneticPr fontId="0" type="noConversion"/>
  </si>
  <si>
    <t>CN-HNP-HTC</t>
    <phoneticPr fontId="0" type="noConversion"/>
  </si>
  <si>
    <t>Xiao et al. (2009); Xiao et al. (2010)</t>
    <phoneticPr fontId="0" type="noConversion"/>
  </si>
  <si>
    <t>http://www.airitilibrary.com/Publication/alDetailedMesh?DocID=10017488-201011-201101220039-201101220039-59-65</t>
    <phoneticPr fontId="0" type="noConversion"/>
  </si>
  <si>
    <t>Fengyi county, Jiangxi province</t>
    <phoneticPr fontId="0" type="noConversion"/>
  </si>
  <si>
    <t>Mount Dagangshan experimental area within Subtropical Forest Experimental Center, Chinese Academy of Forestry, Fengyi county, Jiangxi province (huge cold damaged)</t>
    <phoneticPr fontId="0" type="noConversion"/>
  </si>
  <si>
    <t>CN-JXP-FYC-MDASEA</t>
    <phoneticPr fontId="0" type="noConversion"/>
  </si>
  <si>
    <t>Zhou et al. (2011)</t>
    <phoneticPr fontId="0" type="noConversion"/>
  </si>
  <si>
    <t>https://agupubs.onlinelibrary.wiley.com/doi/full/10.1029/2009JG001234</t>
    <phoneticPr fontId="0" type="noConversion"/>
  </si>
  <si>
    <t>Middle subtropical of China</t>
    <phoneticPr fontId="0" type="noConversion"/>
  </si>
  <si>
    <t>18 Phyllostachys pubescens study sites for middle subtropical of China (MS)</t>
    <phoneticPr fontId="0" type="noConversion"/>
  </si>
  <si>
    <t>CN-MS-18P</t>
    <phoneticPr fontId="0" type="noConversion"/>
  </si>
  <si>
    <t>Wang et al. (2013) (Zhou&amp;Jiang, 2004; Gao, 2004; Wang et al., 2009; Xiao et al., 2010; Zhang, 2008)</t>
    <phoneticPr fontId="0" type="noConversion"/>
  </si>
  <si>
    <t>https://www.jstor.org/stable/43595383?read-now=1&amp;seq=1#page_scan_tab_contents</t>
  </si>
  <si>
    <t>North subtropical of China</t>
    <phoneticPr fontId="0" type="noConversion"/>
  </si>
  <si>
    <t>4 Phyllostachys pubescens study sites for north subtropical of China (NS)</t>
    <phoneticPr fontId="0" type="noConversion"/>
  </si>
  <si>
    <t>CN-NS-4P</t>
    <phoneticPr fontId="0" type="noConversion"/>
  </si>
  <si>
    <t>Wang et al. (2013) (Zhang&amp;Ding, 1997; Pan et al., 2010)</t>
    <phoneticPr fontId="0" type="noConversion"/>
  </si>
  <si>
    <t>Southenwest mountain subtropical of China</t>
    <phoneticPr fontId="0" type="noConversion"/>
  </si>
  <si>
    <t>2 Phyllostachys pubescens study sites for southenwest mountain subtropical of China (SM)</t>
    <phoneticPr fontId="0" type="noConversion"/>
  </si>
  <si>
    <t>CN-SM-2P</t>
    <phoneticPr fontId="0" type="noConversion"/>
  </si>
  <si>
    <t>Wang et al. (2013) (Qi et al., 2009)</t>
    <phoneticPr fontId="0" type="noConversion"/>
  </si>
  <si>
    <t>South subtropical of China</t>
    <phoneticPr fontId="0" type="noConversion"/>
  </si>
  <si>
    <t>6 Phyllostachys pubescens study sites for south subtropical of China (SS)</t>
    <phoneticPr fontId="0" type="noConversion"/>
  </si>
  <si>
    <t>CN-SS-6P</t>
    <phoneticPr fontId="0" type="noConversion"/>
  </si>
  <si>
    <t>Wang et al. (2013) (He et al., 2008; Zheng et al., 2008)</t>
    <phoneticPr fontId="0" type="noConversion"/>
  </si>
  <si>
    <t>Anji county and Longquan city, Zhejiang province</t>
  </si>
  <si>
    <t>105 plots for Phyllostachys edulis forest</t>
    <phoneticPr fontId="0" type="noConversion"/>
  </si>
  <si>
    <t>CN-ZJP-AJC-105P</t>
    <phoneticPr fontId="0" type="noConversion"/>
  </si>
  <si>
    <t>Fan et al. (2013)</t>
    <phoneticPr fontId="0" type="noConversion"/>
  </si>
  <si>
    <t>http://html.rhhz.net/linyekexue/html/20131125.htm</t>
    <phoneticPr fontId="0" type="noConversion"/>
  </si>
  <si>
    <t>Anji county, NW Zhejiang province, E China</t>
    <phoneticPr fontId="0" type="noConversion"/>
  </si>
  <si>
    <t>28/73 plots for Moso bamboo (Phyllostachys pubescens)(extensive)</t>
    <phoneticPr fontId="0" type="noConversion"/>
  </si>
  <si>
    <t>CN-ZJP-AJC-EX</t>
    <phoneticPr fontId="0" type="noConversion"/>
  </si>
  <si>
    <t>Fu et al. (2014)</t>
    <phoneticPr fontId="0" type="noConversion"/>
  </si>
  <si>
    <t>https://link.springer.com/article/10.1007/s11368-013-0665-7</t>
  </si>
  <si>
    <t>Anji county, NW Zhejiang province, E China</t>
  </si>
  <si>
    <t>26/73 plots for Moso bamboo (Phyllostachys pubescens) (intensive)</t>
    <phoneticPr fontId="0" type="noConversion"/>
  </si>
  <si>
    <t>CN-ZJP-AJC-IN</t>
    <phoneticPr fontId="0" type="noConversion"/>
  </si>
  <si>
    <t>Fu et al. (2014)</t>
  </si>
  <si>
    <t>19/73 plots for Moso bamboo (Phyllostachys pubescens) (moderate)</t>
    <phoneticPr fontId="0" type="noConversion"/>
  </si>
  <si>
    <t>CN-ZJP-AJC-MO</t>
    <phoneticPr fontId="0" type="noConversion"/>
  </si>
  <si>
    <t>Zhejiang province , Lin'an city, Banqiao village</t>
    <phoneticPr fontId="0" type="noConversion"/>
  </si>
  <si>
    <t>18 plots for Phyllostachys edulis stand.</t>
    <phoneticPr fontId="0" type="noConversion"/>
  </si>
  <si>
    <t>CN-ZJP-LAC-BV-18P</t>
    <phoneticPr fontId="0" type="noConversion"/>
  </si>
  <si>
    <t>Fan et al. (2012)</t>
    <phoneticPr fontId="0" type="noConversion"/>
  </si>
  <si>
    <t>http://zlxb.zafu.edu.cn/EN/10.11833/j.issn.2095-0756.2012.03.001#1</t>
    <phoneticPr fontId="0" type="noConversion"/>
  </si>
  <si>
    <t>Zhejiang province, Lin'an City, Qingshan Town</t>
    <phoneticPr fontId="0" type="noConversion"/>
  </si>
  <si>
    <t>3 plots for Moso bamboo control</t>
    <phoneticPr fontId="0" type="noConversion"/>
  </si>
  <si>
    <t>CN-ZJP-LAC-QST-CON</t>
    <phoneticPr fontId="0" type="noConversion"/>
  </si>
  <si>
    <t>Song et al. (2020)</t>
    <phoneticPr fontId="0" type="noConversion"/>
  </si>
  <si>
    <t>https://advances.sciencemag.org/content/6/12/eaaw5790</t>
    <phoneticPr fontId="0" type="noConversion"/>
  </si>
  <si>
    <t>3 plots for Moso bamboo high N treatment</t>
    <phoneticPr fontId="0" type="noConversion"/>
  </si>
  <si>
    <t>CN-ZJP-LAC-QST-HN</t>
    <phoneticPr fontId="0" type="noConversion"/>
  </si>
  <si>
    <t>https://advances.sciencemag.org/content/6/12/eaaw5793</t>
  </si>
  <si>
    <t>3 plots for Moso bamboo low N treatment</t>
    <phoneticPr fontId="0" type="noConversion"/>
  </si>
  <si>
    <t>CN-ZJP-LAC-QST-LN</t>
    <phoneticPr fontId="0" type="noConversion"/>
  </si>
  <si>
    <t>https://advances.sciencemag.org/content/6/12/eaaw5791</t>
  </si>
  <si>
    <t>3 plots for Moso bamboo midle N treatment</t>
    <phoneticPr fontId="0" type="noConversion"/>
  </si>
  <si>
    <t>CN-ZJP-LAC-QST-MN</t>
    <phoneticPr fontId="0" type="noConversion"/>
  </si>
  <si>
    <t>https://advances.sciencemag.org/content/6/12/eaaw5792</t>
  </si>
  <si>
    <t xml:space="preserve">Zhejiang province, Miaoshanwu Nature Reserve </t>
    <phoneticPr fontId="0" type="noConversion"/>
  </si>
  <si>
    <t>Moso bamboo in managed stand with high produciton</t>
    <phoneticPr fontId="0" type="noConversion"/>
  </si>
  <si>
    <t>CN-ZJP-MNR-HP</t>
    <phoneticPr fontId="0" type="noConversion"/>
  </si>
  <si>
    <t>Huang et al. (1993)</t>
    <phoneticPr fontId="0" type="noConversion"/>
  </si>
  <si>
    <t>http://kns.cnki.net/kcms/detail/detail.aspx?DbCode=CJFD&amp;dbname=CJFD9093&amp;filename=LYKX199305011</t>
    <phoneticPr fontId="0" type="noConversion"/>
  </si>
  <si>
    <t>Moso bamboo in managed stand with middle produciton</t>
    <phoneticPr fontId="0" type="noConversion"/>
  </si>
  <si>
    <t>CN-ZJP-MNR-MP</t>
    <phoneticPr fontId="0" type="noConversion"/>
  </si>
  <si>
    <t>Japan</t>
    <phoneticPr fontId="0" type="noConversion"/>
  </si>
  <si>
    <t>Aichi Prefecture, Japan</t>
    <phoneticPr fontId="0" type="noConversion"/>
  </si>
  <si>
    <t>TeDo</t>
    <phoneticPr fontId="0" type="noConversion"/>
  </si>
  <si>
    <t>Unmanaged Moso bamboo (Phyllostachys pubescens) in Kanpachi, Toyota city</t>
    <phoneticPr fontId="0" type="noConversion"/>
  </si>
  <si>
    <t>JP-ACP-KPC-UM</t>
    <phoneticPr fontId="0" type="noConversion"/>
  </si>
  <si>
    <t>Umemura and Takenaka (2014); Umemura and Takenaka unpublished data</t>
    <phoneticPr fontId="0" type="noConversion"/>
  </si>
  <si>
    <t>https://esj-journals.onlinelibrary.wiley.com/doi/pdf/10.1007/s11284-014-1150-5</t>
    <phoneticPr fontId="0" type="noConversion"/>
  </si>
  <si>
    <t>Unmanaged Moso bamboo (Phyllostachys pubescens) in Noguchi, Toyota city</t>
    <phoneticPr fontId="0" type="noConversion"/>
  </si>
  <si>
    <t>JP-ACP-NGC-UM</t>
    <phoneticPr fontId="0" type="noConversion"/>
  </si>
  <si>
    <t>Unmanaged Moso bamboo (Phyllostachys pubescens) in Seto, Seto city (nearby nagoya)</t>
    <phoneticPr fontId="0" type="noConversion"/>
  </si>
  <si>
    <t>JP-ACP-ST-UM</t>
    <phoneticPr fontId="0" type="noConversion"/>
  </si>
  <si>
    <t>Japan</t>
  </si>
  <si>
    <t>Fukuoka Prefecture, Japan</t>
    <phoneticPr fontId="0" type="noConversion"/>
  </si>
  <si>
    <t>Unmanaged Phyllostachys pubescens stand in Munakata city</t>
    <phoneticPr fontId="0" type="noConversion"/>
  </si>
  <si>
    <t>JP-FOP-MKC-UM</t>
    <phoneticPr fontId="0" type="noConversion"/>
  </si>
  <si>
    <t>Fujii et al. (2005)</t>
    <phoneticPr fontId="0" type="noConversion"/>
  </si>
  <si>
    <t>https://www.jstage.jst.go.jp/article/jila/68/5/68_5_689/_article/-char/ja</t>
  </si>
  <si>
    <t>Gifu Prefecture, Japan</t>
    <phoneticPr fontId="0" type="noConversion"/>
  </si>
  <si>
    <t>Unmanaged Moso bamboo (Phyllostachys pubescens) with Hachiku bamboo (Phyllostachys nigra var. henonis) in Fujihashi mura</t>
    <phoneticPr fontId="0" type="noConversion"/>
  </si>
  <si>
    <t>JP-GFP-FHM-UM</t>
    <phoneticPr fontId="0" type="noConversion"/>
  </si>
  <si>
    <t>Zhang et al. (2005)</t>
    <phoneticPr fontId="0" type="noConversion"/>
  </si>
  <si>
    <t>https://www.jstage.jst.go.jp/article/jass/21/1/21_65/_pdf/-char/ja</t>
    <phoneticPr fontId="0" type="noConversion"/>
  </si>
  <si>
    <t>Managed Phyllostachys pubescens stand in Tsubakibora, Gifu city</t>
    <phoneticPr fontId="0" type="noConversion"/>
  </si>
  <si>
    <t>JP-GFP-TBK-M</t>
    <phoneticPr fontId="0" type="noConversion"/>
  </si>
  <si>
    <t>Goto et al. (2008)</t>
    <phoneticPr fontId="0" type="noConversion"/>
  </si>
  <si>
    <t>https://www.jstage.jst.go.jp/article/jass/24/4/24_243/_article/-char/ja/</t>
    <phoneticPr fontId="0" type="noConversion"/>
  </si>
  <si>
    <t>Unmanaged Phyllostachys pubescens stand in Tsubakibora, Gifu city</t>
    <phoneticPr fontId="0" type="noConversion"/>
  </si>
  <si>
    <t>JP-GFP-TBK-UM</t>
    <phoneticPr fontId="0" type="noConversion"/>
  </si>
  <si>
    <t>Goto et al. (2008)</t>
  </si>
  <si>
    <t>Unmanaged Phyllostachys pubescens with Hachiku bamboo (Phyllostachys nigra var. henonis) stand, Tokuyama, Ibigawa cho</t>
    <phoneticPr fontId="0" type="noConversion"/>
  </si>
  <si>
    <t>JP-GFP-TY-UM</t>
    <phoneticPr fontId="0" type="noConversion"/>
  </si>
  <si>
    <t>Kochi Prefecture, Japan</t>
    <phoneticPr fontId="0" type="noConversion"/>
  </si>
  <si>
    <t>Unmanaged Moso bamboo forests (0.43ha) in Kouchi city</t>
    <phoneticPr fontId="0" type="noConversion"/>
  </si>
  <si>
    <t>JP-KCP-UM</t>
    <phoneticPr fontId="0" type="noConversion"/>
  </si>
  <si>
    <t>Itou et al. (2018)</t>
    <phoneticPr fontId="0" type="noConversion"/>
  </si>
  <si>
    <t>https://www.jstage.jst.go.jp/article/jjfs/100/4/100_124/_article/-char/ja</t>
    <phoneticPr fontId="0" type="noConversion"/>
  </si>
  <si>
    <t>Kagawa Prefecture, Japan</t>
  </si>
  <si>
    <t>Unmanaged Moso bamboo (Phyllostachys pubescens) in Takanmatsu city</t>
    <phoneticPr fontId="0" type="noConversion"/>
  </si>
  <si>
    <t>JP-KGP-TMC-UM</t>
    <phoneticPr fontId="0" type="noConversion"/>
  </si>
  <si>
    <t>Kobayashi and Tada (2010); a part of unpublished data of Kobayashi and Tada (2020)</t>
    <phoneticPr fontId="0" type="noConversion"/>
  </si>
  <si>
    <t>https://www.jstage.jst.go.jp/article/jjsk/58/0/58_KJ00006203544/_article/-char/ja/</t>
    <phoneticPr fontId="0" type="noConversion"/>
  </si>
  <si>
    <t>Kagawa Prefecture, Japan</t>
    <phoneticPr fontId="0" type="noConversion"/>
  </si>
  <si>
    <t>5 unmanaged Moso bamboo (Phyllostachys pubescens) invading to forests in Takanmatsu city</t>
  </si>
  <si>
    <t>JP-KGP-TMC-UMIF</t>
    <phoneticPr fontId="0" type="noConversion"/>
  </si>
  <si>
    <t>https://www.jstage.jst.go.jp/article/jjsk/58/0/58_KJ00006203544/_article/-char/ja/</t>
  </si>
  <si>
    <t>Kagoshima Prefecture, Japan</t>
    <phoneticPr fontId="0" type="noConversion"/>
  </si>
  <si>
    <t>2 unmanaged Moso bamboo (Phyllostachys pubescens) forest in Aira cho (P3, P6) (5</t>
  </si>
  <si>
    <t>JP-KGSMP-AIRC-UM</t>
    <phoneticPr fontId="0" type="noConversion"/>
  </si>
  <si>
    <t>Kumemura et al. (2009); Murakami et al. (2006)</t>
    <phoneticPr fontId="0" type="noConversion"/>
  </si>
  <si>
    <t>https://ir.kagoshima-u.ac.jp/?action=pages_view_main&amp;active_action=repository_view_main_item_detail&amp;item_id=12611&amp;item_no=1&amp;page_id=13&amp;block_id=21</t>
  </si>
  <si>
    <t>Kagoshima Prefecture, Japan</t>
  </si>
  <si>
    <t>1 unmanaged Moso bamboo (Phyllostachys pubescens) forest in Minami-kyusyu city (P4) (5</t>
  </si>
  <si>
    <t>JP-KGSMP-CRC-UM</t>
    <phoneticPr fontId="0" type="noConversion"/>
  </si>
  <si>
    <t>3 unmanaged Moso bamboo (Phyllostachys pubescens) forests in Satsuma cho (P1, P2, P5) (5</t>
  </si>
  <si>
    <t>JP-KGSMP-KTMC-UM</t>
    <phoneticPr fontId="0" type="noConversion"/>
  </si>
  <si>
    <t>Kasuya Research forest, Fukuoka Prefecture, Japan</t>
    <phoneticPr fontId="0" type="noConversion"/>
  </si>
  <si>
    <t>Managed Phyllostachys pubescens forest (bamboo shoot harvested forest)</t>
    <phoneticPr fontId="0" type="noConversion"/>
  </si>
  <si>
    <t>JP-KRF</t>
    <phoneticPr fontId="0" type="noConversion"/>
  </si>
  <si>
    <t>Katayama et al. (2018)</t>
    <phoneticPr fontId="0" type="noConversion"/>
  </si>
  <si>
    <t>https://catalog.lib.kyushu-u.ac.jp/opac_detail_md/?lang=0&amp;amode=MD100000&amp;bibid=1913975</t>
  </si>
  <si>
    <t>Kasuya Research forest, Fukuoka Prefecture, Japan</t>
  </si>
  <si>
    <t>Unmanaged Phyllostachys pubescens forest (control)</t>
    <phoneticPr fontId="0" type="noConversion"/>
  </si>
  <si>
    <t>JP-KRF-UM</t>
    <phoneticPr fontId="0" type="noConversion"/>
  </si>
  <si>
    <t>https://catalog.lib.kyushu-u.ac.jp/opac_detail_md/?lang=0&amp;amode=MD100000&amp;bibid=1913975</t>
    <phoneticPr fontId="0" type="noConversion"/>
  </si>
  <si>
    <t>Kyoto Prefecture, Japan</t>
  </si>
  <si>
    <t>Managed moso bamboo stands with clear cutting in the experimental forest of FFPRI Kansai, Kyoto city</t>
    <phoneticPr fontId="0" type="noConversion"/>
  </si>
  <si>
    <t>JP-KTP-CT89</t>
    <phoneticPr fontId="0" type="noConversion"/>
  </si>
  <si>
    <t>Kawahara et al. (1987)</t>
    <phoneticPr fontId="0" type="noConversion"/>
  </si>
  <si>
    <t>http://web.kyoto-inet.or.jp/people/j-bamboo/bj-5.html</t>
  </si>
  <si>
    <t>3 unmanaged Phyllostachys pubescens stands in Goryo, Kyoto city</t>
  </si>
  <si>
    <t>JP-KTP-GR-UM</t>
    <phoneticPr fontId="0" type="noConversion"/>
  </si>
  <si>
    <t>Watanabe (1985)</t>
    <phoneticPr fontId="0" type="noConversion"/>
  </si>
  <si>
    <t>http://web.kyoto-inet.or.jp/people/j-bamboo/bj-3.html</t>
  </si>
  <si>
    <t>Unmanaged Moso bamboo forests in Kyoto Gakuen University, Sogabe-cho, Kameoka city</t>
    <phoneticPr fontId="0" type="noConversion"/>
  </si>
  <si>
    <t>JP-KTP-KOC-UM</t>
    <phoneticPr fontId="0" type="noConversion"/>
  </si>
  <si>
    <t>Fujii and Nakagawa (2010)</t>
    <phoneticPr fontId="0" type="noConversion"/>
  </si>
  <si>
    <t>http://web.kyoto-inet.or.jp/people/j-bamboo/bj-27.html</t>
  </si>
  <si>
    <t>Rough managed moso bamboo stands in the experimental forest of FFPRI Kansai, Kyoto city</t>
  </si>
  <si>
    <t>JP-KTP-M2019</t>
  </si>
  <si>
    <t>This study (2021)</t>
    <phoneticPr fontId="0" type="noConversion"/>
  </si>
  <si>
    <t>3 managed moso bamboo stands in the experimental forest of FFPRI Kansai, Kyoto city</t>
  </si>
  <si>
    <t>JP-KTP-M71</t>
    <phoneticPr fontId="0" type="noConversion"/>
  </si>
  <si>
    <t>Suzuki (1976)</t>
    <phoneticPr fontId="0" type="noConversion"/>
  </si>
  <si>
    <t>It is a precious data evenough it seems have not been peer-reviewed. But the auther discribed the process detailed enough compared with other peer-reviewed articles (Literature is in the Kyoto University Library)</t>
    <phoneticPr fontId="0" type="noConversion"/>
  </si>
  <si>
    <t>Managed moso bamboo stands with selective cutting in the experimental forest of FFPRI Kansai, Kyoto city</t>
    <phoneticPr fontId="0" type="noConversion"/>
  </si>
  <si>
    <t>JP-KTP-M89</t>
    <phoneticPr fontId="0" type="noConversion"/>
  </si>
  <si>
    <t>5 unmanaged Phyllostachys pubescens stands] in Matsuo, Kyoto city</t>
    <phoneticPr fontId="0" type="noConversion"/>
  </si>
  <si>
    <t>JP-KTP-MO-UM</t>
    <phoneticPr fontId="0" type="noConversion"/>
  </si>
  <si>
    <t>Watanabe (1985)</t>
  </si>
  <si>
    <t>Unmanaged Phyllostachys pubescens stand in Nakayama, Kyoto city</t>
    <phoneticPr fontId="0" type="noConversion"/>
  </si>
  <si>
    <t>JP-KTP-NY-UM</t>
    <phoneticPr fontId="0" type="noConversion"/>
  </si>
  <si>
    <t>Unmanaged moso bamboo stands (original condition) in the experimental forest of FFPRI Kansai, Kyoto city</t>
    <phoneticPr fontId="0" type="noConversion"/>
  </si>
  <si>
    <t>JP-KTP-UM84</t>
    <phoneticPr fontId="0" type="noConversion"/>
  </si>
  <si>
    <t>Kawahara et al. (1987)</t>
  </si>
  <si>
    <t>Unmanaged moso bamboo stands (controls) in the experimental forest of FFPRI Kansai, Kyoto city</t>
    <phoneticPr fontId="0" type="noConversion"/>
  </si>
  <si>
    <t>JP-KTP-UM89</t>
    <phoneticPr fontId="0" type="noConversion"/>
  </si>
  <si>
    <t>Kyoto Prefecture, Japan</t>
    <phoneticPr fontId="0" type="noConversion"/>
  </si>
  <si>
    <t>Unmanaged Phyllostachys pubescens stand in the experimental forest of FFPRI Kansai, Kyoto city</t>
    <phoneticPr fontId="0" type="noConversion"/>
  </si>
  <si>
    <t>JP-KTP-UM91</t>
    <phoneticPr fontId="0" type="noConversion"/>
  </si>
  <si>
    <t>Isagi et al. (1997)</t>
    <phoneticPr fontId="0" type="noConversion"/>
  </si>
  <si>
    <t>https://link.springer.com/article/10.1023/A:1009711814070</t>
  </si>
  <si>
    <t>Osaka Prefecture, Japan</t>
  </si>
  <si>
    <t>TeDo</t>
  </si>
  <si>
    <t>Unmanaged Phyllostachys pubescens Mazel ex Houzeau forest in Mt Tennou in 2005</t>
    <phoneticPr fontId="0" type="noConversion"/>
  </si>
  <si>
    <t>JP-OSP-MTO-UM-abe05</t>
    <phoneticPr fontId="0" type="noConversion"/>
  </si>
  <si>
    <t>Abe and Shibata (2009)</t>
    <phoneticPr fontId="0" type="noConversion"/>
  </si>
  <si>
    <t>https://www.jstage.jst.go.jp/article/jjsrt/35/1/35_1_57/_article/-char/ja</t>
    <phoneticPr fontId="0" type="noConversion"/>
  </si>
  <si>
    <t>Unmanaged Phyllostachys pubescens Mazel ex Houzeau forest in Mt Tennou in 2006</t>
    <phoneticPr fontId="0" type="noConversion"/>
  </si>
  <si>
    <t>JP-OSP-MTO-UM-abe06</t>
    <phoneticPr fontId="0" type="noConversion"/>
  </si>
  <si>
    <t>Abe and Shibata (2009)</t>
  </si>
  <si>
    <t>Unmanaged Phyllostachys pubescens Mazel ex Houzeau forest in Mt Tennou in 2007</t>
    <phoneticPr fontId="0" type="noConversion"/>
  </si>
  <si>
    <t>JP-OSP-MTO-UM-abe07</t>
    <phoneticPr fontId="0" type="noConversion"/>
  </si>
  <si>
    <t>Unmanaged Phyllostachys pubescens Mazel ex Houzeau forest in Mt Tennou in 2008</t>
    <phoneticPr fontId="0" type="noConversion"/>
  </si>
  <si>
    <t>JP-OSP-MTO-UM-abe08</t>
    <phoneticPr fontId="0" type="noConversion"/>
  </si>
  <si>
    <t>Unmanaged Phyllostachys pubescens Mazel ex Houzeau forest in Mt Tennou (pure bamboo forest)</t>
    <phoneticPr fontId="0" type="noConversion"/>
  </si>
  <si>
    <t>JP-OSP-MTO-UMP-fs06</t>
    <phoneticPr fontId="0" type="noConversion"/>
  </si>
  <si>
    <t>Fukushima et al. (2015)</t>
    <phoneticPr fontId="0" type="noConversion"/>
  </si>
  <si>
    <t>https://esj-journals.onlinelibrary.wiley.com/doi/full/10.1111/1442-1984.12066</t>
  </si>
  <si>
    <t>Shimane Prefecture, Japan</t>
    <phoneticPr fontId="0" type="noConversion"/>
  </si>
  <si>
    <t>Abandoned moso bamboo forests (Phyllostachys pubescens) in Matsue city, plot Ab</t>
    <phoneticPr fontId="0" type="noConversion"/>
  </si>
  <si>
    <t>JP-SNP-MEC-Ab-UM</t>
    <phoneticPr fontId="0" type="noConversion"/>
  </si>
  <si>
    <t>Ikegami et al. (2014); Ikegami et al.(2015)</t>
    <phoneticPr fontId="0" type="noConversion"/>
  </si>
  <si>
    <t>https://www.tandfonline.com/doi/full/10.1080/00380768.2014.942794,  https://www.jstage.jst.go.jp/article/jjfe/57/1/57_KJ00009983906/_pdf/-char/ja</t>
  </si>
  <si>
    <t>Korea</t>
    <phoneticPr fontId="0" type="noConversion"/>
  </si>
  <si>
    <t>Korea Forest Research Institute, Jinyu</t>
    <phoneticPr fontId="0" type="noConversion"/>
  </si>
  <si>
    <t>TeDc</t>
    <phoneticPr fontId="0" type="noConversion"/>
  </si>
  <si>
    <t>Managed</t>
    <phoneticPr fontId="0" type="noConversion"/>
  </si>
  <si>
    <t>KR-JU-M</t>
    <phoneticPr fontId="0" type="noConversion"/>
  </si>
  <si>
    <t>Hwang et al. (2005)</t>
    <phoneticPr fontId="0" type="noConversion"/>
  </si>
  <si>
    <t>http://kiss.kstudy.com/thesis/thesis-view.asp?key=2459514</t>
    <phoneticPr fontId="0" type="noConversion"/>
  </si>
  <si>
    <t>Unmanaged</t>
    <phoneticPr fontId="0" type="noConversion"/>
  </si>
  <si>
    <t>KR-JU-UM</t>
    <phoneticPr fontId="0" type="noConversion"/>
  </si>
  <si>
    <t>Lee et al. (2012)</t>
    <phoneticPr fontId="0" type="noConversion"/>
  </si>
  <si>
    <t>http://kiss.kstudy.com/thesis/thesis-view.asp?key=3042038</t>
    <phoneticPr fontId="0" type="noConversion"/>
  </si>
  <si>
    <t>Suncheon</t>
    <phoneticPr fontId="0" type="noConversion"/>
  </si>
  <si>
    <t>KR-SC-UM</t>
    <phoneticPr fontId="0" type="noConversion"/>
  </si>
  <si>
    <t>Park and Ryu (1996)</t>
    <phoneticPr fontId="0" type="noConversion"/>
  </si>
  <si>
    <t>http://kiss.kstudy.com/thesis/thesis-view.asp?key=74524</t>
  </si>
  <si>
    <t>Shi-Zhuo, Mountain Ali</t>
    <phoneticPr fontId="0" type="noConversion"/>
  </si>
  <si>
    <t>3 Phyllostachys pubescens stand at the beginning (unmanaged)</t>
    <phoneticPr fontId="0" type="noConversion"/>
  </si>
  <si>
    <t>TW-CYC-MAL-SZ-UM</t>
    <phoneticPr fontId="0" type="noConversion"/>
  </si>
  <si>
    <r>
      <t>Wang et al. (2009); This study (2021)</t>
    </r>
    <r>
      <rPr>
        <vertAlign val="superscript"/>
        <sz val="10"/>
        <color theme="1"/>
        <rFont val="Helvetica"/>
        <family val="2"/>
      </rPr>
      <t>6</t>
    </r>
  </si>
  <si>
    <t>https://www.researchgate.net/publication/333507633_The_Structures_Aboveground_Biomass_Carbon_Storage_of_Phyllostachys_pubescens_Stand_in_Huisun_Experimental_Forest_Station_and_Shi-Zhuo</t>
    <phoneticPr fontId="0" type="noConversion"/>
  </si>
  <si>
    <t>Feng Huan mountain, Nantou County</t>
  </si>
  <si>
    <t>SM</t>
  </si>
  <si>
    <t>3 Board leaves forest mix Phyllostachys pubescens forest (northeast aspect)</t>
    <phoneticPr fontId="0" type="noConversion"/>
  </si>
  <si>
    <t>TW-NTC-BLM</t>
    <phoneticPr fontId="0" type="noConversion"/>
  </si>
  <si>
    <t>Chen et al. 2011</t>
    <phoneticPr fontId="0" type="noConversion"/>
  </si>
  <si>
    <t>http://www.airitilibrary.com/Publication/alDetailedMesh?docid=05781345-201406-201503020016-201503020016-181-192</t>
    <phoneticPr fontId="0" type="noConversion"/>
  </si>
  <si>
    <t>3 Phyllostachys pubescens in control (northeast aspect)</t>
    <phoneticPr fontId="0" type="noConversion"/>
  </si>
  <si>
    <t>TW-NTC-FHMC-UM</t>
    <phoneticPr fontId="0" type="noConversion"/>
  </si>
  <si>
    <t>3 Phyllostachys pubescens in northwest aspect</t>
    <phoneticPr fontId="0" type="noConversion"/>
  </si>
  <si>
    <t>TW-NTC-FHMNW-UM</t>
    <phoneticPr fontId="0" type="noConversion"/>
  </si>
  <si>
    <t>Daan, (1,200-1,500m) high altitude area of central Taiwan, Nantou County</t>
    <phoneticPr fontId="0" type="noConversion"/>
  </si>
  <si>
    <t>3 Managed Phyllostachys pubescebs stands in (1,200-1,500m) high altitude area</t>
    <phoneticPr fontId="0" type="noConversion"/>
  </si>
  <si>
    <t>TW-NTC-HA</t>
    <phoneticPr fontId="0" type="noConversion"/>
  </si>
  <si>
    <t>Yen and Lee (2011)</t>
  </si>
  <si>
    <t>https://www.sciencedirect.com/science/article/pii/S0378112710007188</t>
  </si>
  <si>
    <t>Huisun Experimental Forest Station, Nantou County</t>
    <phoneticPr fontId="0" type="noConversion"/>
  </si>
  <si>
    <t>3 Phyllostachys pubescens at the beginning (unmanaged) stands</t>
    <phoneticPr fontId="0" type="noConversion"/>
  </si>
  <si>
    <t>TW-NTC-HEFS-07-UM</t>
    <phoneticPr fontId="0" type="noConversion"/>
  </si>
  <si>
    <t>3 Phyllostachys pubescens controls after 2 years</t>
    <phoneticPr fontId="0" type="noConversion"/>
  </si>
  <si>
    <t>TW-NTC-HEFS-09-UM</t>
    <phoneticPr fontId="0" type="noConversion"/>
  </si>
  <si>
    <t>Wang et al. (2010)</t>
    <phoneticPr fontId="0" type="noConversion"/>
  </si>
  <si>
    <t>http://ir.lib.nchu.edu.tw/bitstream/11455/74254/1/143838-3.pdf</t>
  </si>
  <si>
    <t>3 Phyllostachys pubescens clear cutting stands after 2 years</t>
    <phoneticPr fontId="0" type="noConversion"/>
  </si>
  <si>
    <t>TW-NTC-HEFS-CT</t>
    <phoneticPr fontId="0" type="noConversion"/>
  </si>
  <si>
    <t>3 Phyllostachys pubescens selective cutting stands after 2 years</t>
    <phoneticPr fontId="0" type="noConversion"/>
  </si>
  <si>
    <t>TW-NTC-HEFS-SC</t>
    <phoneticPr fontId="0" type="noConversion"/>
  </si>
  <si>
    <t>Daan, (600-900m) lower altitude of central Taiwan, Nantou County</t>
    <phoneticPr fontId="0" type="noConversion"/>
  </si>
  <si>
    <t>3 Managed Phyllostachys pubescebs stands in (600-900m) low altitude area</t>
    <phoneticPr fontId="0" type="noConversion"/>
  </si>
  <si>
    <t>TW-NTC-LA</t>
    <phoneticPr fontId="0" type="noConversion"/>
  </si>
  <si>
    <t>Yen and Lee (2011)</t>
    <phoneticPr fontId="0" type="noConversion"/>
  </si>
  <si>
    <r>
      <t xml:space="preserve">Daan, (900-1,200m) mid </t>
    </r>
    <r>
      <rPr>
        <b/>
        <sz val="10"/>
        <color theme="1"/>
        <rFont val="Helvetica"/>
        <family val="2"/>
      </rPr>
      <t>altitude</t>
    </r>
    <r>
      <rPr>
        <sz val="10"/>
        <color theme="1"/>
        <rFont val="Helvetica"/>
        <family val="2"/>
      </rPr>
      <t xml:space="preserve"> area of central Taiwan, Nantou County</t>
    </r>
  </si>
  <si>
    <t>3 Managed Phyllostachys pubescebs stands in (900-1,200m) mid altitude area</t>
    <phoneticPr fontId="0" type="noConversion"/>
  </si>
  <si>
    <t>TW-NTC-MA</t>
    <phoneticPr fontId="0" type="noConversion"/>
  </si>
  <si>
    <t>3 Phyllostachys pubescens managed with organic fertilisation (northeast aspect)</t>
    <phoneticPr fontId="0" type="noConversion"/>
  </si>
  <si>
    <t>TW-NTC-OF</t>
    <phoneticPr fontId="0" type="noConversion"/>
  </si>
  <si>
    <t>Chen et al. (2011)</t>
    <phoneticPr fontId="0" type="noConversion"/>
  </si>
  <si>
    <t>3 Phyllostachys pubescens managed with fertilising soybean chaff (northeast aspect)</t>
    <phoneticPr fontId="0" type="noConversion"/>
  </si>
  <si>
    <t>TW-NTC-SC</t>
    <phoneticPr fontId="0" type="noConversion"/>
  </si>
  <si>
    <t>Sanjiaolun, Nantou County</t>
    <phoneticPr fontId="0" type="noConversion"/>
  </si>
  <si>
    <t>3 Phyllostachys pubescens stands managed before 2008. The moso bamboo forest of the study site was planted 30 yr ago.</t>
    <phoneticPr fontId="0" type="noConversion"/>
  </si>
  <si>
    <t>TW-NTC-SJL-M</t>
    <phoneticPr fontId="0" type="noConversion"/>
  </si>
  <si>
    <t>Chen et al. (2016)</t>
    <phoneticPr fontId="0" type="noConversion"/>
  </si>
  <si>
    <t>https://www.researchgate.net/publication/306133854_The_trend_of_growth_characteristics_of_moso_bamboo_Phyllostachys_pubescens_forests_under_an_unmanaged_condition_in_central_Taiwan</t>
    <phoneticPr fontId="0" type="noConversion"/>
  </si>
  <si>
    <t>3 Phyllostachys pubescens stands unmanaged between 2008-2014 (managed before 2008). The moso bamboo forest of the study site was planted 30 yr ago.</t>
    <phoneticPr fontId="0" type="noConversion"/>
  </si>
  <si>
    <t>TW-NTC-SJL-UM</t>
    <phoneticPr fontId="0" type="noConversion"/>
  </si>
  <si>
    <t>Sitou Nature Education Area, Nantou County</t>
  </si>
  <si>
    <t>Phyllostachys pubescens managed before 2012</t>
    <phoneticPr fontId="0" type="noConversion"/>
  </si>
  <si>
    <t>TW-NTC-STNEA-M</t>
    <phoneticPr fontId="0" type="noConversion"/>
  </si>
  <si>
    <t>Lin et al. (2017)</t>
    <phoneticPr fontId="0" type="noConversion"/>
  </si>
  <si>
    <t>https://esj-journals.onlinelibrary.wiley.com/doi/full/10.1007/s11284-017-1497-5</t>
  </si>
  <si>
    <t>Phyllostachys pubescens unmanaged between 2012-2015 (managed before 2012)</t>
    <phoneticPr fontId="0" type="noConversion"/>
  </si>
  <si>
    <t>TW-NTC-STNEA-UM</t>
    <phoneticPr fontId="0" type="noConversion"/>
  </si>
  <si>
    <t>China</t>
    <phoneticPr fontId="0" type="noConversion"/>
  </si>
  <si>
    <t xml:space="preserve">Hangzhou City, Zhejiang Province, China </t>
    <phoneticPr fontId="0" type="noConversion"/>
  </si>
  <si>
    <t>5 general management Phyllostachys pubescens stands</t>
    <phoneticPr fontId="0" type="noConversion"/>
  </si>
  <si>
    <t>CN-ZJP-HZC-M</t>
    <phoneticPr fontId="0" type="noConversion"/>
  </si>
  <si>
    <t>Yin et al. (2019)</t>
    <phoneticPr fontId="0" type="noConversion"/>
  </si>
  <si>
    <t>https://doi.org/10.1016/j.foreco.2019.117449</t>
    <phoneticPr fontId="0" type="noConversion"/>
  </si>
  <si>
    <t>5 abandoned Phyllostachys pubescens stands for 2 years</t>
    <phoneticPr fontId="0" type="noConversion"/>
  </si>
  <si>
    <t>CN-ZJP-HZC-UM2</t>
    <phoneticPr fontId="0" type="noConversion"/>
  </si>
  <si>
    <t>11 abandoned Phyllostachys pubescens stands for 7–10 years</t>
    <phoneticPr fontId="0" type="noConversion"/>
  </si>
  <si>
    <t>CN-ZJP-HZC-UM7-10</t>
    <phoneticPr fontId="0" type="noConversion"/>
  </si>
  <si>
    <t>7 abandoned Phyllostachys pubescens stands for 15–18 years</t>
    <phoneticPr fontId="0" type="noConversion"/>
  </si>
  <si>
    <t>CN-ZJP-HZC-UM15-18</t>
    <phoneticPr fontId="0" type="noConversion"/>
  </si>
  <si>
    <t>Gaocai, Nanjing County, Fujian Province, China</t>
    <phoneticPr fontId="0" type="noConversion"/>
  </si>
  <si>
    <t>4 managed Phyllostachys pubescens stands</t>
    <phoneticPr fontId="0" type="noConversion"/>
  </si>
  <si>
    <t>CN-FJP-NJC-GC-M</t>
    <phoneticPr fontId="0" type="noConversion"/>
  </si>
  <si>
    <t>Li et al. (1993)</t>
    <phoneticPr fontId="0" type="noConversion"/>
  </si>
  <si>
    <t>https://core.ac.uk/download/pdf/41355338.pdf</t>
    <phoneticPr fontId="0" type="noConversion"/>
  </si>
  <si>
    <t>Santsuan, Anji county, Zhejiang province, China</t>
    <phoneticPr fontId="0" type="noConversion"/>
  </si>
  <si>
    <t>1 rough managed moso bamboo stands</t>
    <phoneticPr fontId="0" type="noConversion"/>
  </si>
  <si>
    <t>CN-ZJP-AJC-ST-M</t>
    <phoneticPr fontId="0" type="noConversion"/>
  </si>
  <si>
    <t>Sun et al. (2013)</t>
    <phoneticPr fontId="0" type="noConversion"/>
  </si>
  <si>
    <t>http://www.cjae.net/CN/Y2013/V24/I10/2717</t>
    <phoneticPr fontId="0" type="noConversion"/>
  </si>
  <si>
    <t>Qingshan Township, Hangzhou City, Zhejiang Province, China</t>
    <phoneticPr fontId="0" type="noConversion"/>
  </si>
  <si>
    <t xml:space="preserve">4 no fertilizer application (control) Phyllostachys edulis stands, Red Soil (This plantation, which was transformed from a natural evergreen broadleaf forest 10 years prior to the study. After the land-use change, the Moso bamboo plantation was fertilized with 200 kg N ha−1, 39 kg P ha−1 and 75 kg K ha−1each July, usually in the forms of urea, superphosphate, and potassium chloride, respectively. no fertilizer was applied in the selected Moso bamboo plantation between December 2014 and December 2016). </t>
    <phoneticPr fontId="0" type="noConversion"/>
  </si>
  <si>
    <t>CN-ZJP-HZC-QST-C</t>
    <phoneticPr fontId="0" type="noConversion"/>
  </si>
  <si>
    <t>Zhang et al. (2021) a</t>
    <phoneticPr fontId="0" type="noConversion"/>
  </si>
  <si>
    <t>https://doi.org/10.1016/j.apsoil.2020.103758</t>
    <phoneticPr fontId="0" type="noConversion"/>
  </si>
  <si>
    <t xml:space="preserve">4 application of biochar-based fertiliser (BF) Phyllostachys edulis stands, Red Soil (This plantation, which was transformed from a natural evergreen broadleaf forest 10 years prior to the study. After the land-use change, the Moso bamboo plantation was fertilized with 200 kg N ha−1, 39 kg P ha−1 and 75 kg K ha−1each July, usually in the forms of urea, superphosphate, and potassium chloride, respectively. no fertilizer was applied in the selected Moso bamboo plantation between December 2014 and December 2016). </t>
    <phoneticPr fontId="0" type="noConversion"/>
  </si>
  <si>
    <t>CN-ZJP-HZC-QST-BF</t>
    <phoneticPr fontId="0" type="noConversion"/>
  </si>
  <si>
    <t xml:space="preserve">4 application of chemical fertiliser (CF) Phyllostachys edulis stands, Red Soil (This plantation, which was transformed from a natural evergreen broadleaf forest 10 years prior to the study. After the land-use change, the Moso bamboo plantation was fertilized with 200 kg N ha−1, 39 kg P ha−1 and 75 kg K ha−1each July, usually in the forms of urea, superphosphate, and potassium chloride, respectively. no fertilizer was applied in the selected Moso bamboo plantation between December 2014 and December 2016). </t>
    <phoneticPr fontId="0" type="noConversion"/>
  </si>
  <si>
    <t>CN-ZJP-HZC-QST-CF</t>
    <phoneticPr fontId="0" type="noConversion"/>
  </si>
  <si>
    <t xml:space="preserve">4 application of a mixture of BF and CF (BCF) Phyllostachys edulis stands, Red Soil (This plantation, which was transformed from a natural evergreen broadleaf forest 10 years prior to the study. After the land-use change, the Moso bamboo plantation was fertilized with 200 kg N ha−1, 39 kg P ha−1 and 75 kg K ha−1each July, usually in the forms of urea, superphosphate, and potassium chloride, respectively. no fertilizer was applied in the selected Moso bamboo plantation between December 2014 and December 2016). </t>
    <phoneticPr fontId="0" type="noConversion"/>
  </si>
  <si>
    <t>CN-ZJP-HZC-QST-BCF</t>
    <phoneticPr fontId="0" type="noConversion"/>
  </si>
  <si>
    <t>Lin an Distric, Hangzhou City, Zhejiang Province, China</t>
    <phoneticPr fontId="0" type="noConversion"/>
  </si>
  <si>
    <t>9 managed Phyllostachys pubescens stands</t>
    <phoneticPr fontId="0" type="noConversion"/>
  </si>
  <si>
    <t>CN-ZJP-HZC-LN-M</t>
    <phoneticPr fontId="0" type="noConversion"/>
  </si>
  <si>
    <t>Xu et al. (2018)</t>
    <phoneticPr fontId="0" type="noConversion"/>
  </si>
  <si>
    <t>https://doi.org/10.1371/journal.pone.0193024</t>
    <phoneticPr fontId="0" type="noConversion"/>
  </si>
  <si>
    <t>Longyou Distric, Hangzhou City, Zhejiang Province, China</t>
    <phoneticPr fontId="0" type="noConversion"/>
  </si>
  <si>
    <t>CN-ZJP-HZC-LY-M</t>
    <phoneticPr fontId="0" type="noConversion"/>
  </si>
  <si>
    <t>Jian ou District, Fujian Ptovince, China</t>
    <phoneticPr fontId="0" type="noConversion"/>
  </si>
  <si>
    <t>CN-FJP-JO-M</t>
    <phoneticPr fontId="0" type="noConversion"/>
  </si>
  <si>
    <t>Hua an District, Fujian Ptovince, China</t>
    <phoneticPr fontId="0" type="noConversion"/>
  </si>
  <si>
    <t>CN-FJP-HA-M</t>
    <phoneticPr fontId="0" type="noConversion"/>
  </si>
  <si>
    <t>Banqiao town, Lin an District, Hangzhou City, Zhejiang Province, China</t>
    <phoneticPr fontId="0" type="noConversion"/>
  </si>
  <si>
    <t>3 unmanaged Phyllostachys pubescens stands</t>
    <phoneticPr fontId="0" type="noConversion"/>
  </si>
  <si>
    <t>CN-ZJP-HZC-LN-C</t>
    <phoneticPr fontId="0" type="noConversion"/>
  </si>
  <si>
    <t>Xu et al. (2020)</t>
    <phoneticPr fontId="0" type="noConversion"/>
  </si>
  <si>
    <t>https://doi.org/10.1016/j.foreco.2020.118447</t>
    <phoneticPr fontId="0" type="noConversion"/>
  </si>
  <si>
    <t>3 conventional management Phyllostachys pubescens stands (Conventionally managed plantations are selectively and regularly harvested for bamboo stems and shoots according to demand, with no other management practices in place)</t>
    <phoneticPr fontId="0" type="noConversion"/>
  </si>
  <si>
    <t>CN-ZJP-HZC-LN-CM</t>
    <phoneticPr fontId="0" type="noConversion"/>
  </si>
  <si>
    <t>Zhang et al. (2021) b</t>
    <phoneticPr fontId="0" type="noConversion"/>
  </si>
  <si>
    <t>https://doi.org/10.1186/s40663-021-00285-0</t>
    <phoneticPr fontId="0" type="noConversion"/>
  </si>
  <si>
    <t>3 intensive management Phyllostachys pubescens stand</t>
    <phoneticPr fontId="0" type="noConversion"/>
  </si>
  <si>
    <t>CN-ZJP-HZC-LN-IM</t>
    <phoneticPr fontId="0" type="noConversion"/>
  </si>
  <si>
    <t>Yanai, Yamaguchi Prefecture</t>
    <phoneticPr fontId="0" type="noConversion"/>
  </si>
  <si>
    <t>Unmanaged Phyllostachys pubescens stand</t>
    <phoneticPr fontId="0" type="noConversion"/>
  </si>
  <si>
    <t>JP-YGP-YNI-UM</t>
    <phoneticPr fontId="0" type="noConversion"/>
  </si>
  <si>
    <t>Shinohara et al. (2014) (Sado and Yamada, 2007)</t>
    <phoneticPr fontId="0" type="noConversion"/>
  </si>
  <si>
    <t>https://www.jstage.jst.go.jp/article/jjfs/96/6/96_351/_pdf/-char/ja
https://www.jstage.jst.go.jp/article/jfsc/118/0/118_0_465/_pdf/-char/ja</t>
    <phoneticPr fontId="0" type="noConversion"/>
  </si>
  <si>
    <t>Shinnanyo, Yamaguchi Prefecture</t>
    <phoneticPr fontId="0" type="noConversion"/>
  </si>
  <si>
    <t>JP-YGP-SNY-UM</t>
    <phoneticPr fontId="0" type="noConversion"/>
  </si>
  <si>
    <t>Toyota, Yamaguchi Prefecture</t>
    <phoneticPr fontId="0" type="noConversion"/>
  </si>
  <si>
    <t>JP-YGP-TYT-UM</t>
    <phoneticPr fontId="0" type="noConversion"/>
  </si>
  <si>
    <t>Gajwa National Experimental Forest, Forest Biomaterials Research Center, Jinju</t>
    <phoneticPr fontId="0" type="noConversion"/>
  </si>
  <si>
    <r>
      <t>Fertilised - (N:P:K: 21:17:17; 244 kg N ha</t>
    </r>
    <r>
      <rPr>
        <vertAlign val="superscript"/>
        <sz val="10"/>
        <color theme="1"/>
        <rFont val="Helvetica"/>
        <family val="2"/>
      </rPr>
      <t>-1</t>
    </r>
    <r>
      <rPr>
        <sz val="10"/>
        <color theme="1"/>
        <rFont val="Helvetica"/>
        <family val="2"/>
      </rPr>
      <t xml:space="preserve"> yr</t>
    </r>
    <r>
      <rPr>
        <vertAlign val="superscript"/>
        <sz val="10"/>
        <color theme="1"/>
        <rFont val="Helvetica"/>
        <family val="2"/>
      </rPr>
      <t>-1</t>
    </r>
    <r>
      <rPr>
        <sz val="10"/>
        <color theme="1"/>
        <rFont val="Helvetica"/>
        <family val="2"/>
      </rPr>
      <t>, 196 kg P ha</t>
    </r>
    <r>
      <rPr>
        <vertAlign val="superscript"/>
        <sz val="10"/>
        <color theme="1"/>
        <rFont val="Helvetica"/>
        <family val="2"/>
      </rPr>
      <t>-1</t>
    </r>
    <r>
      <rPr>
        <sz val="10"/>
        <color theme="1"/>
        <rFont val="Helvetica"/>
        <family val="2"/>
      </rPr>
      <t xml:space="preserve"> yr</t>
    </r>
    <r>
      <rPr>
        <vertAlign val="superscript"/>
        <sz val="10"/>
        <color theme="1"/>
        <rFont val="Helvetica"/>
        <family val="2"/>
      </rPr>
      <t>-1</t>
    </r>
    <r>
      <rPr>
        <sz val="10"/>
        <color theme="1"/>
        <rFont val="Helvetica"/>
        <family val="2"/>
      </rPr>
      <t>, 196 kg K ha</t>
    </r>
    <r>
      <rPr>
        <vertAlign val="superscript"/>
        <sz val="10"/>
        <color theme="1"/>
        <rFont val="Helvetica"/>
        <family val="2"/>
      </rPr>
      <t>-1</t>
    </r>
    <r>
      <rPr>
        <sz val="10"/>
        <color theme="1"/>
        <rFont val="Helvetica"/>
        <family val="2"/>
      </rPr>
      <t xml:space="preserve"> yr</t>
    </r>
    <r>
      <rPr>
        <vertAlign val="superscript"/>
        <sz val="10"/>
        <color theme="1"/>
        <rFont val="Helvetica"/>
        <family val="2"/>
      </rPr>
      <t>-1</t>
    </r>
    <r>
      <rPr>
        <sz val="10"/>
        <color theme="1"/>
        <rFont val="Helvetica"/>
        <family val="2"/>
      </rPr>
      <t xml:space="preserve">) </t>
    </r>
  </si>
  <si>
    <t>KR-JU-F</t>
    <phoneticPr fontId="0" type="noConversion"/>
  </si>
  <si>
    <t>Kim et al. (2018)</t>
    <phoneticPr fontId="0" type="noConversion"/>
  </si>
  <si>
    <t>https://doi.org/10.3390/f9110671</t>
    <phoneticPr fontId="0" type="noConversion"/>
  </si>
  <si>
    <t>Korea</t>
  </si>
  <si>
    <t>Gajwa National Experimental Forest, Forest Biomaterials Research Center, Jinju</t>
  </si>
  <si>
    <t>TeDc</t>
  </si>
  <si>
    <t>Unfertilised</t>
  </si>
  <si>
    <t>KR-JU-UF</t>
  </si>
  <si>
    <t>Kim et al. (2018)</t>
  </si>
  <si>
    <t>Taiwan</t>
    <phoneticPr fontId="0" type="noConversion"/>
  </si>
  <si>
    <t>Taiwan Province</t>
    <phoneticPr fontId="0" type="noConversion"/>
  </si>
  <si>
    <t>SM/SCf</t>
    <phoneticPr fontId="0" type="noConversion"/>
  </si>
  <si>
    <t>58 Phyllostachys pubescens stands in Taiwan</t>
    <phoneticPr fontId="0" type="noConversion"/>
  </si>
  <si>
    <t>TW</t>
    <phoneticPr fontId="0" type="noConversion"/>
  </si>
  <si>
    <t>Liu and Yen (2021)</t>
    <phoneticPr fontId="0" type="noConversion"/>
  </si>
  <si>
    <t>https://doi.org/10.1016/j.foreco.2020.118745</t>
    <phoneticPr fontId="0" type="noConversion"/>
  </si>
  <si>
    <t>Daan, (600-1,500m) high altitude area of central Taiwan, Nantou County</t>
    <phoneticPr fontId="0" type="noConversion"/>
  </si>
  <si>
    <t>9 Managed Phyllostachys pubescebs stands in (600-1,500m)</t>
    <phoneticPr fontId="0" type="noConversion"/>
  </si>
  <si>
    <t>TW-NTC-LMHA</t>
    <phoneticPr fontId="0" type="noConversion"/>
  </si>
  <si>
    <t>Yen and Wang (2013)</t>
    <phoneticPr fontId="0" type="noConversion"/>
  </si>
  <si>
    <t>https://doi.org/10.1080/13504509.2013.811445</t>
    <phoneticPr fontId="0" type="noConversion"/>
  </si>
  <si>
    <r>
      <rPr>
        <vertAlign val="superscript"/>
        <sz val="12"/>
        <color theme="1"/>
        <rFont val="Helvetica"/>
        <family val="2"/>
      </rPr>
      <t>1</t>
    </r>
    <r>
      <rPr>
        <sz val="12"/>
        <color theme="1"/>
        <rFont val="Helvetica"/>
        <family val="2"/>
      </rPr>
      <t xml:space="preserve"> Components not attached to standing crop (Eg. litter, liana) excluded from AGC </t>
    </r>
  </si>
  <si>
    <r>
      <rPr>
        <vertAlign val="superscript"/>
        <sz val="12"/>
        <color theme="1"/>
        <rFont val="Helvetica"/>
        <family val="2"/>
      </rPr>
      <t>2</t>
    </r>
    <r>
      <rPr>
        <sz val="12"/>
        <color theme="1"/>
        <rFont val="Helvetica"/>
        <family val="2"/>
      </rPr>
      <t xml:space="preserve"> Average or range reported. Unit of measurement as specified unless otherwise stated </t>
    </r>
  </si>
  <si>
    <t xml:space="preserve">3 Average or range reported unless otherwise stated </t>
    <phoneticPr fontId="0" type="noConversion"/>
  </si>
  <si>
    <r>
      <rPr>
        <vertAlign val="superscript"/>
        <sz val="12"/>
        <color theme="1"/>
        <rFont val="Helvetica"/>
        <family val="2"/>
      </rPr>
      <t>4</t>
    </r>
    <r>
      <rPr>
        <sz val="12"/>
        <color theme="1"/>
        <rFont val="Helvetica"/>
        <family val="2"/>
      </rPr>
      <t xml:space="preserve"> Midpoint values reported (max+min/2) if a range was given </t>
    </r>
  </si>
  <si>
    <r>
      <rPr>
        <vertAlign val="superscript"/>
        <sz val="12"/>
        <color theme="1"/>
        <rFont val="Helvetica"/>
        <family val="2"/>
      </rPr>
      <t>5</t>
    </r>
    <r>
      <rPr>
        <sz val="12"/>
        <color theme="1"/>
        <rFont val="Helvetica"/>
        <family val="2"/>
      </rPr>
      <t xml:space="preserve"> Weather factors referance from the cloest weather station if they are not mentioned in original researh articles. We check the nearest weather station's data and input it the data sheet (in Japan https://www.data.jma.go.jp/gmd/risk/obsdl/index.php) (in Taiwan https://e-service.cwb.gov.tw/HistoryDataQuery/index.jsp)</t>
    </r>
  </si>
  <si>
    <r>
      <rPr>
        <vertAlign val="superscript"/>
        <sz val="12"/>
        <color theme="1"/>
        <rFont val="Helvetica"/>
        <family val="2"/>
      </rPr>
      <t>6</t>
    </r>
    <r>
      <rPr>
        <sz val="12"/>
        <color theme="1"/>
        <rFont val="Helvetica"/>
        <family val="2"/>
      </rPr>
      <t xml:space="preserve"> In this study, we reveal the soil nutrients and belowground carbon ratio in Huisun Experimental Forest Station</t>
    </r>
  </si>
  <si>
    <r>
      <rPr>
        <vertAlign val="superscript"/>
        <sz val="12"/>
        <color theme="1"/>
        <rFont val="Helvetica"/>
        <family val="2"/>
      </rPr>
      <t>7</t>
    </r>
    <r>
      <rPr>
        <sz val="12"/>
        <color theme="1"/>
        <rFont val="Helvetica"/>
        <family val="2"/>
      </rPr>
      <t xml:space="preserve"> Managed, fertilised, weeded and selective cutting, shoots dug, clear cutting, and mixed with other forests are dummy variables set via description of original resaerch articles. 1 means yes, and 0 means no.</t>
    </r>
  </si>
  <si>
    <r>
      <rPr>
        <vertAlign val="superscript"/>
        <sz val="12"/>
        <color theme="1"/>
        <rFont val="Helvetica"/>
        <family val="2"/>
      </rPr>
      <t>8</t>
    </r>
    <r>
      <rPr>
        <sz val="12"/>
        <color theme="1"/>
        <rFont val="Helvetica"/>
        <family val="2"/>
      </rPr>
      <t xml:space="preserve"> The holdout data set is from observation 82 to 105 which is not involved any validation and testing</t>
    </r>
  </si>
  <si>
    <t>t</t>
  </si>
  <si>
    <t>Root_Shoot_Ratio</t>
  </si>
  <si>
    <t>TC</t>
  </si>
  <si>
    <t>Litter_layer</t>
  </si>
  <si>
    <t>SC</t>
  </si>
  <si>
    <t>TEC</t>
  </si>
  <si>
    <t>Rough managed moso bamboo stands around FFPRI Kansai, Kyoto city</t>
  </si>
  <si>
    <t>Isagi 1997</t>
  </si>
  <si>
    <t>Wang et al. (2009); This study (2021)6</t>
  </si>
  <si>
    <t>https://www.researchgate.net/publication/333507633_The_Structures_Aboveground_Biomass_Carbon_Storage_of_Phyllostachys_pubescens_Stand_in_Huisun_Experimental_Forest_Station_and_Shi-Zhuo</t>
  </si>
  <si>
    <t>Wang et al. (2010)</t>
  </si>
  <si>
    <t>Huisun Experimental Forest Station, Nantou County</t>
  </si>
  <si>
    <t>Shi-Zhuo, Mountain Ali</t>
  </si>
  <si>
    <t>3 Phyllostachys pubescens stand at the beginning (unmanaged)</t>
  </si>
  <si>
    <t>TW-CYC-MAL-SZ-UM</t>
  </si>
  <si>
    <t>The ratio of biomass in subtropic of mountain climate in P. edulis forests</t>
  </si>
  <si>
    <t>3 Phyllostachys pubescens at the beginning (unmanaged) stands</t>
  </si>
  <si>
    <t>TW-NTC-HEFS-07-UM</t>
  </si>
  <si>
    <t>3 Phyllostachys pubescens control check</t>
  </si>
  <si>
    <t>TW-NTC-HEFS-07-CK</t>
  </si>
  <si>
    <t>NA</t>
  </si>
  <si>
    <t>3 Phyllostachys pubescens control check after 1 year</t>
  </si>
  <si>
    <t>TW-NTC-HEFS-08-CK</t>
  </si>
  <si>
    <t>3 Phyllostachys pubescens control check after 2 years</t>
  </si>
  <si>
    <t>TW-NTC-HEFS-09-CK</t>
  </si>
  <si>
    <t>3 Phyllostachys pubescens selective cutting after treatment</t>
  </si>
  <si>
    <t>TW-NTC-HEFS-07-SC-AT</t>
  </si>
  <si>
    <t>3 Phyllostachys pubescens selective cutting after 1 year</t>
  </si>
  <si>
    <t>TW-NTC-HEFS-08-SC</t>
  </si>
  <si>
    <t>3 Phyllostachys pubescens selective cutting after 2 years</t>
  </si>
  <si>
    <t>TW-NTC-HEFS-09-SC</t>
  </si>
  <si>
    <t>3 Phyllostachys pubescens clear cutting after treatment</t>
  </si>
  <si>
    <t>TW-NTC-HEFS-07-CC-AT</t>
  </si>
  <si>
    <t>3 Phyllostachys pubescens clear cutting after 1 year</t>
  </si>
  <si>
    <t>TW-NTC-HEFS-08-CC</t>
  </si>
  <si>
    <t>3 Phyllostachys pubescens clear cutting after 2 years</t>
  </si>
  <si>
    <t>TW-NTC-HEFS-09-CC</t>
  </si>
  <si>
    <t>3 Phyllostachys pubescens stands unmanaged between 2008-2014 (managed before 2008). The moso bamboo forest of the study site was planted 30 yr ago.</t>
  </si>
  <si>
    <t>TW-NTC-SJL-UM</t>
  </si>
  <si>
    <t>DLitter_layer</t>
  </si>
  <si>
    <t>Column 1</t>
  </si>
  <si>
    <t>Column 2</t>
  </si>
  <si>
    <t>Column 3</t>
  </si>
  <si>
    <t>Soil_HR</t>
  </si>
  <si>
    <t>Aboveground_AR</t>
  </si>
  <si>
    <t>Soil_AR</t>
  </si>
  <si>
    <t>GPP</t>
  </si>
  <si>
    <t>dSC</t>
  </si>
  <si>
    <t>NEP_from_dTEC</t>
  </si>
  <si>
    <t>Litter_layer_HR</t>
  </si>
  <si>
    <t>Foliages_AR</t>
  </si>
  <si>
    <t>Branches_AR</t>
  </si>
  <si>
    <t>Culms_AR</t>
  </si>
  <si>
    <t>NEP_with_Aboveground_Detritus_Litter_layer_HR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</si>
</sst>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Red]\(0.00\)"/>
    <numFmt numFmtId="165" formatCode="0_);[Red]\(0\)"/>
  </numFmts>
  <fonts count="16">
    <font>
      <sz val="11"/>
      <color theme="1"/>
      <name val="Calibri"/>
      <family val="2"/>
      <charset val="128"/>
      <scheme val="minor"/>
    </font>
    <font>
      <sz val="11"/>
      <color theme="1"/>
      <name val="Calibri"/>
      <family val="2"/>
      <scheme val="minor"/>
    </font>
    <font>
      <sz val="12"/>
      <color theme="1"/>
      <name val="Calibri"/>
      <family val="2"/>
      <charset val="136"/>
      <scheme val="minor"/>
    </font>
    <font>
      <sz val="10"/>
      <color theme="1"/>
      <name val="Helvetica"/>
      <family val="2"/>
    </font>
    <font>
      <i/>
      <sz val="10"/>
      <color theme="1"/>
      <name val="Helvetica"/>
      <family val="2"/>
    </font>
    <font>
      <vertAlign val="superscript"/>
      <sz val="10"/>
      <color theme="1"/>
      <name val="Helvetica"/>
      <family val="2"/>
    </font>
    <font>
      <vertAlign val="subscript"/>
      <sz val="10"/>
      <color theme="1"/>
      <name val="Helvetica"/>
      <family val="2"/>
    </font>
    <font>
      <u/>
      <sz val="12"/>
      <color theme="10"/>
      <name val="Calibri"/>
      <family val="2"/>
      <charset val="136"/>
      <scheme val="minor"/>
    </font>
    <font>
      <u/>
      <sz val="10"/>
      <color theme="1"/>
      <name val="Helvetica"/>
      <family val="2"/>
    </font>
    <font>
      <b/>
      <sz val="10"/>
      <color theme="1"/>
      <name val="Helvetica"/>
      <family val="2"/>
    </font>
    <font>
      <sz val="12"/>
      <color theme="1"/>
      <name val="Helvetica"/>
      <family val="2"/>
    </font>
    <font>
      <vertAlign val="superscript"/>
      <sz val="12"/>
      <color theme="1"/>
      <name val="Helvetica"/>
      <family val="2"/>
    </font>
    <font>
      <sz val="12"/>
      <color theme="1"/>
      <name val="Times New Roman"/>
      <family val="1"/>
    </font>
    <font>
      <sz val="10"/>
      <color theme="1"/>
      <name val="Times New Roman"/>
      <family val="1"/>
    </font>
    <font>
      <i/>
      <sz val="11"/>
      <color theme="1"/>
      <name val="Calibri"/>
      <family val="2"/>
      <charset val="128"/>
      <scheme val="minor"/>
    </font>
    <font>
      <u/>
      <sz val="11"/>
      <color theme="10"/>
      <name val="Calibri"/>
      <family val="2"/>
      <charset val="128"/>
      <scheme val="minor"/>
    </font>
  </fonts>
  <fills count="2">
    <fill>
      <patternFill patternType="none"/>
    </fill>
    <fill>
      <patternFill patternType="gray125"/>
    </fill>
  </fills>
  <borders count="11">
    <border>
      <left/>
      <right/>
      <top/>
      <bottom/>
      <diagonal/>
    </border>
    <border>
      <left/>
      <right/>
      <top/>
      <bottom style="medium">
        <color indexed="64"/>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diagonal/>
    </border>
    <border>
      <left/>
      <right/>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medium">
        <color indexed="64"/>
      </bottom>
      <diagonal/>
    </border>
  </borders>
  <cellStyleXfs count="5">
    <xf numFmtId="0" fontId="0" fillId="0" borderId="0"/>
    <xf numFmtId="0" fontId="2" fillId="0" borderId="0">
      <alignment vertical="center"/>
    </xf>
    <xf numFmtId="0" fontId="7" fillId="0" borderId="0" applyNumberFormat="0" applyFill="0" applyBorder="0" applyAlignment="0" applyProtection="0">
      <alignment vertical="center"/>
    </xf>
    <xf numFmtId="0" fontId="1" fillId="0" borderId="0"/>
    <xf numFmtId="0" fontId="15" fillId="0" borderId="0" applyNumberFormat="0" applyFill="0" applyBorder="0" applyAlignment="0" applyProtection="0"/>
  </cellStyleXfs>
  <cellXfs count="42">
    <xf numFmtId="0" fontId="0" fillId="0" borderId="0" xfId="0"/>
    <xf numFmtId="0" fontId="3" fillId="0" borderId="1" xfId="1" applyFont="1" applyBorder="1">
      <alignment vertical="center"/>
    </xf>
    <xf numFmtId="0" fontId="3" fillId="0" borderId="0" xfId="1" applyFont="1">
      <alignment vertical="center"/>
    </xf>
    <xf numFmtId="164" fontId="3" fillId="0" borderId="3" xfId="1" applyNumberFormat="1" applyFont="1" applyBorder="1">
      <alignment vertical="center"/>
    </xf>
    <xf numFmtId="164" fontId="3" fillId="0" borderId="0" xfId="1" applyNumberFormat="1" applyFont="1">
      <alignment vertical="center"/>
    </xf>
    <xf numFmtId="0" fontId="3" fillId="0" borderId="7" xfId="1" applyFont="1" applyBorder="1">
      <alignment vertical="center"/>
    </xf>
    <xf numFmtId="164" fontId="3" fillId="0" borderId="7" xfId="1" applyNumberFormat="1" applyFont="1" applyBorder="1">
      <alignment vertical="center"/>
    </xf>
    <xf numFmtId="0" fontId="8" fillId="0" borderId="7" xfId="2" applyFont="1" applyFill="1" applyBorder="1">
      <alignment vertical="center"/>
    </xf>
    <xf numFmtId="0" fontId="3" fillId="0" borderId="8" xfId="1" applyFont="1" applyBorder="1" applyAlignment="1">
      <alignment horizontal="center" vertical="center"/>
    </xf>
    <xf numFmtId="0" fontId="3" fillId="0" borderId="9" xfId="1" applyFont="1" applyBorder="1" applyAlignment="1">
      <alignment horizontal="center" vertical="center"/>
    </xf>
    <xf numFmtId="0" fontId="8" fillId="0" borderId="0" xfId="2" applyFont="1" applyFill="1" applyBorder="1">
      <alignment vertical="center"/>
    </xf>
    <xf numFmtId="165" fontId="3" fillId="0" borderId="0" xfId="1" applyNumberFormat="1" applyFont="1">
      <alignment vertical="center"/>
    </xf>
    <xf numFmtId="165" fontId="3" fillId="0" borderId="0" xfId="1" applyNumberFormat="1" applyFont="1" applyAlignment="1">
      <alignment horizontal="right" vertical="center"/>
    </xf>
    <xf numFmtId="164" fontId="3" fillId="0" borderId="0" xfId="1" applyNumberFormat="1" applyFont="1" applyAlignment="1">
      <alignment horizontal="right" vertical="center"/>
    </xf>
    <xf numFmtId="0" fontId="3" fillId="0" borderId="0" xfId="1" applyFont="1" applyAlignment="1">
      <alignment vertical="center" wrapText="1"/>
    </xf>
    <xf numFmtId="0" fontId="3" fillId="0" borderId="5" xfId="1" applyFont="1" applyBorder="1">
      <alignment vertical="center"/>
    </xf>
    <xf numFmtId="164" fontId="3" fillId="0" borderId="5" xfId="1" applyNumberFormat="1" applyFont="1" applyBorder="1">
      <alignment vertical="center"/>
    </xf>
    <xf numFmtId="0" fontId="3" fillId="0" borderId="5" xfId="1" applyFont="1" applyBorder="1" applyAlignment="1">
      <alignment vertical="center" wrapText="1"/>
    </xf>
    <xf numFmtId="0" fontId="8" fillId="0" borderId="5" xfId="2" applyFont="1" applyFill="1" applyBorder="1">
      <alignment vertical="center"/>
    </xf>
    <xf numFmtId="0" fontId="3" fillId="0" borderId="6" xfId="1" applyFont="1" applyBorder="1" applyAlignment="1">
      <alignment horizontal="center" vertical="center"/>
    </xf>
    <xf numFmtId="0" fontId="8" fillId="0" borderId="0" xfId="2" applyFont="1" applyFill="1" applyBorder="1" applyAlignment="1">
      <alignment vertical="center" wrapText="1"/>
    </xf>
    <xf numFmtId="164" fontId="3" fillId="0" borderId="1" xfId="1" applyNumberFormat="1" applyFont="1" applyBorder="1">
      <alignment vertical="center"/>
    </xf>
    <xf numFmtId="0" fontId="8" fillId="0" borderId="1" xfId="2" applyFont="1" applyFill="1" applyBorder="1">
      <alignment vertical="center"/>
    </xf>
    <xf numFmtId="0" fontId="3" fillId="0" borderId="10" xfId="1" applyFont="1" applyBorder="1" applyAlignment="1">
      <alignment horizontal="center" vertical="center"/>
    </xf>
    <xf numFmtId="0" fontId="10" fillId="0" borderId="0" xfId="1" applyFont="1">
      <alignment vertical="center"/>
    </xf>
    <xf numFmtId="0" fontId="12" fillId="0" borderId="0" xfId="1" applyFont="1">
      <alignment vertical="center"/>
    </xf>
    <xf numFmtId="164" fontId="12" fillId="0" borderId="0" xfId="1" applyNumberFormat="1" applyFont="1">
      <alignment vertical="center"/>
    </xf>
    <xf numFmtId="0" fontId="2" fillId="0" borderId="0" xfId="1">
      <alignment vertical="center"/>
    </xf>
    <xf numFmtId="0" fontId="13" fillId="0" borderId="0" xfId="1" applyFont="1">
      <alignment vertical="center"/>
    </xf>
    <xf numFmtId="0" fontId="1" fillId="0" borderId="0" xfId="3"/>
    <xf numFmtId="0" fontId="0" fillId="0" borderId="1" xfId="0" applyBorder="1"/>
    <xf numFmtId="0" fontId="14" fillId="0" borderId="3" xfId="0" applyFont="1" applyBorder="1" applyAlignment="1">
      <alignment horizontal="center"/>
    </xf>
    <xf numFmtId="0" fontId="15" fillId="0" borderId="5" xfId="4" applyFill="1" applyBorder="1" applyAlignment="1">
      <alignment vertical="center"/>
    </xf>
    <xf numFmtId="0" fontId="3" fillId="0" borderId="6" xfId="1" applyFont="1" applyBorder="1" applyAlignment="1">
      <alignment horizontal="center" vertical="center"/>
    </xf>
    <xf numFmtId="0" fontId="3" fillId="0" borderId="2" xfId="1" applyFont="1" applyBorder="1" applyAlignment="1">
      <alignment horizontal="center" vertical="center"/>
    </xf>
    <xf numFmtId="0" fontId="3" fillId="0" borderId="5" xfId="1" applyFont="1" applyBorder="1" applyAlignment="1">
      <alignment horizontal="center" vertical="center"/>
    </xf>
    <xf numFmtId="164" fontId="3" fillId="0" borderId="2" xfId="1" applyNumberFormat="1" applyFont="1" applyBorder="1" applyAlignment="1">
      <alignment horizontal="center" vertical="center"/>
    </xf>
    <xf numFmtId="164" fontId="3" fillId="0" borderId="5" xfId="1" applyNumberFormat="1" applyFont="1" applyBorder="1" applyAlignment="1">
      <alignment horizontal="center" vertical="center"/>
    </xf>
    <xf numFmtId="0" fontId="3" fillId="0" borderId="4" xfId="1" applyFont="1" applyBorder="1" applyAlignment="1">
      <alignment horizontal="center" vertical="center"/>
    </xf>
    <xf numFmtId="0" fontId="3" fillId="0" borderId="6" xfId="1" applyFont="1" applyBorder="1" applyAlignment="1">
      <alignment horizontal="center" vertical="center"/>
    </xf>
    <xf numFmtId="0" fontId="3" fillId="0" borderId="2" xfId="1" applyFont="1" applyBorder="1" applyAlignment="1">
      <alignment horizontal="left" vertical="center"/>
    </xf>
    <xf numFmtId="0" fontId="3" fillId="0" borderId="5" xfId="1" applyFont="1" applyBorder="1" applyAlignment="1">
      <alignment horizontal="left" vertical="center"/>
    </xf>
  </cellXfs>
  <cellStyles count="5">
    <cellStyle name="Hyperlink" xfId="4" builtinId="8"/>
    <cellStyle name="Normal" xfId="0" builtinId="0"/>
    <cellStyle name="Normal 2" xfId="3" xr:uid="{FFE9AB90-156A-4F4B-A358-25FB400345A2}"/>
    <cellStyle name="一般 2" xfId="1" xr:uid="{47265A9A-03E1-4159-800A-337518E29F4E}"/>
    <cellStyle name="超連結 2" xfId="2" xr:uid="{96B36E7E-9A4E-429A-AC5D-E3663E8D7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'SC-HR'!$BX$2</c:f>
              <c:strCache>
                <c:ptCount val="1"/>
                <c:pt idx="0">
                  <c:v>SC (soil carbon)</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6672068429903498E-2"/>
                  <c:y val="-0.3436647661327762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'SC-HR'!$CM$4:$CM$108</c:f>
              <c:numCache>
                <c:formatCode>0.00_);[Red]\(0.00\)</c:formatCode>
                <c:ptCount val="105"/>
                <c:pt idx="11">
                  <c:v>5.5063636363636368</c:v>
                </c:pt>
                <c:pt idx="22">
                  <c:v>0.51</c:v>
                </c:pt>
                <c:pt idx="23">
                  <c:v>1.0900000000000001</c:v>
                </c:pt>
                <c:pt idx="24">
                  <c:v>1.37</c:v>
                </c:pt>
                <c:pt idx="25">
                  <c:v>1.29</c:v>
                </c:pt>
                <c:pt idx="54">
                  <c:v>13.299999999999999</c:v>
                </c:pt>
                <c:pt idx="79">
                  <c:v>4.4800000000000004</c:v>
                </c:pt>
                <c:pt idx="80">
                  <c:v>4.55</c:v>
                </c:pt>
                <c:pt idx="87">
                  <c:v>5.4845454545454544</c:v>
                </c:pt>
                <c:pt idx="88">
                  <c:v>4.83</c:v>
                </c:pt>
                <c:pt idx="89">
                  <c:v>6.0163636363636357</c:v>
                </c:pt>
                <c:pt idx="90">
                  <c:v>5.8554545454545455</c:v>
                </c:pt>
              </c:numCache>
            </c:numRef>
          </c:xVal>
          <c:yVal>
            <c:numRef>
              <c:f>'SC-HR'!$BX$4:$BX$108</c:f>
              <c:numCache>
                <c:formatCode>0.00_);[Red]\(0.00\)</c:formatCode>
                <c:ptCount val="105"/>
                <c:pt idx="0">
                  <c:v>96.45</c:v>
                </c:pt>
                <c:pt idx="1">
                  <c:v>107.54</c:v>
                </c:pt>
                <c:pt idx="3">
                  <c:v>79.14</c:v>
                </c:pt>
                <c:pt idx="10">
                  <c:v>86.17</c:v>
                </c:pt>
                <c:pt idx="11">
                  <c:v>110.95</c:v>
                </c:pt>
                <c:pt idx="18">
                  <c:v>120.2</c:v>
                </c:pt>
                <c:pt idx="19">
                  <c:v>108.1</c:v>
                </c:pt>
                <c:pt idx="20">
                  <c:v>111.7</c:v>
                </c:pt>
                <c:pt idx="21">
                  <c:v>80.834999999999994</c:v>
                </c:pt>
                <c:pt idx="22">
                  <c:v>68.099999999999994</c:v>
                </c:pt>
                <c:pt idx="23">
                  <c:v>66</c:v>
                </c:pt>
                <c:pt idx="24">
                  <c:v>64.099999999999994</c:v>
                </c:pt>
                <c:pt idx="25">
                  <c:v>63</c:v>
                </c:pt>
                <c:pt idx="33">
                  <c:v>84.3</c:v>
                </c:pt>
                <c:pt idx="34">
                  <c:v>61.3</c:v>
                </c:pt>
                <c:pt idx="35">
                  <c:v>113.8</c:v>
                </c:pt>
                <c:pt idx="54">
                  <c:v>101.2</c:v>
                </c:pt>
                <c:pt idx="59">
                  <c:v>54.099999999999994</c:v>
                </c:pt>
                <c:pt idx="69">
                  <c:v>172.8</c:v>
                </c:pt>
                <c:pt idx="80">
                  <c:v>70.25</c:v>
                </c:pt>
                <c:pt idx="81">
                  <c:v>95.03</c:v>
                </c:pt>
                <c:pt idx="82">
                  <c:v>102.78</c:v>
                </c:pt>
                <c:pt idx="83">
                  <c:v>108.94</c:v>
                </c:pt>
                <c:pt idx="84">
                  <c:v>113.72999999999999</c:v>
                </c:pt>
                <c:pt idx="91">
                  <c:v>119.5</c:v>
                </c:pt>
                <c:pt idx="92">
                  <c:v>114.7</c:v>
                </c:pt>
                <c:pt idx="93">
                  <c:v>98.2</c:v>
                </c:pt>
                <c:pt idx="94">
                  <c:v>87.83</c:v>
                </c:pt>
              </c:numCache>
            </c:numRef>
          </c:yVal>
          <c:smooth val="0"/>
          <c:extLst>
            <c:ext xmlns:c16="http://schemas.microsoft.com/office/drawing/2014/chart" uri="{C3380CC4-5D6E-409C-BE32-E72D297353CC}">
              <c16:uniqueId val="{00000001-8F2C-4D20-B270-EAF2A949AD82}"/>
            </c:ext>
          </c:extLst>
        </c:ser>
        <c:dLbls>
          <c:showLegendKey val="0"/>
          <c:showVal val="0"/>
          <c:showCatName val="0"/>
          <c:showSerName val="0"/>
          <c:showPercent val="0"/>
          <c:showBubbleSize val="0"/>
        </c:dLbls>
        <c:axId val="1331778368"/>
        <c:axId val="1357512592"/>
      </c:scatterChart>
      <c:valAx>
        <c:axId val="1331778368"/>
        <c:scaling>
          <c:orientation val="minMax"/>
        </c:scaling>
        <c:delete val="0"/>
        <c:axPos val="b"/>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512592"/>
        <c:crosses val="autoZero"/>
        <c:crossBetween val="midCat"/>
      </c:valAx>
      <c:valAx>
        <c:axId val="1357512592"/>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778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'Llayer-roots'!$BW$2</c:f>
              <c:strCache>
                <c:ptCount val="1"/>
                <c:pt idx="0">
                  <c:v>Litter layer</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0.21727686503845209"/>
                  <c:y val="-4.123070450324976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'Llayer-roots'!$BR$4:$BR$108</c:f>
              <c:numCache>
                <c:formatCode>0.00_);[Red]\(0.00\)</c:formatCode>
                <c:ptCount val="105"/>
                <c:pt idx="0">
                  <c:v>5.9187500000000002</c:v>
                </c:pt>
                <c:pt idx="1">
                  <c:v>6.4937500000000004</c:v>
                </c:pt>
                <c:pt idx="3">
                  <c:v>7.3375000000000004</c:v>
                </c:pt>
                <c:pt idx="4">
                  <c:v>4.8945999999999996</c:v>
                </c:pt>
                <c:pt idx="5">
                  <c:v>8.5560000000000009</c:v>
                </c:pt>
                <c:pt idx="6">
                  <c:v>5.0986000000000002</c:v>
                </c:pt>
                <c:pt idx="7">
                  <c:v>3.1116000000000001</c:v>
                </c:pt>
                <c:pt idx="8">
                  <c:v>3.3424999999999998</c:v>
                </c:pt>
                <c:pt idx="9">
                  <c:v>5.0540000000000003</c:v>
                </c:pt>
                <c:pt idx="10">
                  <c:v>5.766</c:v>
                </c:pt>
                <c:pt idx="26">
                  <c:v>19.32</c:v>
                </c:pt>
                <c:pt idx="27">
                  <c:v>24.285</c:v>
                </c:pt>
                <c:pt idx="28">
                  <c:v>13.084999999999999</c:v>
                </c:pt>
                <c:pt idx="29">
                  <c:v>20.65</c:v>
                </c:pt>
                <c:pt idx="30">
                  <c:v>16.510000000000002</c:v>
                </c:pt>
                <c:pt idx="32">
                  <c:v>4.7549999999999999</c:v>
                </c:pt>
                <c:pt idx="33">
                  <c:v>11.8</c:v>
                </c:pt>
                <c:pt idx="34">
                  <c:v>19.8</c:v>
                </c:pt>
                <c:pt idx="35">
                  <c:v>23.9</c:v>
                </c:pt>
                <c:pt idx="47">
                  <c:v>5.0999999999999996</c:v>
                </c:pt>
                <c:pt idx="54">
                  <c:v>11.187899999999999</c:v>
                </c:pt>
                <c:pt idx="59">
                  <c:v>27.799999999999997</c:v>
                </c:pt>
                <c:pt idx="61">
                  <c:v>3.7250000000000001</c:v>
                </c:pt>
                <c:pt idx="62">
                  <c:v>4.9649999999999999</c:v>
                </c:pt>
                <c:pt idx="63">
                  <c:v>4.9640000000000004</c:v>
                </c:pt>
                <c:pt idx="65">
                  <c:v>3.2</c:v>
                </c:pt>
                <c:pt idx="66">
                  <c:v>3.1</c:v>
                </c:pt>
                <c:pt idx="67">
                  <c:v>3.1</c:v>
                </c:pt>
                <c:pt idx="69">
                  <c:v>0.9</c:v>
                </c:pt>
                <c:pt idx="75">
                  <c:v>3.1</c:v>
                </c:pt>
                <c:pt idx="76">
                  <c:v>3.05</c:v>
                </c:pt>
                <c:pt idx="80">
                  <c:v>6.48</c:v>
                </c:pt>
                <c:pt idx="85">
                  <c:v>6.7223249999999997</c:v>
                </c:pt>
                <c:pt idx="91">
                  <c:v>8.317634</c:v>
                </c:pt>
                <c:pt idx="92">
                  <c:v>5.5105610000000009</c:v>
                </c:pt>
                <c:pt idx="93">
                  <c:v>4.8877759999999997</c:v>
                </c:pt>
                <c:pt idx="94">
                  <c:v>7.1595420000000001</c:v>
                </c:pt>
                <c:pt idx="101">
                  <c:v>1.0106999999999999</c:v>
                </c:pt>
                <c:pt idx="102">
                  <c:v>4.1403999999999996</c:v>
                </c:pt>
              </c:numCache>
            </c:numRef>
          </c:xVal>
          <c:yVal>
            <c:numRef>
              <c:f>'Llayer-roots'!$BW$4:$BW$108</c:f>
              <c:numCache>
                <c:formatCode>0.00_);[Red]\(0.00\)</c:formatCode>
                <c:ptCount val="105"/>
                <c:pt idx="11">
                  <c:v>0.74</c:v>
                </c:pt>
                <c:pt idx="81">
                  <c:v>2.0699999999999998</c:v>
                </c:pt>
                <c:pt idx="82">
                  <c:v>1.43</c:v>
                </c:pt>
                <c:pt idx="83">
                  <c:v>1.9</c:v>
                </c:pt>
                <c:pt idx="84">
                  <c:v>2.65</c:v>
                </c:pt>
                <c:pt idx="91">
                  <c:v>1.799226</c:v>
                </c:pt>
                <c:pt idx="92">
                  <c:v>0.90779500000000013</c:v>
                </c:pt>
                <c:pt idx="93">
                  <c:v>1.0955360000000001</c:v>
                </c:pt>
                <c:pt idx="94">
                  <c:v>1.5749059999999999</c:v>
                </c:pt>
              </c:numCache>
            </c:numRef>
          </c:yVal>
          <c:smooth val="0"/>
          <c:extLst>
            <c:ext xmlns:c16="http://schemas.microsoft.com/office/drawing/2014/chart" uri="{C3380CC4-5D6E-409C-BE32-E72D297353CC}">
              <c16:uniqueId val="{00000001-2C00-45C3-8088-E134E9013678}"/>
            </c:ext>
          </c:extLst>
        </c:ser>
        <c:dLbls>
          <c:showLegendKey val="0"/>
          <c:showVal val="0"/>
          <c:showCatName val="0"/>
          <c:showSerName val="0"/>
          <c:showPercent val="0"/>
          <c:showBubbleSize val="0"/>
        </c:dLbls>
        <c:axId val="1331778368"/>
        <c:axId val="1357512592"/>
      </c:scatterChart>
      <c:valAx>
        <c:axId val="1331778368"/>
        <c:scaling>
          <c:orientation val="minMax"/>
        </c:scaling>
        <c:delete val="0"/>
        <c:axPos val="b"/>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512592"/>
        <c:crosses val="autoZero"/>
        <c:crossBetween val="midCat"/>
      </c:valAx>
      <c:valAx>
        <c:axId val="1357512592"/>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778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'Litterfall-LNP'!$CD$2</c:f>
              <c:strCache>
                <c:ptCount val="1"/>
                <c:pt idx="0">
                  <c:v>Litterfall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5.1831162802681054E-2"/>
                  <c:y val="-0.1495419133008356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'Litterfall-LNP'!$CA$4:$CA$108</c:f>
              <c:numCache>
                <c:formatCode>0.00_);[Red]\(0.00\)</c:formatCode>
                <c:ptCount val="105"/>
                <c:pt idx="5">
                  <c:v>2.9430000000000001</c:v>
                </c:pt>
                <c:pt idx="44">
                  <c:v>2.2800000000000002</c:v>
                </c:pt>
                <c:pt idx="48">
                  <c:v>1.55</c:v>
                </c:pt>
                <c:pt idx="49">
                  <c:v>2.84</c:v>
                </c:pt>
                <c:pt idx="53">
                  <c:v>3.7600000000000002</c:v>
                </c:pt>
                <c:pt idx="54">
                  <c:v>3.05</c:v>
                </c:pt>
                <c:pt idx="57">
                  <c:v>0</c:v>
                </c:pt>
                <c:pt idx="58">
                  <c:v>9.9999999999999645E-2</c:v>
                </c:pt>
                <c:pt idx="60">
                  <c:v>2.835</c:v>
                </c:pt>
                <c:pt idx="63">
                  <c:v>0.68300000000000005</c:v>
                </c:pt>
                <c:pt idx="65">
                  <c:v>0.15</c:v>
                </c:pt>
                <c:pt idx="66">
                  <c:v>0.2</c:v>
                </c:pt>
                <c:pt idx="67">
                  <c:v>0.1</c:v>
                </c:pt>
                <c:pt idx="75">
                  <c:v>0.15</c:v>
                </c:pt>
                <c:pt idx="76">
                  <c:v>0.1</c:v>
                </c:pt>
                <c:pt idx="79">
                  <c:v>0.38</c:v>
                </c:pt>
                <c:pt idx="80">
                  <c:v>0.41</c:v>
                </c:pt>
              </c:numCache>
            </c:numRef>
          </c:xVal>
          <c:yVal>
            <c:numRef>
              <c:f>'Litterfall-LNP'!$CD$4:$CD$108</c:f>
              <c:numCache>
                <c:formatCode>0.00_);[Red]\(0.00\)</c:formatCode>
                <c:ptCount val="105"/>
                <c:pt idx="0">
                  <c:v>1.63</c:v>
                </c:pt>
                <c:pt idx="1">
                  <c:v>1.58</c:v>
                </c:pt>
                <c:pt idx="2">
                  <c:v>0.8982</c:v>
                </c:pt>
                <c:pt idx="3">
                  <c:v>1.71</c:v>
                </c:pt>
                <c:pt idx="8">
                  <c:v>1.9245000000000001</c:v>
                </c:pt>
                <c:pt idx="9">
                  <c:v>1.2304999999999999</c:v>
                </c:pt>
                <c:pt idx="10">
                  <c:v>2.0089999999999999</c:v>
                </c:pt>
                <c:pt idx="11">
                  <c:v>1.1100000000000001</c:v>
                </c:pt>
                <c:pt idx="28">
                  <c:v>3.5950000000000002</c:v>
                </c:pt>
                <c:pt idx="29">
                  <c:v>1.5149999999999999</c:v>
                </c:pt>
                <c:pt idx="30">
                  <c:v>2.63</c:v>
                </c:pt>
                <c:pt idx="33">
                  <c:v>2.8</c:v>
                </c:pt>
                <c:pt idx="34">
                  <c:v>4.7</c:v>
                </c:pt>
                <c:pt idx="35">
                  <c:v>10.5</c:v>
                </c:pt>
                <c:pt idx="36">
                  <c:v>2.1</c:v>
                </c:pt>
                <c:pt idx="37">
                  <c:v>3.49</c:v>
                </c:pt>
                <c:pt idx="38">
                  <c:v>3.976</c:v>
                </c:pt>
                <c:pt idx="44">
                  <c:v>3.1054999999999997</c:v>
                </c:pt>
                <c:pt idx="48">
                  <c:v>5.2</c:v>
                </c:pt>
                <c:pt idx="49">
                  <c:v>3.2167499999999993</c:v>
                </c:pt>
                <c:pt idx="53">
                  <c:v>7.35</c:v>
                </c:pt>
                <c:pt idx="54">
                  <c:v>3.3</c:v>
                </c:pt>
                <c:pt idx="60">
                  <c:v>3.7250000000000001</c:v>
                </c:pt>
                <c:pt idx="79">
                  <c:v>1.99</c:v>
                </c:pt>
                <c:pt idx="80">
                  <c:v>2.1800000000000002</c:v>
                </c:pt>
                <c:pt idx="85">
                  <c:v>1.2375</c:v>
                </c:pt>
              </c:numCache>
            </c:numRef>
          </c:yVal>
          <c:smooth val="0"/>
          <c:extLst>
            <c:ext xmlns:c16="http://schemas.microsoft.com/office/drawing/2014/chart" uri="{C3380CC4-5D6E-409C-BE32-E72D297353CC}">
              <c16:uniqueId val="{00000001-AD14-42AC-83EA-F5A418D1D307}"/>
            </c:ext>
          </c:extLst>
        </c:ser>
        <c:dLbls>
          <c:showLegendKey val="0"/>
          <c:showVal val="0"/>
          <c:showCatName val="0"/>
          <c:showSerName val="0"/>
          <c:showPercent val="0"/>
          <c:showBubbleSize val="0"/>
        </c:dLbls>
        <c:axId val="1331778368"/>
        <c:axId val="1357512592"/>
      </c:scatterChart>
      <c:valAx>
        <c:axId val="1331778368"/>
        <c:scaling>
          <c:orientation val="minMax"/>
        </c:scaling>
        <c:delete val="0"/>
        <c:axPos val="b"/>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512592"/>
        <c:crosses val="autoZero"/>
        <c:crossBetween val="midCat"/>
      </c:valAx>
      <c:valAx>
        <c:axId val="1357512592"/>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778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A_Table S1'!$CD$2</c:f>
              <c:strCache>
                <c:ptCount val="1"/>
                <c:pt idx="0">
                  <c:v>Litterfall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5.1831162802681054E-2"/>
                  <c:y val="-0.1495419133008356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'Task A_Table S1'!$CA$4:$CA$108</c:f>
              <c:numCache>
                <c:formatCode>0.00_);[Red]\(0.00\)</c:formatCode>
                <c:ptCount val="105"/>
                <c:pt idx="5">
                  <c:v>2.9430000000000001</c:v>
                </c:pt>
                <c:pt idx="44">
                  <c:v>2.2800000000000002</c:v>
                </c:pt>
                <c:pt idx="48">
                  <c:v>1.55</c:v>
                </c:pt>
                <c:pt idx="49">
                  <c:v>2.84</c:v>
                </c:pt>
                <c:pt idx="53">
                  <c:v>3.7600000000000002</c:v>
                </c:pt>
                <c:pt idx="54">
                  <c:v>3.05</c:v>
                </c:pt>
                <c:pt idx="57">
                  <c:v>0</c:v>
                </c:pt>
                <c:pt idx="58">
                  <c:v>9.9999999999999645E-2</c:v>
                </c:pt>
                <c:pt idx="60">
                  <c:v>2.835</c:v>
                </c:pt>
                <c:pt idx="63">
                  <c:v>0.68300000000000005</c:v>
                </c:pt>
                <c:pt idx="65">
                  <c:v>0.15</c:v>
                </c:pt>
                <c:pt idx="66">
                  <c:v>0.2</c:v>
                </c:pt>
                <c:pt idx="67">
                  <c:v>0.1</c:v>
                </c:pt>
                <c:pt idx="75">
                  <c:v>0.15</c:v>
                </c:pt>
                <c:pt idx="76">
                  <c:v>0.1</c:v>
                </c:pt>
                <c:pt idx="79">
                  <c:v>0.38</c:v>
                </c:pt>
                <c:pt idx="80">
                  <c:v>0.41</c:v>
                </c:pt>
              </c:numCache>
            </c:numRef>
          </c:xVal>
          <c:yVal>
            <c:numRef>
              <c:f>'Task A_Table S1'!$CD$4:$CD$108</c:f>
              <c:numCache>
                <c:formatCode>0.00_);[Red]\(0.00\)</c:formatCode>
                <c:ptCount val="105"/>
                <c:pt idx="0">
                  <c:v>1.63</c:v>
                </c:pt>
                <c:pt idx="1">
                  <c:v>1.58</c:v>
                </c:pt>
                <c:pt idx="2">
                  <c:v>0.8982</c:v>
                </c:pt>
                <c:pt idx="3">
                  <c:v>1.71</c:v>
                </c:pt>
                <c:pt idx="8">
                  <c:v>1.9245000000000001</c:v>
                </c:pt>
                <c:pt idx="9">
                  <c:v>1.2304999999999999</c:v>
                </c:pt>
                <c:pt idx="10">
                  <c:v>2.0089999999999999</c:v>
                </c:pt>
                <c:pt idx="11">
                  <c:v>1.1100000000000001</c:v>
                </c:pt>
                <c:pt idx="28">
                  <c:v>3.5950000000000002</c:v>
                </c:pt>
                <c:pt idx="29">
                  <c:v>1.5149999999999999</c:v>
                </c:pt>
                <c:pt idx="30">
                  <c:v>2.63</c:v>
                </c:pt>
                <c:pt idx="33">
                  <c:v>2.8</c:v>
                </c:pt>
                <c:pt idx="34">
                  <c:v>4.7</c:v>
                </c:pt>
                <c:pt idx="35">
                  <c:v>10.5</c:v>
                </c:pt>
                <c:pt idx="36">
                  <c:v>2.1</c:v>
                </c:pt>
                <c:pt idx="37">
                  <c:v>3.49</c:v>
                </c:pt>
                <c:pt idx="38">
                  <c:v>3.976</c:v>
                </c:pt>
                <c:pt idx="44">
                  <c:v>3.1054999999999997</c:v>
                </c:pt>
                <c:pt idx="48">
                  <c:v>5.2</c:v>
                </c:pt>
                <c:pt idx="49">
                  <c:v>3.2167499999999993</c:v>
                </c:pt>
                <c:pt idx="53">
                  <c:v>7.35</c:v>
                </c:pt>
                <c:pt idx="54">
                  <c:v>3.3</c:v>
                </c:pt>
                <c:pt idx="60">
                  <c:v>3.7250000000000001</c:v>
                </c:pt>
                <c:pt idx="79">
                  <c:v>1.99</c:v>
                </c:pt>
                <c:pt idx="80">
                  <c:v>2.1800000000000002</c:v>
                </c:pt>
                <c:pt idx="85">
                  <c:v>1.2375</c:v>
                </c:pt>
              </c:numCache>
            </c:numRef>
          </c:yVal>
          <c:smooth val="0"/>
          <c:extLst>
            <c:ext xmlns:c16="http://schemas.microsoft.com/office/drawing/2014/chart" uri="{C3380CC4-5D6E-409C-BE32-E72D297353CC}">
              <c16:uniqueId val="{00000000-ED76-4EF3-BEF1-344903BF8040}"/>
            </c:ext>
          </c:extLst>
        </c:ser>
        <c:dLbls>
          <c:showLegendKey val="0"/>
          <c:showVal val="0"/>
          <c:showCatName val="0"/>
          <c:showSerName val="0"/>
          <c:showPercent val="0"/>
          <c:showBubbleSize val="0"/>
        </c:dLbls>
        <c:axId val="1331778368"/>
        <c:axId val="1357512592"/>
      </c:scatterChart>
      <c:valAx>
        <c:axId val="1331778368"/>
        <c:scaling>
          <c:orientation val="minMax"/>
        </c:scaling>
        <c:delete val="0"/>
        <c:axPos val="b"/>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512592"/>
        <c:crosses val="autoZero"/>
        <c:crossBetween val="midCat"/>
      </c:valAx>
      <c:valAx>
        <c:axId val="1357512592"/>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778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'SoilR+Temp'!$B$2</c:f>
              <c:strCache>
                <c:ptCount val="1"/>
                <c:pt idx="0">
                  <c:v>SR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'SoilR+Temp'!$A$3:$A$105</c:f>
              <c:numCache>
                <c:formatCode>0.00_);[Red]\(0.00\)</c:formatCode>
                <c:ptCount val="103"/>
                <c:pt idx="0">
                  <c:v>19.3</c:v>
                </c:pt>
                <c:pt idx="1">
                  <c:v>19.3</c:v>
                </c:pt>
                <c:pt idx="2">
                  <c:v>12.8</c:v>
                </c:pt>
                <c:pt idx="3">
                  <c:v>19.3</c:v>
                </c:pt>
                <c:pt idx="4">
                  <c:v>23</c:v>
                </c:pt>
                <c:pt idx="5">
                  <c:v>23</c:v>
                </c:pt>
                <c:pt idx="6">
                  <c:v>23</c:v>
                </c:pt>
                <c:pt idx="7">
                  <c:v>23</c:v>
                </c:pt>
                <c:pt idx="8">
                  <c:v>16.899999999999999</c:v>
                </c:pt>
                <c:pt idx="9">
                  <c:v>16.899999999999999</c:v>
                </c:pt>
                <c:pt idx="10">
                  <c:v>16.899999999999999</c:v>
                </c:pt>
                <c:pt idx="11">
                  <c:v>16.5</c:v>
                </c:pt>
                <c:pt idx="12">
                  <c:v>16.75</c:v>
                </c:pt>
                <c:pt idx="13">
                  <c:v>16.809999999999999</c:v>
                </c:pt>
                <c:pt idx="14">
                  <c:v>15.2</c:v>
                </c:pt>
                <c:pt idx="15">
                  <c:v>18.649999999999999</c:v>
                </c:pt>
                <c:pt idx="16">
                  <c:v>23</c:v>
                </c:pt>
                <c:pt idx="17">
                  <c:v>16.600000000000001</c:v>
                </c:pt>
                <c:pt idx="18">
                  <c:v>15.6</c:v>
                </c:pt>
                <c:pt idx="19">
                  <c:v>15.6</c:v>
                </c:pt>
                <c:pt idx="20">
                  <c:v>15.6</c:v>
                </c:pt>
                <c:pt idx="21">
                  <c:v>15.9</c:v>
                </c:pt>
                <c:pt idx="22">
                  <c:v>15.6</c:v>
                </c:pt>
                <c:pt idx="23">
                  <c:v>15.6</c:v>
                </c:pt>
                <c:pt idx="24">
                  <c:v>15.6</c:v>
                </c:pt>
                <c:pt idx="25">
                  <c:v>15.6</c:v>
                </c:pt>
                <c:pt idx="26">
                  <c:v>16</c:v>
                </c:pt>
                <c:pt idx="27">
                  <c:v>16</c:v>
                </c:pt>
                <c:pt idx="28">
                  <c:v>14.8</c:v>
                </c:pt>
                <c:pt idx="29">
                  <c:v>14.8</c:v>
                </c:pt>
                <c:pt idx="30">
                  <c:v>14.8</c:v>
                </c:pt>
                <c:pt idx="31">
                  <c:v>16.087499999999999</c:v>
                </c:pt>
                <c:pt idx="32">
                  <c:v>11.3</c:v>
                </c:pt>
                <c:pt idx="33">
                  <c:v>16.177083333333332</c:v>
                </c:pt>
                <c:pt idx="34">
                  <c:v>16.177083333333332</c:v>
                </c:pt>
                <c:pt idx="35">
                  <c:v>13.062499999999995</c:v>
                </c:pt>
                <c:pt idx="36">
                  <c:v>17.5</c:v>
                </c:pt>
                <c:pt idx="37">
                  <c:v>16.75</c:v>
                </c:pt>
                <c:pt idx="38">
                  <c:v>16.75</c:v>
                </c:pt>
                <c:pt idx="39">
                  <c:v>16.258333333333336</c:v>
                </c:pt>
                <c:pt idx="40">
                  <c:v>18.108333333333331</c:v>
                </c:pt>
                <c:pt idx="41">
                  <c:v>17.633333333333333</c:v>
                </c:pt>
                <c:pt idx="42">
                  <c:v>15.9</c:v>
                </c:pt>
                <c:pt idx="43">
                  <c:v>15.9</c:v>
                </c:pt>
                <c:pt idx="44">
                  <c:v>15.375</c:v>
                </c:pt>
                <c:pt idx="45">
                  <c:v>15.304169999999999</c:v>
                </c:pt>
                <c:pt idx="46">
                  <c:v>16.100000000000001</c:v>
                </c:pt>
                <c:pt idx="47">
                  <c:v>16.91</c:v>
                </c:pt>
                <c:pt idx="48">
                  <c:v>15</c:v>
                </c:pt>
                <c:pt idx="49">
                  <c:v>15.375</c:v>
                </c:pt>
                <c:pt idx="50">
                  <c:v>15.304169999999999</c:v>
                </c:pt>
                <c:pt idx="51">
                  <c:v>15.304169999999999</c:v>
                </c:pt>
                <c:pt idx="52">
                  <c:v>15.39167</c:v>
                </c:pt>
                <c:pt idx="53">
                  <c:v>15.375</c:v>
                </c:pt>
                <c:pt idx="54">
                  <c:v>16.058330000000002</c:v>
                </c:pt>
                <c:pt idx="55">
                  <c:v>16.175000000000001</c:v>
                </c:pt>
                <c:pt idx="56">
                  <c:v>16.516670000000001</c:v>
                </c:pt>
                <c:pt idx="57">
                  <c:v>16.033329999999999</c:v>
                </c:pt>
                <c:pt idx="58">
                  <c:v>15.3</c:v>
                </c:pt>
                <c:pt idx="59">
                  <c:v>15.446149999999999</c:v>
                </c:pt>
                <c:pt idx="60">
                  <c:v>13.15</c:v>
                </c:pt>
                <c:pt idx="61">
                  <c:v>13.15</c:v>
                </c:pt>
                <c:pt idx="62">
                  <c:v>10</c:v>
                </c:pt>
                <c:pt idx="63">
                  <c:v>15.3</c:v>
                </c:pt>
                <c:pt idx="64">
                  <c:v>23</c:v>
                </c:pt>
                <c:pt idx="65">
                  <c:v>23</c:v>
                </c:pt>
                <c:pt idx="66">
                  <c:v>23</c:v>
                </c:pt>
                <c:pt idx="67">
                  <c:v>16.5</c:v>
                </c:pt>
                <c:pt idx="68">
                  <c:v>20.3</c:v>
                </c:pt>
                <c:pt idx="69">
                  <c:v>20.3</c:v>
                </c:pt>
                <c:pt idx="70">
                  <c:v>20.3</c:v>
                </c:pt>
                <c:pt idx="71">
                  <c:v>20.3</c:v>
                </c:pt>
                <c:pt idx="72">
                  <c:v>16.5</c:v>
                </c:pt>
                <c:pt idx="73">
                  <c:v>16.5</c:v>
                </c:pt>
                <c:pt idx="74">
                  <c:v>23</c:v>
                </c:pt>
                <c:pt idx="75">
                  <c:v>23</c:v>
                </c:pt>
                <c:pt idx="76">
                  <c:v>15.3</c:v>
                </c:pt>
                <c:pt idx="77">
                  <c:v>15.3</c:v>
                </c:pt>
                <c:pt idx="78">
                  <c:v>17.2</c:v>
                </c:pt>
                <c:pt idx="79">
                  <c:v>18.600000000000001</c:v>
                </c:pt>
                <c:pt idx="80">
                  <c:v>16</c:v>
                </c:pt>
                <c:pt idx="81">
                  <c:v>16</c:v>
                </c:pt>
                <c:pt idx="82">
                  <c:v>16</c:v>
                </c:pt>
                <c:pt idx="83">
                  <c:v>16</c:v>
                </c:pt>
                <c:pt idx="84">
                  <c:v>21.2</c:v>
                </c:pt>
                <c:pt idx="85">
                  <c:v>16.600000000000001</c:v>
                </c:pt>
                <c:pt idx="86">
                  <c:v>15.8</c:v>
                </c:pt>
                <c:pt idx="87">
                  <c:v>15.8</c:v>
                </c:pt>
                <c:pt idx="88">
                  <c:v>15.8</c:v>
                </c:pt>
                <c:pt idx="89">
                  <c:v>15.8</c:v>
                </c:pt>
                <c:pt idx="90">
                  <c:v>16.399999999999999</c:v>
                </c:pt>
                <c:pt idx="91">
                  <c:v>17.100000000000001</c:v>
                </c:pt>
                <c:pt idx="92">
                  <c:v>19.3</c:v>
                </c:pt>
                <c:pt idx="93">
                  <c:v>21</c:v>
                </c:pt>
                <c:pt idx="94">
                  <c:v>15.6</c:v>
                </c:pt>
                <c:pt idx="95">
                  <c:v>15.6</c:v>
                </c:pt>
                <c:pt idx="96">
                  <c:v>16.55833333333333</c:v>
                </c:pt>
                <c:pt idx="97">
                  <c:v>16.158333333333335</c:v>
                </c:pt>
                <c:pt idx="98">
                  <c:v>14.699999999999998</c:v>
                </c:pt>
                <c:pt idx="99">
                  <c:v>13.1</c:v>
                </c:pt>
                <c:pt idx="100">
                  <c:v>13.1</c:v>
                </c:pt>
                <c:pt idx="101" formatCode="General">
                  <c:v>20.12</c:v>
                </c:pt>
                <c:pt idx="102">
                  <c:v>16.5</c:v>
                </c:pt>
              </c:numCache>
            </c:numRef>
          </c:xVal>
          <c:yVal>
            <c:numRef>
              <c:f>'SoilR+Temp'!$B$3:$B$105</c:f>
              <c:numCache>
                <c:formatCode>0.00_);[Red]\(0.00\)</c:formatCode>
                <c:ptCount val="103"/>
                <c:pt idx="11">
                  <c:v>9.256636363636364</c:v>
                </c:pt>
                <c:pt idx="78">
                  <c:v>11.21</c:v>
                </c:pt>
                <c:pt idx="79">
                  <c:v>11.41</c:v>
                </c:pt>
                <c:pt idx="86">
                  <c:v>8.6345454545454547</c:v>
                </c:pt>
                <c:pt idx="87">
                  <c:v>8.8145454545454545</c:v>
                </c:pt>
                <c:pt idx="88">
                  <c:v>10.268181818181818</c:v>
                </c:pt>
                <c:pt idx="89">
                  <c:v>9.9627272727272729</c:v>
                </c:pt>
                <c:pt idx="94">
                  <c:v>9.1151781818181821</c:v>
                </c:pt>
                <c:pt idx="95">
                  <c:v>9.7876372727272738</c:v>
                </c:pt>
              </c:numCache>
            </c:numRef>
          </c:yVal>
          <c:smooth val="0"/>
          <c:extLst>
            <c:ext xmlns:c16="http://schemas.microsoft.com/office/drawing/2014/chart" uri="{C3380CC4-5D6E-409C-BE32-E72D297353CC}">
              <c16:uniqueId val="{00000001-A0C6-4B59-BC8F-0847D9F6BD8E}"/>
            </c:ext>
          </c:extLst>
        </c:ser>
        <c:dLbls>
          <c:showLegendKey val="0"/>
          <c:showVal val="0"/>
          <c:showCatName val="0"/>
          <c:showSerName val="0"/>
          <c:showPercent val="0"/>
          <c:showBubbleSize val="0"/>
        </c:dLbls>
        <c:axId val="1359674128"/>
        <c:axId val="1310564656"/>
      </c:scatterChart>
      <c:valAx>
        <c:axId val="1359674128"/>
        <c:scaling>
          <c:orientation val="minMax"/>
        </c:scaling>
        <c:delete val="0"/>
        <c:axPos val="b"/>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564656"/>
        <c:crosses val="autoZero"/>
        <c:crossBetween val="midCat"/>
      </c:valAx>
      <c:valAx>
        <c:axId val="1310564656"/>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6741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75</xdr:col>
      <xdr:colOff>744258</xdr:colOff>
      <xdr:row>10</xdr:row>
      <xdr:rowOff>26397</xdr:rowOff>
    </xdr:from>
    <xdr:to>
      <xdr:col>79</xdr:col>
      <xdr:colOff>593145</xdr:colOff>
      <xdr:row>27</xdr:row>
      <xdr:rowOff>114423</xdr:rowOff>
    </xdr:to>
    <xdr:graphicFrame macro="">
      <xdr:nvGraphicFramePr>
        <xdr:cNvPr id="2" name="Chart 1">
          <a:extLst>
            <a:ext uri="{FF2B5EF4-FFF2-40B4-BE49-F238E27FC236}">
              <a16:creationId xmlns:a16="http://schemas.microsoft.com/office/drawing/2014/main" id="{7965D66D-4349-4C2F-8E5E-693D05C71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75</xdr:col>
      <xdr:colOff>744258</xdr:colOff>
      <xdr:row>10</xdr:row>
      <xdr:rowOff>26397</xdr:rowOff>
    </xdr:from>
    <xdr:to>
      <xdr:col>79</xdr:col>
      <xdr:colOff>593145</xdr:colOff>
      <xdr:row>27</xdr:row>
      <xdr:rowOff>114423</xdr:rowOff>
    </xdr:to>
    <xdr:graphicFrame macro="">
      <xdr:nvGraphicFramePr>
        <xdr:cNvPr id="2" name="Chart 1">
          <a:extLst>
            <a:ext uri="{FF2B5EF4-FFF2-40B4-BE49-F238E27FC236}">
              <a16:creationId xmlns:a16="http://schemas.microsoft.com/office/drawing/2014/main" id="{F85EB27F-936F-48F9-952A-C91A2AC24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75</xdr:col>
      <xdr:colOff>744258</xdr:colOff>
      <xdr:row>10</xdr:row>
      <xdr:rowOff>26397</xdr:rowOff>
    </xdr:from>
    <xdr:to>
      <xdr:col>79</xdr:col>
      <xdr:colOff>593145</xdr:colOff>
      <xdr:row>27</xdr:row>
      <xdr:rowOff>114423</xdr:rowOff>
    </xdr:to>
    <xdr:graphicFrame macro="">
      <xdr:nvGraphicFramePr>
        <xdr:cNvPr id="2" name="Chart 1">
          <a:extLst>
            <a:ext uri="{FF2B5EF4-FFF2-40B4-BE49-F238E27FC236}">
              <a16:creationId xmlns:a16="http://schemas.microsoft.com/office/drawing/2014/main" id="{852A92C2-05A3-4989-BD35-DEA8916B1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75</xdr:col>
      <xdr:colOff>744258</xdr:colOff>
      <xdr:row>10</xdr:row>
      <xdr:rowOff>26397</xdr:rowOff>
    </xdr:from>
    <xdr:to>
      <xdr:col>79</xdr:col>
      <xdr:colOff>593145</xdr:colOff>
      <xdr:row>27</xdr:row>
      <xdr:rowOff>114423</xdr:rowOff>
    </xdr:to>
    <xdr:graphicFrame macro="">
      <xdr:nvGraphicFramePr>
        <xdr:cNvPr id="2" name="Chart 1">
          <a:extLst>
            <a:ext uri="{FF2B5EF4-FFF2-40B4-BE49-F238E27FC236}">
              <a16:creationId xmlns:a16="http://schemas.microsoft.com/office/drawing/2014/main" id="{3721854E-36F8-4010-AF63-44C627383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200025</xdr:colOff>
      <xdr:row>81</xdr:row>
      <xdr:rowOff>152400</xdr:rowOff>
    </xdr:from>
    <xdr:to>
      <xdr:col>10</xdr:col>
      <xdr:colOff>504825</xdr:colOff>
      <xdr:row>96</xdr:row>
      <xdr:rowOff>38100</xdr:rowOff>
    </xdr:to>
    <xdr:graphicFrame macro="">
      <xdr:nvGraphicFramePr>
        <xdr:cNvPr id="2" name="Chart 1">
          <a:extLst>
            <a:ext uri="{FF2B5EF4-FFF2-40B4-BE49-F238E27FC236}">
              <a16:creationId xmlns:a16="http://schemas.microsoft.com/office/drawing/2014/main" id="{42BF1B4A-ADC4-4E7A-9F6D-F870C16B4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link.springer.com/article/10.1023/A:1009711814070" TargetMode="External"/><Relationship Id="rId21" Type="http://schemas.openxmlformats.org/officeDocument/2006/relationships/hyperlink" Target="https://agupubs.onlinelibrary.wiley.com/doi/full/10.1029/2009JG001234" TargetMode="External"/><Relationship Id="rId42" Type="http://schemas.openxmlformats.org/officeDocument/2006/relationships/hyperlink" Target="https://catalog.lib.kyushu-u.ac.jp/opac_detail_md/?lang=0&amp;amode=MD100000&amp;bibid=1913975" TargetMode="External"/><Relationship Id="rId47" Type="http://schemas.openxmlformats.org/officeDocument/2006/relationships/hyperlink" Target="https://www.jstage.jst.go.jp/article/jjfs/100/4/100_124/_article/-char/ja" TargetMode="External"/><Relationship Id="rId63" Type="http://schemas.openxmlformats.org/officeDocument/2006/relationships/hyperlink" Target="http://ir.lib.nchu.edu.tw/bitstream/11455/74254/1/143838-3.pdf" TargetMode="External"/><Relationship Id="rId68" Type="http://schemas.openxmlformats.org/officeDocument/2006/relationships/hyperlink" Target="https://advances.sciencemag.org/content/6/12/eaaw5790" TargetMode="External"/><Relationship Id="rId84" Type="http://schemas.openxmlformats.org/officeDocument/2006/relationships/hyperlink" Target="https://doi.org/10.1186/s40663-021-00285-0" TargetMode="External"/><Relationship Id="rId89" Type="http://schemas.openxmlformats.org/officeDocument/2006/relationships/hyperlink" Target="http://www.cjae.net/CN/Y2013/V24/I10/2717" TargetMode="External"/><Relationship Id="rId16" Type="http://schemas.openxmlformats.org/officeDocument/2006/relationships/hyperlink" Target="http://www.sisef.it/iforest/contents/?id=ifor1674-008" TargetMode="External"/><Relationship Id="rId11" Type="http://schemas.openxmlformats.org/officeDocument/2006/relationships/hyperlink" Target="http://kiss.kstudy.com/thesis/thesis-view.asp?key=3042038" TargetMode="External"/><Relationship Id="rId32" Type="http://schemas.openxmlformats.org/officeDocument/2006/relationships/hyperlink" Target="http://web.kyoto-inet.or.jp/people/j-bamboo/bj-5.html" TargetMode="External"/><Relationship Id="rId37" Type="http://schemas.openxmlformats.org/officeDocument/2006/relationships/hyperlink" Target="http://web.kyoto-inet.or.jp/people/j-bamboo/bj-3.html" TargetMode="External"/><Relationship Id="rId53" Type="http://schemas.openxmlformats.org/officeDocument/2006/relationships/hyperlink" Target="https://www.jstage.jst.go.jp/article/jjsk/58/0/58_KJ00006203544/_article/-char/ja/" TargetMode="External"/><Relationship Id="rId58" Type="http://schemas.openxmlformats.org/officeDocument/2006/relationships/hyperlink" Target="http://ir.lib.nchu.edu.tw/bitstream/11455/74254/1/143838-3.pdf" TargetMode="External"/><Relationship Id="rId74" Type="http://schemas.openxmlformats.org/officeDocument/2006/relationships/hyperlink" Target="https://esj-journals.onlinelibrary.wiley.com/doi/full/10.1007/s11284-017-1497-5" TargetMode="External"/><Relationship Id="rId79" Type="http://schemas.openxmlformats.org/officeDocument/2006/relationships/hyperlink" Target="https://doi.org/10.1016/j.apsoil.2020.103758" TargetMode="External"/><Relationship Id="rId5" Type="http://schemas.openxmlformats.org/officeDocument/2006/relationships/hyperlink" Target="https://link.springer.com/article/10.1007/s11368-013-0665-7" TargetMode="External"/><Relationship Id="rId90" Type="http://schemas.openxmlformats.org/officeDocument/2006/relationships/hyperlink" Target="https://core.ac.uk/download/pdf/41355338.pdf" TargetMode="External"/><Relationship Id="rId95" Type="http://schemas.openxmlformats.org/officeDocument/2006/relationships/hyperlink" Target="https://doi.org/10.1016/j.foreco.2019.117449" TargetMode="External"/><Relationship Id="rId22" Type="http://schemas.openxmlformats.org/officeDocument/2006/relationships/hyperlink" Target="http://kns.cnki.net/kcms/detail/detail.aspx?DbCode=CJFD&amp;dbname=CJFD9093&amp;filename=LYKX199305011" TargetMode="External"/><Relationship Id="rId27" Type="http://schemas.openxmlformats.org/officeDocument/2006/relationships/hyperlink" Target="https://www.jstage.jst.go.jp/article/jass/24/4/24_243/_article/-char/ja/" TargetMode="External"/><Relationship Id="rId43" Type="http://schemas.openxmlformats.org/officeDocument/2006/relationships/hyperlink" Target="https://ir.kagoshima-u.ac.jp/?action=pages_view_main&amp;active_action=repository_view_main_item_detail&amp;item_id=12611&amp;item_no=1&amp;page_id=13&amp;block_id=21" TargetMode="External"/><Relationship Id="rId48" Type="http://schemas.openxmlformats.org/officeDocument/2006/relationships/hyperlink" Target="https://esj-journals.onlinelibrary.wiley.com/doi/pdf/10.1007/s11284-014-1150-5" TargetMode="External"/><Relationship Id="rId64" Type="http://schemas.openxmlformats.org/officeDocument/2006/relationships/hyperlink" Target="https://www.researchgate.net/publication/333507633_The_Structures_Aboveground_Biomass_Carbon_Storage_of_Phyllostachys_pubescens_Stand_in_Huisun_Experimental_Forest_Station_and_Shi-Zhuo" TargetMode="External"/><Relationship Id="rId69" Type="http://schemas.openxmlformats.org/officeDocument/2006/relationships/hyperlink" Target="https://advances.sciencemag.org/content/6/12/eaaw5790" TargetMode="External"/><Relationship Id="rId80" Type="http://schemas.openxmlformats.org/officeDocument/2006/relationships/hyperlink" Target="https://doi.org/10.1016/j.apsoil.2020.103758" TargetMode="External"/><Relationship Id="rId85" Type="http://schemas.openxmlformats.org/officeDocument/2006/relationships/hyperlink" Target="https://doi.org/10.1371/journal.pone.0193024" TargetMode="External"/><Relationship Id="rId3" Type="http://schemas.openxmlformats.org/officeDocument/2006/relationships/hyperlink" Target="http://zlxb.zafu.edu.cn/EN/10.11833/j.issn.2095-0756.2012.03.001" TargetMode="External"/><Relationship Id="rId12" Type="http://schemas.openxmlformats.org/officeDocument/2006/relationships/hyperlink" Target="http://kiss.kstudy.com/thesis/thesis-view.asp?key=2459514" TargetMode="External"/><Relationship Id="rId17" Type="http://schemas.openxmlformats.org/officeDocument/2006/relationships/hyperlink" Target="https://link.springer.com/article/10.1007/s11368-013-0665-7" TargetMode="External"/><Relationship Id="rId25" Type="http://schemas.openxmlformats.org/officeDocument/2006/relationships/hyperlink" Target="https://www.jstage.jst.go.jp/article/jass/24/4/24_243/_article/-char/ja/" TargetMode="External"/><Relationship Id="rId33" Type="http://schemas.openxmlformats.org/officeDocument/2006/relationships/hyperlink" Target="http://web.kyoto-inet.or.jp/people/j-bamboo/bj-5.html" TargetMode="External"/><Relationship Id="rId38" Type="http://schemas.openxmlformats.org/officeDocument/2006/relationships/hyperlink" Target="http://web.kyoto-inet.or.jp/people/j-bamboo/bj-5.html" TargetMode="External"/><Relationship Id="rId46" Type="http://schemas.openxmlformats.org/officeDocument/2006/relationships/hyperlink" Target="https://catalog.lib.kyushu-u.ac.jp/opac_detail_md/?lang=0&amp;amode=MD100000&amp;bibid=1913975" TargetMode="External"/><Relationship Id="rId59" Type="http://schemas.openxmlformats.org/officeDocument/2006/relationships/hyperlink" Target="http://ir.lib.nchu.edu.tw/bitstream/11455/74254/1/143838-3.pdf" TargetMode="External"/><Relationship Id="rId67" Type="http://schemas.openxmlformats.org/officeDocument/2006/relationships/hyperlink" Target="http://www.airitilibrary.com/Publication/alDetailedMesh?docid=05781345-201406-201503020016-201503020016-181-192" TargetMode="External"/><Relationship Id="rId20" Type="http://schemas.openxmlformats.org/officeDocument/2006/relationships/hyperlink" Target="http://zlxb.zafu.edu.cn/CN/10.11833/j.issn.2095-0756.2012.01.010" TargetMode="External"/><Relationship Id="rId41" Type="http://schemas.openxmlformats.org/officeDocument/2006/relationships/hyperlink" Target="https://www.jstage.jst.go.jp/article/jjsrt/35/1/35_1_57/_article/-char/ja" TargetMode="External"/><Relationship Id="rId54" Type="http://schemas.openxmlformats.org/officeDocument/2006/relationships/hyperlink" Target="http://www.airitilibrary.com/Publication/alDetailedMesh?docid=05781345-201406-201503020016-201503020016-181-192" TargetMode="External"/><Relationship Id="rId62" Type="http://schemas.openxmlformats.org/officeDocument/2006/relationships/hyperlink" Target="https://www.sciencedirect.com/science/article/pii/S0378112710007188" TargetMode="External"/><Relationship Id="rId70" Type="http://schemas.openxmlformats.org/officeDocument/2006/relationships/hyperlink" Target="https://advances.sciencemag.org/content/6/12/eaaw5790" TargetMode="External"/><Relationship Id="rId75" Type="http://schemas.openxmlformats.org/officeDocument/2006/relationships/hyperlink" Target="https://doi.org/10.1080/13504509.2013.811445" TargetMode="External"/><Relationship Id="rId83" Type="http://schemas.openxmlformats.org/officeDocument/2006/relationships/hyperlink" Target="https://doi.org/10.1186/s40663-021-00285-0" TargetMode="External"/><Relationship Id="rId88" Type="http://schemas.openxmlformats.org/officeDocument/2006/relationships/hyperlink" Target="https://doi.org/10.1371/journal.pone.0193024" TargetMode="External"/><Relationship Id="rId91" Type="http://schemas.openxmlformats.org/officeDocument/2006/relationships/hyperlink" Target="https://www.cabdirect.org/cabdirect/abstract/20153321847" TargetMode="External"/><Relationship Id="rId96" Type="http://schemas.openxmlformats.org/officeDocument/2006/relationships/hyperlink" Target="https://doi.org/10.1016/j.foreco.2019.117449" TargetMode="External"/><Relationship Id="rId1" Type="http://schemas.openxmlformats.org/officeDocument/2006/relationships/hyperlink" Target="http://zlxb.zafu.edu.cn/CN/10.11833/j.issn.2095-0756.2012.01.010" TargetMode="External"/><Relationship Id="rId6" Type="http://schemas.openxmlformats.org/officeDocument/2006/relationships/hyperlink" Target="https://www.ncbi.nlm.nih.gov/pmc/articles/PMC1635818/" TargetMode="External"/><Relationship Id="rId15" Type="http://schemas.openxmlformats.org/officeDocument/2006/relationships/hyperlink" Target="http://www.sisef.it/iforest/contents/?id=ifor1674-008" TargetMode="External"/><Relationship Id="rId23" Type="http://schemas.openxmlformats.org/officeDocument/2006/relationships/hyperlink" Target="http://kns.cnki.net/kcms/detail/detail.aspx?DbCode=CJFD&amp;dbname=CJFD9093&amp;filename=LYKX199305011" TargetMode="External"/><Relationship Id="rId28" Type="http://schemas.openxmlformats.org/officeDocument/2006/relationships/hyperlink" Target="https://www.jstage.jst.go.jp/article/jjsrt/35/1/35_1_57/_article/-char/ja" TargetMode="External"/><Relationship Id="rId36" Type="http://schemas.openxmlformats.org/officeDocument/2006/relationships/hyperlink" Target="http://web.kyoto-inet.or.jp/people/j-bamboo/bj-3.html" TargetMode="External"/><Relationship Id="rId49" Type="http://schemas.openxmlformats.org/officeDocument/2006/relationships/hyperlink" Target="https://esj-journals.onlinelibrary.wiley.com/doi/pdf/10.1007/s11284-014-1150-5" TargetMode="External"/><Relationship Id="rId57" Type="http://schemas.openxmlformats.org/officeDocument/2006/relationships/hyperlink" Target="http://www.airitilibrary.com/Publication/alDetailedMesh?docid=05781345-201406-201503020016-201503020016-181-192" TargetMode="External"/><Relationship Id="rId10" Type="http://schemas.openxmlformats.org/officeDocument/2006/relationships/hyperlink" Target="https://www.jstor.org/stable/43595383?read-now=1&amp;seq=1" TargetMode="External"/><Relationship Id="rId31" Type="http://schemas.openxmlformats.org/officeDocument/2006/relationships/hyperlink" Target="https://www.jstage.jst.go.jp/article/jjfe/57/1/57_KJ00009983906/_pdf/-char/ja" TargetMode="External"/><Relationship Id="rId44" Type="http://schemas.openxmlformats.org/officeDocument/2006/relationships/hyperlink" Target="https://ir.kagoshima-u.ac.jp/?action=pages_view_main&amp;active_action=repository_view_main_item_detail&amp;item_id=12611&amp;item_no=1&amp;page_id=13&amp;block_id=21" TargetMode="External"/><Relationship Id="rId52" Type="http://schemas.openxmlformats.org/officeDocument/2006/relationships/hyperlink" Target="https://www.jstage.jst.go.jp/article/jjsk/58/0/58_KJ00006203544/_article/-char/ja/" TargetMode="External"/><Relationship Id="rId60" Type="http://schemas.openxmlformats.org/officeDocument/2006/relationships/hyperlink" Target="https://www.sciencedirect.com/science/article/pii/S0378112710007188" TargetMode="External"/><Relationship Id="rId65" Type="http://schemas.openxmlformats.org/officeDocument/2006/relationships/hyperlink" Target="https://www.researchgate.net/publication/333507633_The_Structures_Aboveground_Biomass_Carbon_Storage_of_Phyllostachys_pubescens_Stand_in_Huisun_Experimental_Forest_Station_and_Shi-Zhuo" TargetMode="External"/><Relationship Id="rId73" Type="http://schemas.openxmlformats.org/officeDocument/2006/relationships/hyperlink" Target="https://www.researchgate.net/publication/306133854_The_trend_of_growth_characteristics_of_moso_bamboo_Phyllostachys_pubescens_forests_under_an_unmanaged_condition_in_central_Taiwan" TargetMode="External"/><Relationship Id="rId78" Type="http://schemas.openxmlformats.org/officeDocument/2006/relationships/hyperlink" Target="https://doi.org/10.1016/j.apsoil.2020.103758" TargetMode="External"/><Relationship Id="rId81" Type="http://schemas.openxmlformats.org/officeDocument/2006/relationships/hyperlink" Target="https://doi.org/10.1016/j.foreco.2020.118745" TargetMode="External"/><Relationship Id="rId86" Type="http://schemas.openxmlformats.org/officeDocument/2006/relationships/hyperlink" Target="https://doi.org/10.1371/journal.pone.0193024" TargetMode="External"/><Relationship Id="rId94" Type="http://schemas.openxmlformats.org/officeDocument/2006/relationships/hyperlink" Target="https://doi.org/10.1016/j.foreco.2019.117449" TargetMode="External"/><Relationship Id="rId99" Type="http://schemas.openxmlformats.org/officeDocument/2006/relationships/drawing" Target="../drawings/drawing1.xml"/><Relationship Id="rId4" Type="http://schemas.openxmlformats.org/officeDocument/2006/relationships/hyperlink" Target="http://html.rhhz.net/linyekexue/html/20131125.htm" TargetMode="External"/><Relationship Id="rId9" Type="http://schemas.openxmlformats.org/officeDocument/2006/relationships/hyperlink" Target="https://www.jstor.org/stable/43595383?read-now=1&amp;seq=1" TargetMode="External"/><Relationship Id="rId13" Type="http://schemas.openxmlformats.org/officeDocument/2006/relationships/hyperlink" Target="http://kiss.kstudy.com/thesis/thesis-view.asp?key=74524" TargetMode="External"/><Relationship Id="rId18" Type="http://schemas.openxmlformats.org/officeDocument/2006/relationships/hyperlink" Target="https://link.springer.com/article/10.1007/s11368-013-0665-7" TargetMode="External"/><Relationship Id="rId39" Type="http://schemas.openxmlformats.org/officeDocument/2006/relationships/hyperlink" Target="https://www.jstage.jst.go.jp/article/jjsrt/35/1/35_1_57/_article/-char/ja" TargetMode="External"/><Relationship Id="rId34" Type="http://schemas.openxmlformats.org/officeDocument/2006/relationships/hyperlink" Target="http://web.kyoto-inet.or.jp/people/j-bamboo/bj-5.html" TargetMode="External"/><Relationship Id="rId50" Type="http://schemas.openxmlformats.org/officeDocument/2006/relationships/hyperlink" Target="https://esj-journals.onlinelibrary.wiley.com/doi/pdf/10.1007/s11284-014-1150-5" TargetMode="External"/><Relationship Id="rId55" Type="http://schemas.openxmlformats.org/officeDocument/2006/relationships/hyperlink" Target="http://www.airitilibrary.com/Publication/alDetailedMesh?docid=05781345-201406-201503020016-201503020016-181-192" TargetMode="External"/><Relationship Id="rId76" Type="http://schemas.openxmlformats.org/officeDocument/2006/relationships/hyperlink" Target="https://doi.org/10.3390/f9110671" TargetMode="External"/><Relationship Id="rId97" Type="http://schemas.openxmlformats.org/officeDocument/2006/relationships/hyperlink" Target="https://doi.org/10.1016/j.foreco.2019.117449" TargetMode="External"/><Relationship Id="rId7" Type="http://schemas.openxmlformats.org/officeDocument/2006/relationships/hyperlink" Target="http://www.sisef.it/iforest/contents/?id=ifor1674-008" TargetMode="External"/><Relationship Id="rId71" Type="http://schemas.openxmlformats.org/officeDocument/2006/relationships/hyperlink" Target="https://advances.sciencemag.org/content/6/12/eaaw5790" TargetMode="External"/><Relationship Id="rId92" Type="http://schemas.openxmlformats.org/officeDocument/2006/relationships/hyperlink" Target="https://www.cabdirect.org/cabdirect/abstract/20153321847" TargetMode="External"/><Relationship Id="rId2" Type="http://schemas.openxmlformats.org/officeDocument/2006/relationships/hyperlink" Target="http://ahnydxxb.ahau.edu.cn/ch/reader/view_abstract.aspx?file_no=201106005&amp;flag=1" TargetMode="External"/><Relationship Id="rId29" Type="http://schemas.openxmlformats.org/officeDocument/2006/relationships/hyperlink" Target="https://www.jstage.jst.go.jp/article/jila/68/5/68_5_689/_article/-char/ja" TargetMode="External"/><Relationship Id="rId24" Type="http://schemas.openxmlformats.org/officeDocument/2006/relationships/hyperlink" Target="http://www.airitilibrary.com/Publication/alDetailedMesh?DocID=10017488-201011-201101220039-201101220039-59-65" TargetMode="External"/><Relationship Id="rId40" Type="http://schemas.openxmlformats.org/officeDocument/2006/relationships/hyperlink" Target="https://www.jstage.jst.go.jp/article/jjsrt/35/1/35_1_57/_article/-char/ja" TargetMode="External"/><Relationship Id="rId45" Type="http://schemas.openxmlformats.org/officeDocument/2006/relationships/hyperlink" Target="https://ir.kagoshima-u.ac.jp/?action=pages_view_main&amp;active_action=repository_view_main_item_detail&amp;item_id=12611&amp;item_no=1&amp;page_id=13&amp;block_id=21" TargetMode="External"/><Relationship Id="rId66" Type="http://schemas.openxmlformats.org/officeDocument/2006/relationships/hyperlink" Target="https://esj-journals.onlinelibrary.wiley.com/doi/full/10.1007/s11284-017-1497-5" TargetMode="External"/><Relationship Id="rId87" Type="http://schemas.openxmlformats.org/officeDocument/2006/relationships/hyperlink" Target="https://doi.org/10.1371/journal.pone.0193024" TargetMode="External"/><Relationship Id="rId61" Type="http://schemas.openxmlformats.org/officeDocument/2006/relationships/hyperlink" Target="https://www.sciencedirect.com/science/article/pii/S0378112710007188" TargetMode="External"/><Relationship Id="rId82" Type="http://schemas.openxmlformats.org/officeDocument/2006/relationships/hyperlink" Target="https://doi.org/10.1016/j.foreco.2020.118447" TargetMode="External"/><Relationship Id="rId19" Type="http://schemas.openxmlformats.org/officeDocument/2006/relationships/hyperlink" Target="http://zlxb.zafu.edu.cn/CN/10.11833/j.issn.2095-0756.2012.01.010" TargetMode="External"/><Relationship Id="rId14" Type="http://schemas.openxmlformats.org/officeDocument/2006/relationships/hyperlink" Target="https://www.jstor.org/stable/43595383?read-now=1&amp;seq=1" TargetMode="External"/><Relationship Id="rId30" Type="http://schemas.openxmlformats.org/officeDocument/2006/relationships/hyperlink" Target="https://www.jstage.jst.go.jp/article/jass/21/1/21_65/_pdf/-char/ja" TargetMode="External"/><Relationship Id="rId35" Type="http://schemas.openxmlformats.org/officeDocument/2006/relationships/hyperlink" Target="http://web.kyoto-inet.or.jp/people/j-bamboo/bj-3.html" TargetMode="External"/><Relationship Id="rId56" Type="http://schemas.openxmlformats.org/officeDocument/2006/relationships/hyperlink" Target="http://www.airitilibrary.com/Publication/alDetailedMesh?docid=05781345-201406-201503020016-201503020016-181-192" TargetMode="External"/><Relationship Id="rId77" Type="http://schemas.openxmlformats.org/officeDocument/2006/relationships/hyperlink" Target="https://doi.org/10.3390/f9110671" TargetMode="External"/><Relationship Id="rId8" Type="http://schemas.openxmlformats.org/officeDocument/2006/relationships/hyperlink" Target="https://www.jstor.org/stable/43595383?read-now=1&amp;seq=1" TargetMode="External"/><Relationship Id="rId51" Type="http://schemas.openxmlformats.org/officeDocument/2006/relationships/hyperlink" Target="http://web.kyoto-inet.or.jp/people/j-bamboo/bj-27.html" TargetMode="External"/><Relationship Id="rId72" Type="http://schemas.openxmlformats.org/officeDocument/2006/relationships/hyperlink" Target="https://www.researchgate.net/publication/306133854_The_trend_of_growth_characteristics_of_moso_bamboo_Phyllostachys_pubescens_forests_under_an_unmanaged_condition_in_central_Taiwan" TargetMode="External"/><Relationship Id="rId93" Type="http://schemas.openxmlformats.org/officeDocument/2006/relationships/hyperlink" Target="https://doi.org/10.1016/j.apsoil.2020.103758" TargetMode="External"/><Relationship Id="rId98"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6" Type="http://schemas.openxmlformats.org/officeDocument/2006/relationships/hyperlink" Target="https://link.springer.com/article/10.1023/A:1009711814070" TargetMode="External"/><Relationship Id="rId21" Type="http://schemas.openxmlformats.org/officeDocument/2006/relationships/hyperlink" Target="https://agupubs.onlinelibrary.wiley.com/doi/full/10.1029/2009JG001234" TargetMode="External"/><Relationship Id="rId42" Type="http://schemas.openxmlformats.org/officeDocument/2006/relationships/hyperlink" Target="https://catalog.lib.kyushu-u.ac.jp/opac_detail_md/?lang=0&amp;amode=MD100000&amp;bibid=1913975" TargetMode="External"/><Relationship Id="rId47" Type="http://schemas.openxmlformats.org/officeDocument/2006/relationships/hyperlink" Target="https://www.jstage.jst.go.jp/article/jjfs/100/4/100_124/_article/-char/ja" TargetMode="External"/><Relationship Id="rId63" Type="http://schemas.openxmlformats.org/officeDocument/2006/relationships/hyperlink" Target="http://ir.lib.nchu.edu.tw/bitstream/11455/74254/1/143838-3.pdf" TargetMode="External"/><Relationship Id="rId68" Type="http://schemas.openxmlformats.org/officeDocument/2006/relationships/hyperlink" Target="https://advances.sciencemag.org/content/6/12/eaaw5790" TargetMode="External"/><Relationship Id="rId84" Type="http://schemas.openxmlformats.org/officeDocument/2006/relationships/hyperlink" Target="https://doi.org/10.1186/s40663-021-00285-0" TargetMode="External"/><Relationship Id="rId89" Type="http://schemas.openxmlformats.org/officeDocument/2006/relationships/hyperlink" Target="http://www.cjae.net/CN/Y2013/V24/I10/2717" TargetMode="External"/><Relationship Id="rId16" Type="http://schemas.openxmlformats.org/officeDocument/2006/relationships/hyperlink" Target="http://www.sisef.it/iforest/contents/?id=ifor1674-008" TargetMode="External"/><Relationship Id="rId11" Type="http://schemas.openxmlformats.org/officeDocument/2006/relationships/hyperlink" Target="http://kiss.kstudy.com/thesis/thesis-view.asp?key=3042038" TargetMode="External"/><Relationship Id="rId32" Type="http://schemas.openxmlformats.org/officeDocument/2006/relationships/hyperlink" Target="http://web.kyoto-inet.or.jp/people/j-bamboo/bj-5.html" TargetMode="External"/><Relationship Id="rId37" Type="http://schemas.openxmlformats.org/officeDocument/2006/relationships/hyperlink" Target="http://web.kyoto-inet.or.jp/people/j-bamboo/bj-3.html" TargetMode="External"/><Relationship Id="rId53" Type="http://schemas.openxmlformats.org/officeDocument/2006/relationships/hyperlink" Target="https://www.jstage.jst.go.jp/article/jjsk/58/0/58_KJ00006203544/_article/-char/ja/" TargetMode="External"/><Relationship Id="rId58" Type="http://schemas.openxmlformats.org/officeDocument/2006/relationships/hyperlink" Target="http://ir.lib.nchu.edu.tw/bitstream/11455/74254/1/143838-3.pdf" TargetMode="External"/><Relationship Id="rId74" Type="http://schemas.openxmlformats.org/officeDocument/2006/relationships/hyperlink" Target="https://esj-journals.onlinelibrary.wiley.com/doi/full/10.1007/s11284-017-1497-5" TargetMode="External"/><Relationship Id="rId79" Type="http://schemas.openxmlformats.org/officeDocument/2006/relationships/hyperlink" Target="https://doi.org/10.1016/j.apsoil.2020.103758" TargetMode="External"/><Relationship Id="rId5" Type="http://schemas.openxmlformats.org/officeDocument/2006/relationships/hyperlink" Target="https://link.springer.com/article/10.1007/s11368-013-0665-7" TargetMode="External"/><Relationship Id="rId90" Type="http://schemas.openxmlformats.org/officeDocument/2006/relationships/hyperlink" Target="https://core.ac.uk/download/pdf/41355338.pdf" TargetMode="External"/><Relationship Id="rId95" Type="http://schemas.openxmlformats.org/officeDocument/2006/relationships/hyperlink" Target="https://doi.org/10.1016/j.foreco.2019.117449" TargetMode="External"/><Relationship Id="rId22" Type="http://schemas.openxmlformats.org/officeDocument/2006/relationships/hyperlink" Target="http://kns.cnki.net/kcms/detail/detail.aspx?DbCode=CJFD&amp;dbname=CJFD9093&amp;filename=LYKX199305011" TargetMode="External"/><Relationship Id="rId27" Type="http://schemas.openxmlformats.org/officeDocument/2006/relationships/hyperlink" Target="https://www.jstage.jst.go.jp/article/jass/24/4/24_243/_article/-char/ja/" TargetMode="External"/><Relationship Id="rId43" Type="http://schemas.openxmlformats.org/officeDocument/2006/relationships/hyperlink" Target="https://ir.kagoshima-u.ac.jp/?action=pages_view_main&amp;active_action=repository_view_main_item_detail&amp;item_id=12611&amp;item_no=1&amp;page_id=13&amp;block_id=21" TargetMode="External"/><Relationship Id="rId48" Type="http://schemas.openxmlformats.org/officeDocument/2006/relationships/hyperlink" Target="https://esj-journals.onlinelibrary.wiley.com/doi/pdf/10.1007/s11284-014-1150-5" TargetMode="External"/><Relationship Id="rId64" Type="http://schemas.openxmlformats.org/officeDocument/2006/relationships/hyperlink" Target="https://www.researchgate.net/publication/333507633_The_Structures_Aboveground_Biomass_Carbon_Storage_of_Phyllostachys_pubescens_Stand_in_Huisun_Experimental_Forest_Station_and_Shi-Zhuo" TargetMode="External"/><Relationship Id="rId69" Type="http://schemas.openxmlformats.org/officeDocument/2006/relationships/hyperlink" Target="https://advances.sciencemag.org/content/6/12/eaaw5790" TargetMode="External"/><Relationship Id="rId80" Type="http://schemas.openxmlformats.org/officeDocument/2006/relationships/hyperlink" Target="https://doi.org/10.1016/j.apsoil.2020.103758" TargetMode="External"/><Relationship Id="rId85" Type="http://schemas.openxmlformats.org/officeDocument/2006/relationships/hyperlink" Target="https://doi.org/10.1371/journal.pone.0193024" TargetMode="External"/><Relationship Id="rId3" Type="http://schemas.openxmlformats.org/officeDocument/2006/relationships/hyperlink" Target="http://zlxb.zafu.edu.cn/EN/10.11833/j.issn.2095-0756.2012.03.001" TargetMode="External"/><Relationship Id="rId12" Type="http://schemas.openxmlformats.org/officeDocument/2006/relationships/hyperlink" Target="http://kiss.kstudy.com/thesis/thesis-view.asp?key=2459514" TargetMode="External"/><Relationship Id="rId17" Type="http://schemas.openxmlformats.org/officeDocument/2006/relationships/hyperlink" Target="https://link.springer.com/article/10.1007/s11368-013-0665-7" TargetMode="External"/><Relationship Id="rId25" Type="http://schemas.openxmlformats.org/officeDocument/2006/relationships/hyperlink" Target="https://www.jstage.jst.go.jp/article/jass/24/4/24_243/_article/-char/ja/" TargetMode="External"/><Relationship Id="rId33" Type="http://schemas.openxmlformats.org/officeDocument/2006/relationships/hyperlink" Target="http://web.kyoto-inet.or.jp/people/j-bamboo/bj-5.html" TargetMode="External"/><Relationship Id="rId38" Type="http://schemas.openxmlformats.org/officeDocument/2006/relationships/hyperlink" Target="http://web.kyoto-inet.or.jp/people/j-bamboo/bj-5.html" TargetMode="External"/><Relationship Id="rId46" Type="http://schemas.openxmlformats.org/officeDocument/2006/relationships/hyperlink" Target="https://catalog.lib.kyushu-u.ac.jp/opac_detail_md/?lang=0&amp;amode=MD100000&amp;bibid=1913975" TargetMode="External"/><Relationship Id="rId59" Type="http://schemas.openxmlformats.org/officeDocument/2006/relationships/hyperlink" Target="http://ir.lib.nchu.edu.tw/bitstream/11455/74254/1/143838-3.pdf" TargetMode="External"/><Relationship Id="rId67" Type="http://schemas.openxmlformats.org/officeDocument/2006/relationships/hyperlink" Target="http://www.airitilibrary.com/Publication/alDetailedMesh?docid=05781345-201406-201503020016-201503020016-181-192" TargetMode="External"/><Relationship Id="rId20" Type="http://schemas.openxmlformats.org/officeDocument/2006/relationships/hyperlink" Target="http://zlxb.zafu.edu.cn/CN/10.11833/j.issn.2095-0756.2012.01.010" TargetMode="External"/><Relationship Id="rId41" Type="http://schemas.openxmlformats.org/officeDocument/2006/relationships/hyperlink" Target="https://www.jstage.jst.go.jp/article/jjsrt/35/1/35_1_57/_article/-char/ja" TargetMode="External"/><Relationship Id="rId54" Type="http://schemas.openxmlformats.org/officeDocument/2006/relationships/hyperlink" Target="http://www.airitilibrary.com/Publication/alDetailedMesh?docid=05781345-201406-201503020016-201503020016-181-192" TargetMode="External"/><Relationship Id="rId62" Type="http://schemas.openxmlformats.org/officeDocument/2006/relationships/hyperlink" Target="https://www.sciencedirect.com/science/article/pii/S0378112710007188" TargetMode="External"/><Relationship Id="rId70" Type="http://schemas.openxmlformats.org/officeDocument/2006/relationships/hyperlink" Target="https://advances.sciencemag.org/content/6/12/eaaw5790" TargetMode="External"/><Relationship Id="rId75" Type="http://schemas.openxmlformats.org/officeDocument/2006/relationships/hyperlink" Target="https://doi.org/10.1080/13504509.2013.811445" TargetMode="External"/><Relationship Id="rId83" Type="http://schemas.openxmlformats.org/officeDocument/2006/relationships/hyperlink" Target="https://doi.org/10.1186/s40663-021-00285-0" TargetMode="External"/><Relationship Id="rId88" Type="http://schemas.openxmlformats.org/officeDocument/2006/relationships/hyperlink" Target="https://doi.org/10.1371/journal.pone.0193024" TargetMode="External"/><Relationship Id="rId91" Type="http://schemas.openxmlformats.org/officeDocument/2006/relationships/hyperlink" Target="https://www.cabdirect.org/cabdirect/abstract/20153321847" TargetMode="External"/><Relationship Id="rId96" Type="http://schemas.openxmlformats.org/officeDocument/2006/relationships/hyperlink" Target="https://doi.org/10.1016/j.foreco.2019.117449" TargetMode="External"/><Relationship Id="rId1" Type="http://schemas.openxmlformats.org/officeDocument/2006/relationships/hyperlink" Target="http://zlxb.zafu.edu.cn/CN/10.11833/j.issn.2095-0756.2012.01.010" TargetMode="External"/><Relationship Id="rId6" Type="http://schemas.openxmlformats.org/officeDocument/2006/relationships/hyperlink" Target="https://www.ncbi.nlm.nih.gov/pmc/articles/PMC1635818/" TargetMode="External"/><Relationship Id="rId15" Type="http://schemas.openxmlformats.org/officeDocument/2006/relationships/hyperlink" Target="http://www.sisef.it/iforest/contents/?id=ifor1674-008" TargetMode="External"/><Relationship Id="rId23" Type="http://schemas.openxmlformats.org/officeDocument/2006/relationships/hyperlink" Target="http://kns.cnki.net/kcms/detail/detail.aspx?DbCode=CJFD&amp;dbname=CJFD9093&amp;filename=LYKX199305011" TargetMode="External"/><Relationship Id="rId28" Type="http://schemas.openxmlformats.org/officeDocument/2006/relationships/hyperlink" Target="https://www.jstage.jst.go.jp/article/jjsrt/35/1/35_1_57/_article/-char/ja" TargetMode="External"/><Relationship Id="rId36" Type="http://schemas.openxmlformats.org/officeDocument/2006/relationships/hyperlink" Target="http://web.kyoto-inet.or.jp/people/j-bamboo/bj-3.html" TargetMode="External"/><Relationship Id="rId49" Type="http://schemas.openxmlformats.org/officeDocument/2006/relationships/hyperlink" Target="https://esj-journals.onlinelibrary.wiley.com/doi/pdf/10.1007/s11284-014-1150-5" TargetMode="External"/><Relationship Id="rId57" Type="http://schemas.openxmlformats.org/officeDocument/2006/relationships/hyperlink" Target="http://www.airitilibrary.com/Publication/alDetailedMesh?docid=05781345-201406-201503020016-201503020016-181-192" TargetMode="External"/><Relationship Id="rId10" Type="http://schemas.openxmlformats.org/officeDocument/2006/relationships/hyperlink" Target="https://www.jstor.org/stable/43595383?read-now=1&amp;seq=1" TargetMode="External"/><Relationship Id="rId31" Type="http://schemas.openxmlformats.org/officeDocument/2006/relationships/hyperlink" Target="https://www.jstage.jst.go.jp/article/jjfe/57/1/57_KJ00009983906/_pdf/-char/ja" TargetMode="External"/><Relationship Id="rId44" Type="http://schemas.openxmlformats.org/officeDocument/2006/relationships/hyperlink" Target="https://ir.kagoshima-u.ac.jp/?action=pages_view_main&amp;active_action=repository_view_main_item_detail&amp;item_id=12611&amp;item_no=1&amp;page_id=13&amp;block_id=21" TargetMode="External"/><Relationship Id="rId52" Type="http://schemas.openxmlformats.org/officeDocument/2006/relationships/hyperlink" Target="https://www.jstage.jst.go.jp/article/jjsk/58/0/58_KJ00006203544/_article/-char/ja/" TargetMode="External"/><Relationship Id="rId60" Type="http://schemas.openxmlformats.org/officeDocument/2006/relationships/hyperlink" Target="https://www.sciencedirect.com/science/article/pii/S0378112710007188" TargetMode="External"/><Relationship Id="rId65" Type="http://schemas.openxmlformats.org/officeDocument/2006/relationships/hyperlink" Target="https://www.researchgate.net/publication/333507633_The_Structures_Aboveground_Biomass_Carbon_Storage_of_Phyllostachys_pubescens_Stand_in_Huisun_Experimental_Forest_Station_and_Shi-Zhuo" TargetMode="External"/><Relationship Id="rId73" Type="http://schemas.openxmlformats.org/officeDocument/2006/relationships/hyperlink" Target="https://www.researchgate.net/publication/306133854_The_trend_of_growth_characteristics_of_moso_bamboo_Phyllostachys_pubescens_forests_under_an_unmanaged_condition_in_central_Taiwan" TargetMode="External"/><Relationship Id="rId78" Type="http://schemas.openxmlformats.org/officeDocument/2006/relationships/hyperlink" Target="https://doi.org/10.1016/j.apsoil.2020.103758" TargetMode="External"/><Relationship Id="rId81" Type="http://schemas.openxmlformats.org/officeDocument/2006/relationships/hyperlink" Target="https://doi.org/10.1016/j.foreco.2020.118745" TargetMode="External"/><Relationship Id="rId86" Type="http://schemas.openxmlformats.org/officeDocument/2006/relationships/hyperlink" Target="https://doi.org/10.1371/journal.pone.0193024" TargetMode="External"/><Relationship Id="rId94" Type="http://schemas.openxmlformats.org/officeDocument/2006/relationships/hyperlink" Target="https://doi.org/10.1016/j.foreco.2019.117449" TargetMode="External"/><Relationship Id="rId99" Type="http://schemas.openxmlformats.org/officeDocument/2006/relationships/drawing" Target="../drawings/drawing2.xml"/><Relationship Id="rId4" Type="http://schemas.openxmlformats.org/officeDocument/2006/relationships/hyperlink" Target="http://html.rhhz.net/linyekexue/html/20131125.htm" TargetMode="External"/><Relationship Id="rId9" Type="http://schemas.openxmlformats.org/officeDocument/2006/relationships/hyperlink" Target="https://www.jstor.org/stable/43595383?read-now=1&amp;seq=1" TargetMode="External"/><Relationship Id="rId13" Type="http://schemas.openxmlformats.org/officeDocument/2006/relationships/hyperlink" Target="http://kiss.kstudy.com/thesis/thesis-view.asp?key=74524" TargetMode="External"/><Relationship Id="rId18" Type="http://schemas.openxmlformats.org/officeDocument/2006/relationships/hyperlink" Target="https://link.springer.com/article/10.1007/s11368-013-0665-7" TargetMode="External"/><Relationship Id="rId39" Type="http://schemas.openxmlformats.org/officeDocument/2006/relationships/hyperlink" Target="https://www.jstage.jst.go.jp/article/jjsrt/35/1/35_1_57/_article/-char/ja" TargetMode="External"/><Relationship Id="rId34" Type="http://schemas.openxmlformats.org/officeDocument/2006/relationships/hyperlink" Target="http://web.kyoto-inet.or.jp/people/j-bamboo/bj-5.html" TargetMode="External"/><Relationship Id="rId50" Type="http://schemas.openxmlformats.org/officeDocument/2006/relationships/hyperlink" Target="https://esj-journals.onlinelibrary.wiley.com/doi/pdf/10.1007/s11284-014-1150-5" TargetMode="External"/><Relationship Id="rId55" Type="http://schemas.openxmlformats.org/officeDocument/2006/relationships/hyperlink" Target="http://www.airitilibrary.com/Publication/alDetailedMesh?docid=05781345-201406-201503020016-201503020016-181-192" TargetMode="External"/><Relationship Id="rId76" Type="http://schemas.openxmlformats.org/officeDocument/2006/relationships/hyperlink" Target="https://doi.org/10.3390/f9110671" TargetMode="External"/><Relationship Id="rId97" Type="http://schemas.openxmlformats.org/officeDocument/2006/relationships/hyperlink" Target="https://doi.org/10.1016/j.foreco.2019.117449" TargetMode="External"/><Relationship Id="rId7" Type="http://schemas.openxmlformats.org/officeDocument/2006/relationships/hyperlink" Target="http://www.sisef.it/iforest/contents/?id=ifor1674-008" TargetMode="External"/><Relationship Id="rId71" Type="http://schemas.openxmlformats.org/officeDocument/2006/relationships/hyperlink" Target="https://advances.sciencemag.org/content/6/12/eaaw5790" TargetMode="External"/><Relationship Id="rId92" Type="http://schemas.openxmlformats.org/officeDocument/2006/relationships/hyperlink" Target="https://www.cabdirect.org/cabdirect/abstract/20153321847" TargetMode="External"/><Relationship Id="rId2" Type="http://schemas.openxmlformats.org/officeDocument/2006/relationships/hyperlink" Target="http://ahnydxxb.ahau.edu.cn/ch/reader/view_abstract.aspx?file_no=201106005&amp;flag=1" TargetMode="External"/><Relationship Id="rId29" Type="http://schemas.openxmlformats.org/officeDocument/2006/relationships/hyperlink" Target="https://www.jstage.jst.go.jp/article/jila/68/5/68_5_689/_article/-char/ja" TargetMode="External"/><Relationship Id="rId24" Type="http://schemas.openxmlformats.org/officeDocument/2006/relationships/hyperlink" Target="http://www.airitilibrary.com/Publication/alDetailedMesh?DocID=10017488-201011-201101220039-201101220039-59-65" TargetMode="External"/><Relationship Id="rId40" Type="http://schemas.openxmlformats.org/officeDocument/2006/relationships/hyperlink" Target="https://www.jstage.jst.go.jp/article/jjsrt/35/1/35_1_57/_article/-char/ja" TargetMode="External"/><Relationship Id="rId45" Type="http://schemas.openxmlformats.org/officeDocument/2006/relationships/hyperlink" Target="https://ir.kagoshima-u.ac.jp/?action=pages_view_main&amp;active_action=repository_view_main_item_detail&amp;item_id=12611&amp;item_no=1&amp;page_id=13&amp;block_id=21" TargetMode="External"/><Relationship Id="rId66" Type="http://schemas.openxmlformats.org/officeDocument/2006/relationships/hyperlink" Target="https://esj-journals.onlinelibrary.wiley.com/doi/full/10.1007/s11284-017-1497-5" TargetMode="External"/><Relationship Id="rId87" Type="http://schemas.openxmlformats.org/officeDocument/2006/relationships/hyperlink" Target="https://doi.org/10.1371/journal.pone.0193024" TargetMode="External"/><Relationship Id="rId61" Type="http://schemas.openxmlformats.org/officeDocument/2006/relationships/hyperlink" Target="https://www.sciencedirect.com/science/article/pii/S0378112710007188" TargetMode="External"/><Relationship Id="rId82" Type="http://schemas.openxmlformats.org/officeDocument/2006/relationships/hyperlink" Target="https://doi.org/10.1016/j.foreco.2020.118447" TargetMode="External"/><Relationship Id="rId19" Type="http://schemas.openxmlformats.org/officeDocument/2006/relationships/hyperlink" Target="http://zlxb.zafu.edu.cn/CN/10.11833/j.issn.2095-0756.2012.01.010" TargetMode="External"/><Relationship Id="rId14" Type="http://schemas.openxmlformats.org/officeDocument/2006/relationships/hyperlink" Target="https://www.jstor.org/stable/43595383?read-now=1&amp;seq=1" TargetMode="External"/><Relationship Id="rId30" Type="http://schemas.openxmlformats.org/officeDocument/2006/relationships/hyperlink" Target="https://www.jstage.jst.go.jp/article/jass/21/1/21_65/_pdf/-char/ja" TargetMode="External"/><Relationship Id="rId35" Type="http://schemas.openxmlformats.org/officeDocument/2006/relationships/hyperlink" Target="http://web.kyoto-inet.or.jp/people/j-bamboo/bj-3.html" TargetMode="External"/><Relationship Id="rId56" Type="http://schemas.openxmlformats.org/officeDocument/2006/relationships/hyperlink" Target="http://www.airitilibrary.com/Publication/alDetailedMesh?docid=05781345-201406-201503020016-201503020016-181-192" TargetMode="External"/><Relationship Id="rId77" Type="http://schemas.openxmlformats.org/officeDocument/2006/relationships/hyperlink" Target="https://doi.org/10.3390/f9110671" TargetMode="External"/><Relationship Id="rId8" Type="http://schemas.openxmlformats.org/officeDocument/2006/relationships/hyperlink" Target="https://www.jstor.org/stable/43595383?read-now=1&amp;seq=1" TargetMode="External"/><Relationship Id="rId51" Type="http://schemas.openxmlformats.org/officeDocument/2006/relationships/hyperlink" Target="http://web.kyoto-inet.or.jp/people/j-bamboo/bj-27.html" TargetMode="External"/><Relationship Id="rId72" Type="http://schemas.openxmlformats.org/officeDocument/2006/relationships/hyperlink" Target="https://www.researchgate.net/publication/306133854_The_trend_of_growth_characteristics_of_moso_bamboo_Phyllostachys_pubescens_forests_under_an_unmanaged_condition_in_central_Taiwan" TargetMode="External"/><Relationship Id="rId93" Type="http://schemas.openxmlformats.org/officeDocument/2006/relationships/hyperlink" Target="https://doi.org/10.1016/j.apsoil.2020.103758" TargetMode="External"/><Relationship Id="rId98"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6" Type="http://schemas.openxmlformats.org/officeDocument/2006/relationships/hyperlink" Target="https://link.springer.com/article/10.1023/A:1009711814070" TargetMode="External"/><Relationship Id="rId21" Type="http://schemas.openxmlformats.org/officeDocument/2006/relationships/hyperlink" Target="https://agupubs.onlinelibrary.wiley.com/doi/full/10.1029/2009JG001234" TargetMode="External"/><Relationship Id="rId42" Type="http://schemas.openxmlformats.org/officeDocument/2006/relationships/hyperlink" Target="https://catalog.lib.kyushu-u.ac.jp/opac_detail_md/?lang=0&amp;amode=MD100000&amp;bibid=1913975" TargetMode="External"/><Relationship Id="rId47" Type="http://schemas.openxmlformats.org/officeDocument/2006/relationships/hyperlink" Target="https://www.jstage.jst.go.jp/article/jjfs/100/4/100_124/_article/-char/ja" TargetMode="External"/><Relationship Id="rId63" Type="http://schemas.openxmlformats.org/officeDocument/2006/relationships/hyperlink" Target="http://ir.lib.nchu.edu.tw/bitstream/11455/74254/1/143838-3.pdf" TargetMode="External"/><Relationship Id="rId68" Type="http://schemas.openxmlformats.org/officeDocument/2006/relationships/hyperlink" Target="https://advances.sciencemag.org/content/6/12/eaaw5790" TargetMode="External"/><Relationship Id="rId84" Type="http://schemas.openxmlformats.org/officeDocument/2006/relationships/hyperlink" Target="https://doi.org/10.1186/s40663-021-00285-0" TargetMode="External"/><Relationship Id="rId89" Type="http://schemas.openxmlformats.org/officeDocument/2006/relationships/hyperlink" Target="http://www.cjae.net/CN/Y2013/V24/I10/2717" TargetMode="External"/><Relationship Id="rId16" Type="http://schemas.openxmlformats.org/officeDocument/2006/relationships/hyperlink" Target="http://www.sisef.it/iforest/contents/?id=ifor1674-008" TargetMode="External"/><Relationship Id="rId11" Type="http://schemas.openxmlformats.org/officeDocument/2006/relationships/hyperlink" Target="http://kiss.kstudy.com/thesis/thesis-view.asp?key=3042038" TargetMode="External"/><Relationship Id="rId32" Type="http://schemas.openxmlformats.org/officeDocument/2006/relationships/hyperlink" Target="http://web.kyoto-inet.or.jp/people/j-bamboo/bj-5.html" TargetMode="External"/><Relationship Id="rId37" Type="http://schemas.openxmlformats.org/officeDocument/2006/relationships/hyperlink" Target="http://web.kyoto-inet.or.jp/people/j-bamboo/bj-3.html" TargetMode="External"/><Relationship Id="rId53" Type="http://schemas.openxmlformats.org/officeDocument/2006/relationships/hyperlink" Target="https://www.jstage.jst.go.jp/article/jjsk/58/0/58_KJ00006203544/_article/-char/ja/" TargetMode="External"/><Relationship Id="rId58" Type="http://schemas.openxmlformats.org/officeDocument/2006/relationships/hyperlink" Target="http://ir.lib.nchu.edu.tw/bitstream/11455/74254/1/143838-3.pdf" TargetMode="External"/><Relationship Id="rId74" Type="http://schemas.openxmlformats.org/officeDocument/2006/relationships/hyperlink" Target="https://esj-journals.onlinelibrary.wiley.com/doi/full/10.1007/s11284-017-1497-5" TargetMode="External"/><Relationship Id="rId79" Type="http://schemas.openxmlformats.org/officeDocument/2006/relationships/hyperlink" Target="https://doi.org/10.1016/j.apsoil.2020.103758" TargetMode="External"/><Relationship Id="rId5" Type="http://schemas.openxmlformats.org/officeDocument/2006/relationships/hyperlink" Target="https://link.springer.com/article/10.1007/s11368-013-0665-7" TargetMode="External"/><Relationship Id="rId90" Type="http://schemas.openxmlformats.org/officeDocument/2006/relationships/hyperlink" Target="https://core.ac.uk/download/pdf/41355338.pdf" TargetMode="External"/><Relationship Id="rId95" Type="http://schemas.openxmlformats.org/officeDocument/2006/relationships/hyperlink" Target="https://doi.org/10.1016/j.foreco.2019.117449" TargetMode="External"/><Relationship Id="rId22" Type="http://schemas.openxmlformats.org/officeDocument/2006/relationships/hyperlink" Target="http://kns.cnki.net/kcms/detail/detail.aspx?DbCode=CJFD&amp;dbname=CJFD9093&amp;filename=LYKX199305011" TargetMode="External"/><Relationship Id="rId27" Type="http://schemas.openxmlformats.org/officeDocument/2006/relationships/hyperlink" Target="https://www.jstage.jst.go.jp/article/jass/24/4/24_243/_article/-char/ja/" TargetMode="External"/><Relationship Id="rId43" Type="http://schemas.openxmlformats.org/officeDocument/2006/relationships/hyperlink" Target="https://ir.kagoshima-u.ac.jp/?action=pages_view_main&amp;active_action=repository_view_main_item_detail&amp;item_id=12611&amp;item_no=1&amp;page_id=13&amp;block_id=21" TargetMode="External"/><Relationship Id="rId48" Type="http://schemas.openxmlformats.org/officeDocument/2006/relationships/hyperlink" Target="https://esj-journals.onlinelibrary.wiley.com/doi/pdf/10.1007/s11284-014-1150-5" TargetMode="External"/><Relationship Id="rId64" Type="http://schemas.openxmlformats.org/officeDocument/2006/relationships/hyperlink" Target="https://www.researchgate.net/publication/333507633_The_Structures_Aboveground_Biomass_Carbon_Storage_of_Phyllostachys_pubescens_Stand_in_Huisun_Experimental_Forest_Station_and_Shi-Zhuo" TargetMode="External"/><Relationship Id="rId69" Type="http://schemas.openxmlformats.org/officeDocument/2006/relationships/hyperlink" Target="https://advances.sciencemag.org/content/6/12/eaaw5790" TargetMode="External"/><Relationship Id="rId80" Type="http://schemas.openxmlformats.org/officeDocument/2006/relationships/hyperlink" Target="https://doi.org/10.1016/j.apsoil.2020.103758" TargetMode="External"/><Relationship Id="rId85" Type="http://schemas.openxmlformats.org/officeDocument/2006/relationships/hyperlink" Target="https://doi.org/10.1371/journal.pone.0193024" TargetMode="External"/><Relationship Id="rId3" Type="http://schemas.openxmlformats.org/officeDocument/2006/relationships/hyperlink" Target="http://zlxb.zafu.edu.cn/EN/10.11833/j.issn.2095-0756.2012.03.001" TargetMode="External"/><Relationship Id="rId12" Type="http://schemas.openxmlformats.org/officeDocument/2006/relationships/hyperlink" Target="http://kiss.kstudy.com/thesis/thesis-view.asp?key=2459514" TargetMode="External"/><Relationship Id="rId17" Type="http://schemas.openxmlformats.org/officeDocument/2006/relationships/hyperlink" Target="https://link.springer.com/article/10.1007/s11368-013-0665-7" TargetMode="External"/><Relationship Id="rId25" Type="http://schemas.openxmlformats.org/officeDocument/2006/relationships/hyperlink" Target="https://www.jstage.jst.go.jp/article/jass/24/4/24_243/_article/-char/ja/" TargetMode="External"/><Relationship Id="rId33" Type="http://schemas.openxmlformats.org/officeDocument/2006/relationships/hyperlink" Target="http://web.kyoto-inet.or.jp/people/j-bamboo/bj-5.html" TargetMode="External"/><Relationship Id="rId38" Type="http://schemas.openxmlformats.org/officeDocument/2006/relationships/hyperlink" Target="http://web.kyoto-inet.or.jp/people/j-bamboo/bj-5.html" TargetMode="External"/><Relationship Id="rId46" Type="http://schemas.openxmlformats.org/officeDocument/2006/relationships/hyperlink" Target="https://catalog.lib.kyushu-u.ac.jp/opac_detail_md/?lang=0&amp;amode=MD100000&amp;bibid=1913975" TargetMode="External"/><Relationship Id="rId59" Type="http://schemas.openxmlformats.org/officeDocument/2006/relationships/hyperlink" Target="http://ir.lib.nchu.edu.tw/bitstream/11455/74254/1/143838-3.pdf" TargetMode="External"/><Relationship Id="rId67" Type="http://schemas.openxmlformats.org/officeDocument/2006/relationships/hyperlink" Target="http://www.airitilibrary.com/Publication/alDetailedMesh?docid=05781345-201406-201503020016-201503020016-181-192" TargetMode="External"/><Relationship Id="rId20" Type="http://schemas.openxmlformats.org/officeDocument/2006/relationships/hyperlink" Target="http://zlxb.zafu.edu.cn/CN/10.11833/j.issn.2095-0756.2012.01.010" TargetMode="External"/><Relationship Id="rId41" Type="http://schemas.openxmlformats.org/officeDocument/2006/relationships/hyperlink" Target="https://www.jstage.jst.go.jp/article/jjsrt/35/1/35_1_57/_article/-char/ja" TargetMode="External"/><Relationship Id="rId54" Type="http://schemas.openxmlformats.org/officeDocument/2006/relationships/hyperlink" Target="http://www.airitilibrary.com/Publication/alDetailedMesh?docid=05781345-201406-201503020016-201503020016-181-192" TargetMode="External"/><Relationship Id="rId62" Type="http://schemas.openxmlformats.org/officeDocument/2006/relationships/hyperlink" Target="https://www.sciencedirect.com/science/article/pii/S0378112710007188" TargetMode="External"/><Relationship Id="rId70" Type="http://schemas.openxmlformats.org/officeDocument/2006/relationships/hyperlink" Target="https://advances.sciencemag.org/content/6/12/eaaw5790" TargetMode="External"/><Relationship Id="rId75" Type="http://schemas.openxmlformats.org/officeDocument/2006/relationships/hyperlink" Target="https://doi.org/10.1080/13504509.2013.811445" TargetMode="External"/><Relationship Id="rId83" Type="http://schemas.openxmlformats.org/officeDocument/2006/relationships/hyperlink" Target="https://doi.org/10.1186/s40663-021-00285-0" TargetMode="External"/><Relationship Id="rId88" Type="http://schemas.openxmlformats.org/officeDocument/2006/relationships/hyperlink" Target="https://doi.org/10.1371/journal.pone.0193024" TargetMode="External"/><Relationship Id="rId91" Type="http://schemas.openxmlformats.org/officeDocument/2006/relationships/hyperlink" Target="https://www.cabdirect.org/cabdirect/abstract/20153321847" TargetMode="External"/><Relationship Id="rId96" Type="http://schemas.openxmlformats.org/officeDocument/2006/relationships/hyperlink" Target="https://doi.org/10.1016/j.foreco.2019.117449" TargetMode="External"/><Relationship Id="rId1" Type="http://schemas.openxmlformats.org/officeDocument/2006/relationships/hyperlink" Target="http://zlxb.zafu.edu.cn/CN/10.11833/j.issn.2095-0756.2012.01.010" TargetMode="External"/><Relationship Id="rId6" Type="http://schemas.openxmlformats.org/officeDocument/2006/relationships/hyperlink" Target="https://www.ncbi.nlm.nih.gov/pmc/articles/PMC1635818/" TargetMode="External"/><Relationship Id="rId15" Type="http://schemas.openxmlformats.org/officeDocument/2006/relationships/hyperlink" Target="http://www.sisef.it/iforest/contents/?id=ifor1674-008" TargetMode="External"/><Relationship Id="rId23" Type="http://schemas.openxmlformats.org/officeDocument/2006/relationships/hyperlink" Target="http://kns.cnki.net/kcms/detail/detail.aspx?DbCode=CJFD&amp;dbname=CJFD9093&amp;filename=LYKX199305011" TargetMode="External"/><Relationship Id="rId28" Type="http://schemas.openxmlformats.org/officeDocument/2006/relationships/hyperlink" Target="https://www.jstage.jst.go.jp/article/jjsrt/35/1/35_1_57/_article/-char/ja" TargetMode="External"/><Relationship Id="rId36" Type="http://schemas.openxmlformats.org/officeDocument/2006/relationships/hyperlink" Target="http://web.kyoto-inet.or.jp/people/j-bamboo/bj-3.html" TargetMode="External"/><Relationship Id="rId49" Type="http://schemas.openxmlformats.org/officeDocument/2006/relationships/hyperlink" Target="https://esj-journals.onlinelibrary.wiley.com/doi/pdf/10.1007/s11284-014-1150-5" TargetMode="External"/><Relationship Id="rId57" Type="http://schemas.openxmlformats.org/officeDocument/2006/relationships/hyperlink" Target="http://www.airitilibrary.com/Publication/alDetailedMesh?docid=05781345-201406-201503020016-201503020016-181-192" TargetMode="External"/><Relationship Id="rId10" Type="http://schemas.openxmlformats.org/officeDocument/2006/relationships/hyperlink" Target="https://www.jstor.org/stable/43595383?read-now=1&amp;seq=1" TargetMode="External"/><Relationship Id="rId31" Type="http://schemas.openxmlformats.org/officeDocument/2006/relationships/hyperlink" Target="https://www.jstage.jst.go.jp/article/jjfe/57/1/57_KJ00009983906/_pdf/-char/ja" TargetMode="External"/><Relationship Id="rId44" Type="http://schemas.openxmlformats.org/officeDocument/2006/relationships/hyperlink" Target="https://ir.kagoshima-u.ac.jp/?action=pages_view_main&amp;active_action=repository_view_main_item_detail&amp;item_id=12611&amp;item_no=1&amp;page_id=13&amp;block_id=21" TargetMode="External"/><Relationship Id="rId52" Type="http://schemas.openxmlformats.org/officeDocument/2006/relationships/hyperlink" Target="https://www.jstage.jst.go.jp/article/jjsk/58/0/58_KJ00006203544/_article/-char/ja/" TargetMode="External"/><Relationship Id="rId60" Type="http://schemas.openxmlformats.org/officeDocument/2006/relationships/hyperlink" Target="https://www.sciencedirect.com/science/article/pii/S0378112710007188" TargetMode="External"/><Relationship Id="rId65" Type="http://schemas.openxmlformats.org/officeDocument/2006/relationships/hyperlink" Target="https://www.researchgate.net/publication/333507633_The_Structures_Aboveground_Biomass_Carbon_Storage_of_Phyllostachys_pubescens_Stand_in_Huisun_Experimental_Forest_Station_and_Shi-Zhuo" TargetMode="External"/><Relationship Id="rId73" Type="http://schemas.openxmlformats.org/officeDocument/2006/relationships/hyperlink" Target="https://www.researchgate.net/publication/306133854_The_trend_of_growth_characteristics_of_moso_bamboo_Phyllostachys_pubescens_forests_under_an_unmanaged_condition_in_central_Taiwan" TargetMode="External"/><Relationship Id="rId78" Type="http://schemas.openxmlformats.org/officeDocument/2006/relationships/hyperlink" Target="https://doi.org/10.1016/j.apsoil.2020.103758" TargetMode="External"/><Relationship Id="rId81" Type="http://schemas.openxmlformats.org/officeDocument/2006/relationships/hyperlink" Target="https://doi.org/10.1016/j.foreco.2020.118745" TargetMode="External"/><Relationship Id="rId86" Type="http://schemas.openxmlformats.org/officeDocument/2006/relationships/hyperlink" Target="https://doi.org/10.1371/journal.pone.0193024" TargetMode="External"/><Relationship Id="rId94" Type="http://schemas.openxmlformats.org/officeDocument/2006/relationships/hyperlink" Target="https://doi.org/10.1016/j.foreco.2019.117449" TargetMode="External"/><Relationship Id="rId99" Type="http://schemas.openxmlformats.org/officeDocument/2006/relationships/drawing" Target="../drawings/drawing3.xml"/><Relationship Id="rId4" Type="http://schemas.openxmlformats.org/officeDocument/2006/relationships/hyperlink" Target="http://html.rhhz.net/linyekexue/html/20131125.htm" TargetMode="External"/><Relationship Id="rId9" Type="http://schemas.openxmlformats.org/officeDocument/2006/relationships/hyperlink" Target="https://www.jstor.org/stable/43595383?read-now=1&amp;seq=1" TargetMode="External"/><Relationship Id="rId13" Type="http://schemas.openxmlformats.org/officeDocument/2006/relationships/hyperlink" Target="http://kiss.kstudy.com/thesis/thesis-view.asp?key=74524" TargetMode="External"/><Relationship Id="rId18" Type="http://schemas.openxmlformats.org/officeDocument/2006/relationships/hyperlink" Target="https://link.springer.com/article/10.1007/s11368-013-0665-7" TargetMode="External"/><Relationship Id="rId39" Type="http://schemas.openxmlformats.org/officeDocument/2006/relationships/hyperlink" Target="https://www.jstage.jst.go.jp/article/jjsrt/35/1/35_1_57/_article/-char/ja" TargetMode="External"/><Relationship Id="rId34" Type="http://schemas.openxmlformats.org/officeDocument/2006/relationships/hyperlink" Target="http://web.kyoto-inet.or.jp/people/j-bamboo/bj-5.html" TargetMode="External"/><Relationship Id="rId50" Type="http://schemas.openxmlformats.org/officeDocument/2006/relationships/hyperlink" Target="https://esj-journals.onlinelibrary.wiley.com/doi/pdf/10.1007/s11284-014-1150-5" TargetMode="External"/><Relationship Id="rId55" Type="http://schemas.openxmlformats.org/officeDocument/2006/relationships/hyperlink" Target="http://www.airitilibrary.com/Publication/alDetailedMesh?docid=05781345-201406-201503020016-201503020016-181-192" TargetMode="External"/><Relationship Id="rId76" Type="http://schemas.openxmlformats.org/officeDocument/2006/relationships/hyperlink" Target="https://doi.org/10.3390/f9110671" TargetMode="External"/><Relationship Id="rId97" Type="http://schemas.openxmlformats.org/officeDocument/2006/relationships/hyperlink" Target="https://doi.org/10.1016/j.foreco.2019.117449" TargetMode="External"/><Relationship Id="rId7" Type="http://schemas.openxmlformats.org/officeDocument/2006/relationships/hyperlink" Target="http://www.sisef.it/iforest/contents/?id=ifor1674-008" TargetMode="External"/><Relationship Id="rId71" Type="http://schemas.openxmlformats.org/officeDocument/2006/relationships/hyperlink" Target="https://advances.sciencemag.org/content/6/12/eaaw5790" TargetMode="External"/><Relationship Id="rId92" Type="http://schemas.openxmlformats.org/officeDocument/2006/relationships/hyperlink" Target="https://www.cabdirect.org/cabdirect/abstract/20153321847" TargetMode="External"/><Relationship Id="rId2" Type="http://schemas.openxmlformats.org/officeDocument/2006/relationships/hyperlink" Target="http://ahnydxxb.ahau.edu.cn/ch/reader/view_abstract.aspx?file_no=201106005&amp;flag=1" TargetMode="External"/><Relationship Id="rId29" Type="http://schemas.openxmlformats.org/officeDocument/2006/relationships/hyperlink" Target="https://www.jstage.jst.go.jp/article/jila/68/5/68_5_689/_article/-char/ja" TargetMode="External"/><Relationship Id="rId24" Type="http://schemas.openxmlformats.org/officeDocument/2006/relationships/hyperlink" Target="http://www.airitilibrary.com/Publication/alDetailedMesh?DocID=10017488-201011-201101220039-201101220039-59-65" TargetMode="External"/><Relationship Id="rId40" Type="http://schemas.openxmlformats.org/officeDocument/2006/relationships/hyperlink" Target="https://www.jstage.jst.go.jp/article/jjsrt/35/1/35_1_57/_article/-char/ja" TargetMode="External"/><Relationship Id="rId45" Type="http://schemas.openxmlformats.org/officeDocument/2006/relationships/hyperlink" Target="https://ir.kagoshima-u.ac.jp/?action=pages_view_main&amp;active_action=repository_view_main_item_detail&amp;item_id=12611&amp;item_no=1&amp;page_id=13&amp;block_id=21" TargetMode="External"/><Relationship Id="rId66" Type="http://schemas.openxmlformats.org/officeDocument/2006/relationships/hyperlink" Target="https://esj-journals.onlinelibrary.wiley.com/doi/full/10.1007/s11284-017-1497-5" TargetMode="External"/><Relationship Id="rId87" Type="http://schemas.openxmlformats.org/officeDocument/2006/relationships/hyperlink" Target="https://doi.org/10.1371/journal.pone.0193024" TargetMode="External"/><Relationship Id="rId61" Type="http://schemas.openxmlformats.org/officeDocument/2006/relationships/hyperlink" Target="https://www.sciencedirect.com/science/article/pii/S0378112710007188" TargetMode="External"/><Relationship Id="rId82" Type="http://schemas.openxmlformats.org/officeDocument/2006/relationships/hyperlink" Target="https://doi.org/10.1016/j.foreco.2020.118447" TargetMode="External"/><Relationship Id="rId19" Type="http://schemas.openxmlformats.org/officeDocument/2006/relationships/hyperlink" Target="http://zlxb.zafu.edu.cn/CN/10.11833/j.issn.2095-0756.2012.01.010" TargetMode="External"/><Relationship Id="rId14" Type="http://schemas.openxmlformats.org/officeDocument/2006/relationships/hyperlink" Target="https://www.jstor.org/stable/43595383?read-now=1&amp;seq=1" TargetMode="External"/><Relationship Id="rId30" Type="http://schemas.openxmlformats.org/officeDocument/2006/relationships/hyperlink" Target="https://www.jstage.jst.go.jp/article/jass/21/1/21_65/_pdf/-char/ja" TargetMode="External"/><Relationship Id="rId35" Type="http://schemas.openxmlformats.org/officeDocument/2006/relationships/hyperlink" Target="http://web.kyoto-inet.or.jp/people/j-bamboo/bj-3.html" TargetMode="External"/><Relationship Id="rId56" Type="http://schemas.openxmlformats.org/officeDocument/2006/relationships/hyperlink" Target="http://www.airitilibrary.com/Publication/alDetailedMesh?docid=05781345-201406-201503020016-201503020016-181-192" TargetMode="External"/><Relationship Id="rId77" Type="http://schemas.openxmlformats.org/officeDocument/2006/relationships/hyperlink" Target="https://doi.org/10.3390/f9110671" TargetMode="External"/><Relationship Id="rId8" Type="http://schemas.openxmlformats.org/officeDocument/2006/relationships/hyperlink" Target="https://www.jstor.org/stable/43595383?read-now=1&amp;seq=1" TargetMode="External"/><Relationship Id="rId51" Type="http://schemas.openxmlformats.org/officeDocument/2006/relationships/hyperlink" Target="http://web.kyoto-inet.or.jp/people/j-bamboo/bj-27.html" TargetMode="External"/><Relationship Id="rId72" Type="http://schemas.openxmlformats.org/officeDocument/2006/relationships/hyperlink" Target="https://www.researchgate.net/publication/306133854_The_trend_of_growth_characteristics_of_moso_bamboo_Phyllostachys_pubescens_forests_under_an_unmanaged_condition_in_central_Taiwan" TargetMode="External"/><Relationship Id="rId93" Type="http://schemas.openxmlformats.org/officeDocument/2006/relationships/hyperlink" Target="https://doi.org/10.1016/j.apsoil.2020.103758" TargetMode="External"/><Relationship Id="rId98"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6" Type="http://schemas.openxmlformats.org/officeDocument/2006/relationships/hyperlink" Target="https://link.springer.com/article/10.1023/A:1009711814070" TargetMode="External"/><Relationship Id="rId21" Type="http://schemas.openxmlformats.org/officeDocument/2006/relationships/hyperlink" Target="https://agupubs.onlinelibrary.wiley.com/doi/full/10.1029/2009JG001234" TargetMode="External"/><Relationship Id="rId42" Type="http://schemas.openxmlformats.org/officeDocument/2006/relationships/hyperlink" Target="https://catalog.lib.kyushu-u.ac.jp/opac_detail_md/?lang=0&amp;amode=MD100000&amp;bibid=1913975" TargetMode="External"/><Relationship Id="rId47" Type="http://schemas.openxmlformats.org/officeDocument/2006/relationships/hyperlink" Target="https://www.jstage.jst.go.jp/article/jjfs/100/4/100_124/_article/-char/ja" TargetMode="External"/><Relationship Id="rId63" Type="http://schemas.openxmlformats.org/officeDocument/2006/relationships/hyperlink" Target="http://ir.lib.nchu.edu.tw/bitstream/11455/74254/1/143838-3.pdf" TargetMode="External"/><Relationship Id="rId68" Type="http://schemas.openxmlformats.org/officeDocument/2006/relationships/hyperlink" Target="https://advances.sciencemag.org/content/6/12/eaaw5790" TargetMode="External"/><Relationship Id="rId84" Type="http://schemas.openxmlformats.org/officeDocument/2006/relationships/hyperlink" Target="https://doi.org/10.1186/s40663-021-00285-0" TargetMode="External"/><Relationship Id="rId89" Type="http://schemas.openxmlformats.org/officeDocument/2006/relationships/hyperlink" Target="http://www.cjae.net/CN/Y2013/V24/I10/2717" TargetMode="External"/><Relationship Id="rId16" Type="http://schemas.openxmlformats.org/officeDocument/2006/relationships/hyperlink" Target="http://www.sisef.it/iforest/contents/?id=ifor1674-008" TargetMode="External"/><Relationship Id="rId11" Type="http://schemas.openxmlformats.org/officeDocument/2006/relationships/hyperlink" Target="http://kiss.kstudy.com/thesis/thesis-view.asp?key=3042038" TargetMode="External"/><Relationship Id="rId32" Type="http://schemas.openxmlformats.org/officeDocument/2006/relationships/hyperlink" Target="http://web.kyoto-inet.or.jp/people/j-bamboo/bj-5.html" TargetMode="External"/><Relationship Id="rId37" Type="http://schemas.openxmlformats.org/officeDocument/2006/relationships/hyperlink" Target="http://web.kyoto-inet.or.jp/people/j-bamboo/bj-3.html" TargetMode="External"/><Relationship Id="rId53" Type="http://schemas.openxmlformats.org/officeDocument/2006/relationships/hyperlink" Target="https://www.jstage.jst.go.jp/article/jjsk/58/0/58_KJ00006203544/_article/-char/ja/" TargetMode="External"/><Relationship Id="rId58" Type="http://schemas.openxmlformats.org/officeDocument/2006/relationships/hyperlink" Target="http://ir.lib.nchu.edu.tw/bitstream/11455/74254/1/143838-3.pdf" TargetMode="External"/><Relationship Id="rId74" Type="http://schemas.openxmlformats.org/officeDocument/2006/relationships/hyperlink" Target="https://esj-journals.onlinelibrary.wiley.com/doi/full/10.1007/s11284-017-1497-5" TargetMode="External"/><Relationship Id="rId79" Type="http://schemas.openxmlformats.org/officeDocument/2006/relationships/hyperlink" Target="https://doi.org/10.1016/j.apsoil.2020.103758" TargetMode="External"/><Relationship Id="rId5" Type="http://schemas.openxmlformats.org/officeDocument/2006/relationships/hyperlink" Target="https://link.springer.com/article/10.1007/s11368-013-0665-7" TargetMode="External"/><Relationship Id="rId90" Type="http://schemas.openxmlformats.org/officeDocument/2006/relationships/hyperlink" Target="https://core.ac.uk/download/pdf/41355338.pdf" TargetMode="External"/><Relationship Id="rId95" Type="http://schemas.openxmlformats.org/officeDocument/2006/relationships/hyperlink" Target="https://doi.org/10.1016/j.foreco.2019.117449" TargetMode="External"/><Relationship Id="rId22" Type="http://schemas.openxmlformats.org/officeDocument/2006/relationships/hyperlink" Target="http://kns.cnki.net/kcms/detail/detail.aspx?DbCode=CJFD&amp;dbname=CJFD9093&amp;filename=LYKX199305011" TargetMode="External"/><Relationship Id="rId27" Type="http://schemas.openxmlformats.org/officeDocument/2006/relationships/hyperlink" Target="https://www.jstage.jst.go.jp/article/jass/24/4/24_243/_article/-char/ja/" TargetMode="External"/><Relationship Id="rId43" Type="http://schemas.openxmlformats.org/officeDocument/2006/relationships/hyperlink" Target="https://ir.kagoshima-u.ac.jp/?action=pages_view_main&amp;active_action=repository_view_main_item_detail&amp;item_id=12611&amp;item_no=1&amp;page_id=13&amp;block_id=21" TargetMode="External"/><Relationship Id="rId48" Type="http://schemas.openxmlformats.org/officeDocument/2006/relationships/hyperlink" Target="https://esj-journals.onlinelibrary.wiley.com/doi/pdf/10.1007/s11284-014-1150-5" TargetMode="External"/><Relationship Id="rId64" Type="http://schemas.openxmlformats.org/officeDocument/2006/relationships/hyperlink" Target="https://www.researchgate.net/publication/333507633_The_Structures_Aboveground_Biomass_Carbon_Storage_of_Phyllostachys_pubescens_Stand_in_Huisun_Experimental_Forest_Station_and_Shi-Zhuo" TargetMode="External"/><Relationship Id="rId69" Type="http://schemas.openxmlformats.org/officeDocument/2006/relationships/hyperlink" Target="https://advances.sciencemag.org/content/6/12/eaaw5790" TargetMode="External"/><Relationship Id="rId80" Type="http://schemas.openxmlformats.org/officeDocument/2006/relationships/hyperlink" Target="https://doi.org/10.1016/j.apsoil.2020.103758" TargetMode="External"/><Relationship Id="rId85" Type="http://schemas.openxmlformats.org/officeDocument/2006/relationships/hyperlink" Target="https://doi.org/10.1371/journal.pone.0193024" TargetMode="External"/><Relationship Id="rId3" Type="http://schemas.openxmlformats.org/officeDocument/2006/relationships/hyperlink" Target="http://zlxb.zafu.edu.cn/EN/10.11833/j.issn.2095-0756.2012.03.001" TargetMode="External"/><Relationship Id="rId12" Type="http://schemas.openxmlformats.org/officeDocument/2006/relationships/hyperlink" Target="http://kiss.kstudy.com/thesis/thesis-view.asp?key=2459514" TargetMode="External"/><Relationship Id="rId17" Type="http://schemas.openxmlformats.org/officeDocument/2006/relationships/hyperlink" Target="https://link.springer.com/article/10.1007/s11368-013-0665-7" TargetMode="External"/><Relationship Id="rId25" Type="http://schemas.openxmlformats.org/officeDocument/2006/relationships/hyperlink" Target="https://www.jstage.jst.go.jp/article/jass/24/4/24_243/_article/-char/ja/" TargetMode="External"/><Relationship Id="rId33" Type="http://schemas.openxmlformats.org/officeDocument/2006/relationships/hyperlink" Target="http://web.kyoto-inet.or.jp/people/j-bamboo/bj-5.html" TargetMode="External"/><Relationship Id="rId38" Type="http://schemas.openxmlformats.org/officeDocument/2006/relationships/hyperlink" Target="http://web.kyoto-inet.or.jp/people/j-bamboo/bj-5.html" TargetMode="External"/><Relationship Id="rId46" Type="http://schemas.openxmlformats.org/officeDocument/2006/relationships/hyperlink" Target="https://catalog.lib.kyushu-u.ac.jp/opac_detail_md/?lang=0&amp;amode=MD100000&amp;bibid=1913975" TargetMode="External"/><Relationship Id="rId59" Type="http://schemas.openxmlformats.org/officeDocument/2006/relationships/hyperlink" Target="http://ir.lib.nchu.edu.tw/bitstream/11455/74254/1/143838-3.pdf" TargetMode="External"/><Relationship Id="rId67" Type="http://schemas.openxmlformats.org/officeDocument/2006/relationships/hyperlink" Target="http://www.airitilibrary.com/Publication/alDetailedMesh?docid=05781345-201406-201503020016-201503020016-181-192" TargetMode="External"/><Relationship Id="rId20" Type="http://schemas.openxmlformats.org/officeDocument/2006/relationships/hyperlink" Target="http://zlxb.zafu.edu.cn/CN/10.11833/j.issn.2095-0756.2012.01.010" TargetMode="External"/><Relationship Id="rId41" Type="http://schemas.openxmlformats.org/officeDocument/2006/relationships/hyperlink" Target="https://www.jstage.jst.go.jp/article/jjsrt/35/1/35_1_57/_article/-char/ja" TargetMode="External"/><Relationship Id="rId54" Type="http://schemas.openxmlformats.org/officeDocument/2006/relationships/hyperlink" Target="http://www.airitilibrary.com/Publication/alDetailedMesh?docid=05781345-201406-201503020016-201503020016-181-192" TargetMode="External"/><Relationship Id="rId62" Type="http://schemas.openxmlformats.org/officeDocument/2006/relationships/hyperlink" Target="https://www.sciencedirect.com/science/article/pii/S0378112710007188" TargetMode="External"/><Relationship Id="rId70" Type="http://schemas.openxmlformats.org/officeDocument/2006/relationships/hyperlink" Target="https://advances.sciencemag.org/content/6/12/eaaw5790" TargetMode="External"/><Relationship Id="rId75" Type="http://schemas.openxmlformats.org/officeDocument/2006/relationships/hyperlink" Target="https://doi.org/10.1080/13504509.2013.811445" TargetMode="External"/><Relationship Id="rId83" Type="http://schemas.openxmlformats.org/officeDocument/2006/relationships/hyperlink" Target="https://doi.org/10.1186/s40663-021-00285-0" TargetMode="External"/><Relationship Id="rId88" Type="http://schemas.openxmlformats.org/officeDocument/2006/relationships/hyperlink" Target="https://doi.org/10.1371/journal.pone.0193024" TargetMode="External"/><Relationship Id="rId91" Type="http://schemas.openxmlformats.org/officeDocument/2006/relationships/hyperlink" Target="https://www.cabdirect.org/cabdirect/abstract/20153321847" TargetMode="External"/><Relationship Id="rId96" Type="http://schemas.openxmlformats.org/officeDocument/2006/relationships/hyperlink" Target="https://doi.org/10.1016/j.foreco.2019.117449" TargetMode="External"/><Relationship Id="rId1" Type="http://schemas.openxmlformats.org/officeDocument/2006/relationships/hyperlink" Target="http://zlxb.zafu.edu.cn/CN/10.11833/j.issn.2095-0756.2012.01.010" TargetMode="External"/><Relationship Id="rId6" Type="http://schemas.openxmlformats.org/officeDocument/2006/relationships/hyperlink" Target="https://www.ncbi.nlm.nih.gov/pmc/articles/PMC1635818/" TargetMode="External"/><Relationship Id="rId15" Type="http://schemas.openxmlformats.org/officeDocument/2006/relationships/hyperlink" Target="http://www.sisef.it/iforest/contents/?id=ifor1674-008" TargetMode="External"/><Relationship Id="rId23" Type="http://schemas.openxmlformats.org/officeDocument/2006/relationships/hyperlink" Target="http://kns.cnki.net/kcms/detail/detail.aspx?DbCode=CJFD&amp;dbname=CJFD9093&amp;filename=LYKX199305011" TargetMode="External"/><Relationship Id="rId28" Type="http://schemas.openxmlformats.org/officeDocument/2006/relationships/hyperlink" Target="https://www.jstage.jst.go.jp/article/jjsrt/35/1/35_1_57/_article/-char/ja" TargetMode="External"/><Relationship Id="rId36" Type="http://schemas.openxmlformats.org/officeDocument/2006/relationships/hyperlink" Target="http://web.kyoto-inet.or.jp/people/j-bamboo/bj-3.html" TargetMode="External"/><Relationship Id="rId49" Type="http://schemas.openxmlformats.org/officeDocument/2006/relationships/hyperlink" Target="https://esj-journals.onlinelibrary.wiley.com/doi/pdf/10.1007/s11284-014-1150-5" TargetMode="External"/><Relationship Id="rId57" Type="http://schemas.openxmlformats.org/officeDocument/2006/relationships/hyperlink" Target="http://www.airitilibrary.com/Publication/alDetailedMesh?docid=05781345-201406-201503020016-201503020016-181-192" TargetMode="External"/><Relationship Id="rId10" Type="http://schemas.openxmlformats.org/officeDocument/2006/relationships/hyperlink" Target="https://www.jstor.org/stable/43595383?read-now=1&amp;seq=1" TargetMode="External"/><Relationship Id="rId31" Type="http://schemas.openxmlformats.org/officeDocument/2006/relationships/hyperlink" Target="https://www.jstage.jst.go.jp/article/jjfe/57/1/57_KJ00009983906/_pdf/-char/ja" TargetMode="External"/><Relationship Id="rId44" Type="http://schemas.openxmlformats.org/officeDocument/2006/relationships/hyperlink" Target="https://ir.kagoshima-u.ac.jp/?action=pages_view_main&amp;active_action=repository_view_main_item_detail&amp;item_id=12611&amp;item_no=1&amp;page_id=13&amp;block_id=21" TargetMode="External"/><Relationship Id="rId52" Type="http://schemas.openxmlformats.org/officeDocument/2006/relationships/hyperlink" Target="https://www.jstage.jst.go.jp/article/jjsk/58/0/58_KJ00006203544/_article/-char/ja/" TargetMode="External"/><Relationship Id="rId60" Type="http://schemas.openxmlformats.org/officeDocument/2006/relationships/hyperlink" Target="https://www.sciencedirect.com/science/article/pii/S0378112710007188" TargetMode="External"/><Relationship Id="rId65" Type="http://schemas.openxmlformats.org/officeDocument/2006/relationships/hyperlink" Target="https://www.researchgate.net/publication/333507633_The_Structures_Aboveground_Biomass_Carbon_Storage_of_Phyllostachys_pubescens_Stand_in_Huisun_Experimental_Forest_Station_and_Shi-Zhuo" TargetMode="External"/><Relationship Id="rId73" Type="http://schemas.openxmlformats.org/officeDocument/2006/relationships/hyperlink" Target="https://www.researchgate.net/publication/306133854_The_trend_of_growth_characteristics_of_moso_bamboo_Phyllostachys_pubescens_forests_under_an_unmanaged_condition_in_central_Taiwan" TargetMode="External"/><Relationship Id="rId78" Type="http://schemas.openxmlformats.org/officeDocument/2006/relationships/hyperlink" Target="https://doi.org/10.1016/j.apsoil.2020.103758" TargetMode="External"/><Relationship Id="rId81" Type="http://schemas.openxmlformats.org/officeDocument/2006/relationships/hyperlink" Target="https://doi.org/10.1016/j.foreco.2020.118745" TargetMode="External"/><Relationship Id="rId86" Type="http://schemas.openxmlformats.org/officeDocument/2006/relationships/hyperlink" Target="https://doi.org/10.1371/journal.pone.0193024" TargetMode="External"/><Relationship Id="rId94" Type="http://schemas.openxmlformats.org/officeDocument/2006/relationships/hyperlink" Target="https://doi.org/10.1016/j.foreco.2019.117449" TargetMode="External"/><Relationship Id="rId99" Type="http://schemas.openxmlformats.org/officeDocument/2006/relationships/drawing" Target="../drawings/drawing4.xml"/><Relationship Id="rId4" Type="http://schemas.openxmlformats.org/officeDocument/2006/relationships/hyperlink" Target="http://html.rhhz.net/linyekexue/html/20131125.htm" TargetMode="External"/><Relationship Id="rId9" Type="http://schemas.openxmlformats.org/officeDocument/2006/relationships/hyperlink" Target="https://www.jstor.org/stable/43595383?read-now=1&amp;seq=1" TargetMode="External"/><Relationship Id="rId13" Type="http://schemas.openxmlformats.org/officeDocument/2006/relationships/hyperlink" Target="http://kiss.kstudy.com/thesis/thesis-view.asp?key=74524" TargetMode="External"/><Relationship Id="rId18" Type="http://schemas.openxmlformats.org/officeDocument/2006/relationships/hyperlink" Target="https://link.springer.com/article/10.1007/s11368-013-0665-7" TargetMode="External"/><Relationship Id="rId39" Type="http://schemas.openxmlformats.org/officeDocument/2006/relationships/hyperlink" Target="https://www.jstage.jst.go.jp/article/jjsrt/35/1/35_1_57/_article/-char/ja" TargetMode="External"/><Relationship Id="rId34" Type="http://schemas.openxmlformats.org/officeDocument/2006/relationships/hyperlink" Target="http://web.kyoto-inet.or.jp/people/j-bamboo/bj-5.html" TargetMode="External"/><Relationship Id="rId50" Type="http://schemas.openxmlformats.org/officeDocument/2006/relationships/hyperlink" Target="https://esj-journals.onlinelibrary.wiley.com/doi/pdf/10.1007/s11284-014-1150-5" TargetMode="External"/><Relationship Id="rId55" Type="http://schemas.openxmlformats.org/officeDocument/2006/relationships/hyperlink" Target="http://www.airitilibrary.com/Publication/alDetailedMesh?docid=05781345-201406-201503020016-201503020016-181-192" TargetMode="External"/><Relationship Id="rId76" Type="http://schemas.openxmlformats.org/officeDocument/2006/relationships/hyperlink" Target="https://doi.org/10.3390/f9110671" TargetMode="External"/><Relationship Id="rId97" Type="http://schemas.openxmlformats.org/officeDocument/2006/relationships/hyperlink" Target="https://doi.org/10.1016/j.foreco.2019.117449" TargetMode="External"/><Relationship Id="rId7" Type="http://schemas.openxmlformats.org/officeDocument/2006/relationships/hyperlink" Target="http://www.sisef.it/iforest/contents/?id=ifor1674-008" TargetMode="External"/><Relationship Id="rId71" Type="http://schemas.openxmlformats.org/officeDocument/2006/relationships/hyperlink" Target="https://advances.sciencemag.org/content/6/12/eaaw5790" TargetMode="External"/><Relationship Id="rId92" Type="http://schemas.openxmlformats.org/officeDocument/2006/relationships/hyperlink" Target="https://www.cabdirect.org/cabdirect/abstract/20153321847" TargetMode="External"/><Relationship Id="rId2" Type="http://schemas.openxmlformats.org/officeDocument/2006/relationships/hyperlink" Target="http://ahnydxxb.ahau.edu.cn/ch/reader/view_abstract.aspx?file_no=201106005&amp;flag=1" TargetMode="External"/><Relationship Id="rId29" Type="http://schemas.openxmlformats.org/officeDocument/2006/relationships/hyperlink" Target="https://www.jstage.jst.go.jp/article/jila/68/5/68_5_689/_article/-char/ja" TargetMode="External"/><Relationship Id="rId24" Type="http://schemas.openxmlformats.org/officeDocument/2006/relationships/hyperlink" Target="http://www.airitilibrary.com/Publication/alDetailedMesh?DocID=10017488-201011-201101220039-201101220039-59-65" TargetMode="External"/><Relationship Id="rId40" Type="http://schemas.openxmlformats.org/officeDocument/2006/relationships/hyperlink" Target="https://www.jstage.jst.go.jp/article/jjsrt/35/1/35_1_57/_article/-char/ja" TargetMode="External"/><Relationship Id="rId45" Type="http://schemas.openxmlformats.org/officeDocument/2006/relationships/hyperlink" Target="https://ir.kagoshima-u.ac.jp/?action=pages_view_main&amp;active_action=repository_view_main_item_detail&amp;item_id=12611&amp;item_no=1&amp;page_id=13&amp;block_id=21" TargetMode="External"/><Relationship Id="rId66" Type="http://schemas.openxmlformats.org/officeDocument/2006/relationships/hyperlink" Target="https://esj-journals.onlinelibrary.wiley.com/doi/full/10.1007/s11284-017-1497-5" TargetMode="External"/><Relationship Id="rId87" Type="http://schemas.openxmlformats.org/officeDocument/2006/relationships/hyperlink" Target="https://doi.org/10.1371/journal.pone.0193024" TargetMode="External"/><Relationship Id="rId61" Type="http://schemas.openxmlformats.org/officeDocument/2006/relationships/hyperlink" Target="https://www.sciencedirect.com/science/article/pii/S0378112710007188" TargetMode="External"/><Relationship Id="rId82" Type="http://schemas.openxmlformats.org/officeDocument/2006/relationships/hyperlink" Target="https://doi.org/10.1016/j.foreco.2020.118447" TargetMode="External"/><Relationship Id="rId19" Type="http://schemas.openxmlformats.org/officeDocument/2006/relationships/hyperlink" Target="http://zlxb.zafu.edu.cn/CN/10.11833/j.issn.2095-0756.2012.01.010" TargetMode="External"/><Relationship Id="rId14" Type="http://schemas.openxmlformats.org/officeDocument/2006/relationships/hyperlink" Target="https://www.jstor.org/stable/43595383?read-now=1&amp;seq=1" TargetMode="External"/><Relationship Id="rId30" Type="http://schemas.openxmlformats.org/officeDocument/2006/relationships/hyperlink" Target="https://www.jstage.jst.go.jp/article/jass/21/1/21_65/_pdf/-char/ja" TargetMode="External"/><Relationship Id="rId35" Type="http://schemas.openxmlformats.org/officeDocument/2006/relationships/hyperlink" Target="http://web.kyoto-inet.or.jp/people/j-bamboo/bj-3.html" TargetMode="External"/><Relationship Id="rId56" Type="http://schemas.openxmlformats.org/officeDocument/2006/relationships/hyperlink" Target="http://www.airitilibrary.com/Publication/alDetailedMesh?docid=05781345-201406-201503020016-201503020016-181-192" TargetMode="External"/><Relationship Id="rId77" Type="http://schemas.openxmlformats.org/officeDocument/2006/relationships/hyperlink" Target="https://doi.org/10.3390/f9110671" TargetMode="External"/><Relationship Id="rId8" Type="http://schemas.openxmlformats.org/officeDocument/2006/relationships/hyperlink" Target="https://www.jstor.org/stable/43595383?read-now=1&amp;seq=1" TargetMode="External"/><Relationship Id="rId51" Type="http://schemas.openxmlformats.org/officeDocument/2006/relationships/hyperlink" Target="http://web.kyoto-inet.or.jp/people/j-bamboo/bj-27.html" TargetMode="External"/><Relationship Id="rId72" Type="http://schemas.openxmlformats.org/officeDocument/2006/relationships/hyperlink" Target="https://www.researchgate.net/publication/306133854_The_trend_of_growth_characteristics_of_moso_bamboo_Phyllostachys_pubescens_forests_under_an_unmanaged_condition_in_central_Taiwan" TargetMode="External"/><Relationship Id="rId93" Type="http://schemas.openxmlformats.org/officeDocument/2006/relationships/hyperlink" Target="https://doi.org/10.1016/j.apsoil.2020.103758" TargetMode="External"/><Relationship Id="rId98"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9667F-BDB5-4482-BC0F-6D562CEE4094}">
  <dimension ref="A1:CS523"/>
  <sheetViews>
    <sheetView tabSelected="1" view="pageBreakPreview" topLeftCell="BU58" zoomScale="71" zoomScaleNormal="100" zoomScaleSheetLayoutView="71" workbookViewId="0">
      <selection activeCell="CA84" sqref="CA84"/>
    </sheetView>
  </sheetViews>
  <sheetFormatPr defaultColWidth="10.5703125" defaultRowHeight="15.75"/>
  <cols>
    <col min="1" max="1" width="19.140625" style="27" customWidth="1"/>
    <col min="2" max="2" width="8.42578125" style="28" bestFit="1" customWidth="1"/>
    <col min="3" max="3" width="69.85546875" style="28" bestFit="1" customWidth="1"/>
    <col min="4" max="4" width="22.140625" style="28" customWidth="1"/>
    <col min="5" max="5" width="137.5703125" style="28" customWidth="1"/>
    <col min="6" max="6" width="25.42578125" style="28" bestFit="1" customWidth="1"/>
    <col min="7" max="7" width="14.42578125" style="28" bestFit="1" customWidth="1"/>
    <col min="8" max="8" width="13.5703125" style="28" bestFit="1" customWidth="1"/>
    <col min="9" max="9" width="9.42578125" style="28" bestFit="1" customWidth="1"/>
    <col min="10" max="10" width="9" style="28" bestFit="1" customWidth="1"/>
    <col min="11" max="11" width="31.140625" style="28" customWidth="1"/>
    <col min="12" max="12" width="11.140625" style="28" bestFit="1" customWidth="1"/>
    <col min="13" max="13" width="12" style="28" bestFit="1" customWidth="1"/>
    <col min="14" max="14" width="22" style="28" bestFit="1" customWidth="1"/>
    <col min="15" max="15" width="24" style="28" bestFit="1" customWidth="1"/>
    <col min="16" max="16" width="12.85546875" style="28" bestFit="1" customWidth="1"/>
    <col min="17" max="17" width="14.140625" style="28" bestFit="1" customWidth="1"/>
    <col min="18" max="18" width="9.42578125" style="28" bestFit="1" customWidth="1"/>
    <col min="19" max="19" width="13.5703125" style="28" bestFit="1" customWidth="1"/>
    <col min="20" max="20" width="15.5703125" style="28" bestFit="1" customWidth="1"/>
    <col min="21" max="21" width="17.140625" style="28" bestFit="1" customWidth="1"/>
    <col min="22" max="22" width="11" style="28" bestFit="1" customWidth="1"/>
    <col min="23" max="23" width="18" style="28" bestFit="1" customWidth="1"/>
    <col min="24" max="24" width="8.85546875" style="28" bestFit="1" customWidth="1"/>
    <col min="25" max="25" width="9.42578125" style="28" bestFit="1" customWidth="1"/>
    <col min="26" max="26" width="12.5703125" style="28" bestFit="1" customWidth="1"/>
    <col min="27" max="27" width="12.140625" style="28" bestFit="1" customWidth="1"/>
    <col min="28" max="28" width="12.42578125" style="28" bestFit="1" customWidth="1"/>
    <col min="29" max="29" width="19.42578125" style="28" bestFit="1" customWidth="1"/>
    <col min="30" max="30" width="18.85546875" style="28" bestFit="1" customWidth="1"/>
    <col min="31" max="31" width="10.85546875" style="28" bestFit="1" customWidth="1"/>
    <col min="32" max="32" width="9.5703125" style="28" bestFit="1" customWidth="1"/>
    <col min="33" max="33" width="10.42578125" style="28" bestFit="1" customWidth="1"/>
    <col min="34" max="34" width="11.140625" style="28" bestFit="1" customWidth="1"/>
    <col min="35" max="37" width="9" style="28" bestFit="1" customWidth="1"/>
    <col min="38" max="38" width="8.5703125" style="28" bestFit="1" customWidth="1"/>
    <col min="39" max="39" width="9.140625" style="28" bestFit="1" customWidth="1"/>
    <col min="40" max="40" width="8.5703125" style="28" bestFit="1" customWidth="1"/>
    <col min="41" max="41" width="10" style="28" bestFit="1" customWidth="1"/>
    <col min="42" max="42" width="8.140625" style="28" bestFit="1" customWidth="1"/>
    <col min="43" max="43" width="31" style="28" bestFit="1" customWidth="1"/>
    <col min="44" max="44" width="30.85546875" style="28" bestFit="1" customWidth="1"/>
    <col min="45" max="45" width="16.85546875" style="28" bestFit="1" customWidth="1"/>
    <col min="46" max="46" width="30.42578125" style="28" bestFit="1" customWidth="1"/>
    <col min="47" max="47" width="26.5703125" style="28" bestFit="1" customWidth="1"/>
    <col min="48" max="48" width="15.5703125" style="28" bestFit="1" customWidth="1"/>
    <col min="49" max="49" width="14" style="28" bestFit="1" customWidth="1"/>
    <col min="50" max="50" width="11.140625" style="28" bestFit="1" customWidth="1"/>
    <col min="51" max="51" width="12.85546875" style="28" bestFit="1" customWidth="1"/>
    <col min="52" max="52" width="15" style="28" bestFit="1" customWidth="1"/>
    <col min="53" max="53" width="17.85546875" style="28" bestFit="1" customWidth="1"/>
    <col min="54" max="54" width="27" style="28" bestFit="1" customWidth="1"/>
    <col min="55" max="55" width="30.5703125" style="28" bestFit="1" customWidth="1"/>
    <col min="56" max="56" width="9.140625" style="28" bestFit="1" customWidth="1"/>
    <col min="57" max="57" width="11" style="28" bestFit="1" customWidth="1"/>
    <col min="58" max="58" width="8.5703125" style="28" bestFit="1" customWidth="1"/>
    <col min="59" max="59" width="11.5703125" style="28" bestFit="1" customWidth="1"/>
    <col min="60" max="60" width="12.85546875" style="28" bestFit="1" customWidth="1"/>
    <col min="61" max="61" width="11" style="28" bestFit="1" customWidth="1"/>
    <col min="62" max="62" width="8.5703125" style="28" bestFit="1" customWidth="1"/>
    <col min="63" max="63" width="14" style="28" bestFit="1" customWidth="1"/>
    <col min="64" max="64" width="15" style="28" bestFit="1" customWidth="1"/>
    <col min="65" max="67" width="10" style="28" bestFit="1" customWidth="1"/>
    <col min="68" max="68" width="11.5703125" style="28" bestFit="1" customWidth="1"/>
    <col min="69" max="69" width="16.85546875" style="28" bestFit="1" customWidth="1"/>
    <col min="70" max="72" width="10" style="28" bestFit="1" customWidth="1"/>
    <col min="73" max="73" width="11.5703125" style="28" bestFit="1" customWidth="1"/>
    <col min="74" max="74" width="14.85546875" style="28" bestFit="1" customWidth="1"/>
    <col min="75" max="75" width="12.140625" style="28" bestFit="1" customWidth="1"/>
    <col min="76" max="76" width="15" style="28" bestFit="1" customWidth="1"/>
    <col min="77" max="77" width="12.5703125" style="28" bestFit="1" customWidth="1"/>
    <col min="78" max="78" width="27.85546875" style="28" bestFit="1" customWidth="1"/>
    <col min="79" max="82" width="15.5703125" style="28" bestFit="1" customWidth="1"/>
    <col min="83" max="83" width="15.5703125" style="28" customWidth="1"/>
    <col min="84" max="89" width="15.5703125" style="28" bestFit="1" customWidth="1"/>
    <col min="90" max="91" width="15.85546875" style="28" bestFit="1" customWidth="1"/>
    <col min="92" max="92" width="15.85546875" style="28" customWidth="1"/>
    <col min="93" max="93" width="15.5703125" style="28" bestFit="1" customWidth="1"/>
    <col min="94" max="94" width="86.5703125" style="28" bestFit="1" customWidth="1"/>
    <col min="95" max="95" width="14.140625" style="28" bestFit="1" customWidth="1"/>
    <col min="96" max="96" width="235.42578125" style="28" bestFit="1" customWidth="1"/>
    <col min="97" max="97" width="10.5703125" style="28"/>
    <col min="98" max="16384" width="10.5703125" style="27"/>
  </cols>
  <sheetData>
    <row r="1" spans="1:97" s="2" customFormat="1" ht="13.5" thickBot="1">
      <c r="A1" s="1" t="s">
        <v>132</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row>
    <row r="2" spans="1:97" s="2" customFormat="1">
      <c r="A2" s="34" t="s">
        <v>133</v>
      </c>
      <c r="B2" s="34" t="s">
        <v>134</v>
      </c>
      <c r="C2" s="34" t="s">
        <v>1</v>
      </c>
      <c r="D2" s="36" t="s">
        <v>135</v>
      </c>
      <c r="E2" s="34" t="s">
        <v>136</v>
      </c>
      <c r="F2" s="34" t="s">
        <v>137</v>
      </c>
      <c r="G2" s="34" t="s">
        <v>138</v>
      </c>
      <c r="H2" s="34" t="s">
        <v>139</v>
      </c>
      <c r="I2" s="34" t="s">
        <v>140</v>
      </c>
      <c r="J2" s="34" t="s">
        <v>141</v>
      </c>
      <c r="K2" s="34" t="s">
        <v>142</v>
      </c>
      <c r="L2" s="34" t="s">
        <v>143</v>
      </c>
      <c r="M2" s="34" t="s">
        <v>144</v>
      </c>
      <c r="N2" s="34" t="s">
        <v>145</v>
      </c>
      <c r="O2" s="3" t="s">
        <v>146</v>
      </c>
      <c r="P2" s="3" t="s">
        <v>147</v>
      </c>
      <c r="Q2" s="3" t="s">
        <v>148</v>
      </c>
      <c r="R2" s="3" t="s">
        <v>149</v>
      </c>
      <c r="S2" s="3" t="s">
        <v>150</v>
      </c>
      <c r="T2" s="3" t="s">
        <v>151</v>
      </c>
      <c r="U2" s="3" t="s">
        <v>152</v>
      </c>
      <c r="V2" s="3" t="s">
        <v>153</v>
      </c>
      <c r="W2" s="3" t="s">
        <v>154</v>
      </c>
      <c r="X2" s="3" t="s">
        <v>155</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c r="AO2" s="3" t="s">
        <v>171</v>
      </c>
      <c r="AP2" s="3" t="s">
        <v>172</v>
      </c>
      <c r="AQ2" s="3" t="s">
        <v>173</v>
      </c>
      <c r="AR2" s="3" t="s">
        <v>174</v>
      </c>
      <c r="AS2" s="3" t="s">
        <v>175</v>
      </c>
      <c r="AT2" s="3" t="s">
        <v>176</v>
      </c>
      <c r="AU2" s="3" t="s">
        <v>177</v>
      </c>
      <c r="AV2" s="3" t="s">
        <v>178</v>
      </c>
      <c r="AW2" s="3" t="s">
        <v>179</v>
      </c>
      <c r="AX2" s="3" t="s">
        <v>180</v>
      </c>
      <c r="AY2" s="3" t="s">
        <v>181</v>
      </c>
      <c r="AZ2" s="3" t="s">
        <v>182</v>
      </c>
      <c r="BA2" s="3" t="s">
        <v>183</v>
      </c>
      <c r="BB2" s="3" t="s">
        <v>184</v>
      </c>
      <c r="BC2" s="3" t="s">
        <v>185</v>
      </c>
      <c r="BD2" s="3" t="s">
        <v>186</v>
      </c>
      <c r="BE2" s="3" t="s">
        <v>187</v>
      </c>
      <c r="BF2" s="3" t="s">
        <v>188</v>
      </c>
      <c r="BG2" s="3" t="s">
        <v>189</v>
      </c>
      <c r="BH2" s="3" t="s">
        <v>190</v>
      </c>
      <c r="BI2" s="3" t="s">
        <v>191</v>
      </c>
      <c r="BJ2" s="3" t="s">
        <v>192</v>
      </c>
      <c r="BK2" s="3" t="s">
        <v>193</v>
      </c>
      <c r="BL2" s="3" t="s">
        <v>194</v>
      </c>
      <c r="BM2" s="3" t="s">
        <v>195</v>
      </c>
      <c r="BN2" s="3" t="s">
        <v>196</v>
      </c>
      <c r="BO2" s="3" t="s">
        <v>197</v>
      </c>
      <c r="BP2" s="3" t="s">
        <v>198</v>
      </c>
      <c r="BQ2" s="3" t="s">
        <v>199</v>
      </c>
      <c r="BR2" s="3" t="s">
        <v>200</v>
      </c>
      <c r="BS2" s="3" t="s">
        <v>201</v>
      </c>
      <c r="BT2" s="3" t="s">
        <v>202</v>
      </c>
      <c r="BU2" s="3" t="s">
        <v>203</v>
      </c>
      <c r="BV2" s="3" t="s">
        <v>204</v>
      </c>
      <c r="BW2" s="3" t="s">
        <v>205</v>
      </c>
      <c r="BX2" s="3" t="s">
        <v>206</v>
      </c>
      <c r="BY2" s="3" t="s">
        <v>207</v>
      </c>
      <c r="BZ2" s="3" t="s">
        <v>208</v>
      </c>
      <c r="CA2" s="3" t="s">
        <v>209</v>
      </c>
      <c r="CB2" s="3" t="s">
        <v>210</v>
      </c>
      <c r="CC2" s="3" t="s">
        <v>211</v>
      </c>
      <c r="CD2" s="3" t="s">
        <v>212</v>
      </c>
      <c r="CE2" s="3" t="s">
        <v>213</v>
      </c>
      <c r="CF2" s="3" t="s">
        <v>214</v>
      </c>
      <c r="CG2" s="3" t="s">
        <v>215</v>
      </c>
      <c r="CH2" s="3" t="s">
        <v>216</v>
      </c>
      <c r="CI2" s="3" t="s">
        <v>217</v>
      </c>
      <c r="CJ2" s="3" t="s">
        <v>218</v>
      </c>
      <c r="CK2" s="3" t="s">
        <v>219</v>
      </c>
      <c r="CL2" s="3" t="s">
        <v>220</v>
      </c>
      <c r="CM2" s="3" t="s">
        <v>221</v>
      </c>
      <c r="CN2" s="3" t="s">
        <v>222</v>
      </c>
      <c r="CO2" s="3" t="s">
        <v>223</v>
      </c>
      <c r="CP2" s="40" t="s">
        <v>224</v>
      </c>
      <c r="CQ2" s="40" t="s">
        <v>225</v>
      </c>
      <c r="CR2" s="40" t="s">
        <v>226</v>
      </c>
      <c r="CS2" s="38" t="s">
        <v>227</v>
      </c>
    </row>
    <row r="3" spans="1:97" s="2" customFormat="1">
      <c r="A3" s="35"/>
      <c r="B3" s="35"/>
      <c r="C3" s="35"/>
      <c r="D3" s="37"/>
      <c r="E3" s="35"/>
      <c r="F3" s="35"/>
      <c r="G3" s="35"/>
      <c r="H3" s="35"/>
      <c r="I3" s="35"/>
      <c r="J3" s="35"/>
      <c r="K3" s="35"/>
      <c r="L3" s="35"/>
      <c r="M3" s="35"/>
      <c r="N3" s="35"/>
      <c r="O3" s="4" t="s">
        <v>228</v>
      </c>
      <c r="P3" s="4"/>
      <c r="Q3" s="4" t="s">
        <v>93</v>
      </c>
      <c r="R3" s="4" t="s">
        <v>229</v>
      </c>
      <c r="S3" s="4" t="s">
        <v>94</v>
      </c>
      <c r="T3" s="4" t="s">
        <v>230</v>
      </c>
      <c r="U3" s="4" t="s">
        <v>231</v>
      </c>
      <c r="V3" s="4" t="s">
        <v>232</v>
      </c>
      <c r="W3" s="4" t="s">
        <v>233</v>
      </c>
      <c r="X3" s="4" t="s">
        <v>234</v>
      </c>
      <c r="Y3" s="4" t="s">
        <v>235</v>
      </c>
      <c r="Z3" s="4" t="s">
        <v>236</v>
      </c>
      <c r="AA3" s="4" t="s">
        <v>236</v>
      </c>
      <c r="AB3" s="4" t="s">
        <v>236</v>
      </c>
      <c r="AC3" s="4" t="s">
        <v>237</v>
      </c>
      <c r="AD3" s="4" t="s">
        <v>237</v>
      </c>
      <c r="AE3" s="4" t="s">
        <v>238</v>
      </c>
      <c r="AF3" s="4" t="s">
        <v>239</v>
      </c>
      <c r="AG3" s="4" t="s">
        <v>239</v>
      </c>
      <c r="AH3" s="4" t="s">
        <v>239</v>
      </c>
      <c r="AI3" s="4" t="s">
        <v>240</v>
      </c>
      <c r="AJ3" s="4" t="s">
        <v>240</v>
      </c>
      <c r="AK3" s="4" t="s">
        <v>240</v>
      </c>
      <c r="AL3" s="4" t="s">
        <v>241</v>
      </c>
      <c r="AM3" s="4" t="s">
        <v>241</v>
      </c>
      <c r="AN3" s="4" t="s">
        <v>241</v>
      </c>
      <c r="AO3" s="4" t="s">
        <v>241</v>
      </c>
      <c r="AP3" s="4" t="s">
        <v>241</v>
      </c>
      <c r="AQ3" s="4" t="s">
        <v>241</v>
      </c>
      <c r="AR3" s="4" t="s">
        <v>241</v>
      </c>
      <c r="AS3" s="4" t="s">
        <v>241</v>
      </c>
      <c r="AT3" s="4" t="s">
        <v>242</v>
      </c>
      <c r="AU3" s="4" t="s">
        <v>242</v>
      </c>
      <c r="AV3" s="4" t="s">
        <v>242</v>
      </c>
      <c r="AW3" s="4" t="s">
        <v>243</v>
      </c>
      <c r="AX3" s="4" t="s">
        <v>109</v>
      </c>
      <c r="AY3" s="4" t="s">
        <v>94</v>
      </c>
      <c r="AZ3" s="4" t="s">
        <v>244</v>
      </c>
      <c r="BA3" s="4" t="s">
        <v>230</v>
      </c>
      <c r="BB3" s="4" t="s">
        <v>245</v>
      </c>
      <c r="BC3" s="4" t="s">
        <v>245</v>
      </c>
      <c r="BD3" s="4" t="s">
        <v>230</v>
      </c>
      <c r="BE3" s="4" t="s">
        <v>230</v>
      </c>
      <c r="BF3" s="4" t="s">
        <v>230</v>
      </c>
      <c r="BG3" s="4" t="s">
        <v>230</v>
      </c>
      <c r="BH3" s="4" t="s">
        <v>230</v>
      </c>
      <c r="BI3" s="4" t="s">
        <v>230</v>
      </c>
      <c r="BJ3" s="4" t="s">
        <v>230</v>
      </c>
      <c r="BK3" s="4" t="s">
        <v>230</v>
      </c>
      <c r="BL3" s="4" t="s">
        <v>230</v>
      </c>
      <c r="BM3" s="4" t="s">
        <v>246</v>
      </c>
      <c r="BN3" s="4" t="s">
        <v>246</v>
      </c>
      <c r="BO3" s="4" t="s">
        <v>246</v>
      </c>
      <c r="BP3" s="4" t="s">
        <v>246</v>
      </c>
      <c r="BQ3" s="4"/>
      <c r="BR3" s="4" t="s">
        <v>246</v>
      </c>
      <c r="BS3" s="4" t="s">
        <v>246</v>
      </c>
      <c r="BT3" s="4" t="s">
        <v>246</v>
      </c>
      <c r="BU3" s="4" t="s">
        <v>246</v>
      </c>
      <c r="BV3" s="4" t="s">
        <v>246</v>
      </c>
      <c r="BW3" s="4" t="s">
        <v>246</v>
      </c>
      <c r="BX3" s="4" t="s">
        <v>246</v>
      </c>
      <c r="BY3" s="4" t="s">
        <v>246</v>
      </c>
      <c r="BZ3" s="4" t="s">
        <v>246</v>
      </c>
      <c r="CA3" s="4" t="s">
        <v>247</v>
      </c>
      <c r="CB3" s="4" t="s">
        <v>247</v>
      </c>
      <c r="CC3" s="4" t="s">
        <v>247</v>
      </c>
      <c r="CD3" s="4" t="s">
        <v>247</v>
      </c>
      <c r="CE3" s="4"/>
      <c r="CF3" s="4" t="s">
        <v>247</v>
      </c>
      <c r="CG3" s="4" t="s">
        <v>247</v>
      </c>
      <c r="CH3" s="4" t="s">
        <v>247</v>
      </c>
      <c r="CI3" s="4" t="s">
        <v>247</v>
      </c>
      <c r="CJ3" s="4" t="s">
        <v>247</v>
      </c>
      <c r="CK3" s="4" t="s">
        <v>247</v>
      </c>
      <c r="CL3" s="4" t="s">
        <v>247</v>
      </c>
      <c r="CM3" s="4" t="s">
        <v>247</v>
      </c>
      <c r="CN3" s="4" t="s">
        <v>247</v>
      </c>
      <c r="CO3" s="4" t="s">
        <v>247</v>
      </c>
      <c r="CP3" s="41"/>
      <c r="CQ3" s="41"/>
      <c r="CR3" s="41"/>
      <c r="CS3" s="39"/>
    </row>
    <row r="4" spans="1:97" s="2" customFormat="1" ht="12.75">
      <c r="A4" s="2">
        <v>1</v>
      </c>
      <c r="B4" s="5" t="s">
        <v>248</v>
      </c>
      <c r="C4" s="5" t="s">
        <v>249</v>
      </c>
      <c r="D4" s="6" t="s">
        <v>250</v>
      </c>
      <c r="E4" s="5" t="s">
        <v>251</v>
      </c>
      <c r="F4" s="5" t="s">
        <v>252</v>
      </c>
      <c r="G4" s="5">
        <v>2011</v>
      </c>
      <c r="H4" s="5">
        <v>2011</v>
      </c>
      <c r="I4" s="5">
        <v>1</v>
      </c>
      <c r="J4" s="5">
        <v>1</v>
      </c>
      <c r="K4" s="5">
        <v>1</v>
      </c>
      <c r="L4" s="5">
        <v>1</v>
      </c>
      <c r="M4" s="5">
        <v>0</v>
      </c>
      <c r="N4" s="5">
        <v>0</v>
      </c>
      <c r="O4" s="6">
        <v>19.3</v>
      </c>
      <c r="P4" s="6">
        <f t="shared" ref="P4:P15" si="0">(O4-5)*12</f>
        <v>171.60000000000002</v>
      </c>
      <c r="Q4" s="6">
        <v>1700</v>
      </c>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5"/>
      <c r="AV4" s="6"/>
      <c r="AW4" s="6">
        <v>3430</v>
      </c>
      <c r="AX4" s="6"/>
      <c r="AY4" s="6"/>
      <c r="AZ4" s="6"/>
      <c r="BA4" s="6"/>
      <c r="BB4" s="6"/>
      <c r="BC4" s="6"/>
      <c r="BD4" s="6"/>
      <c r="BE4" s="6"/>
      <c r="BF4" s="6"/>
      <c r="BG4" s="6"/>
      <c r="BH4" s="6"/>
      <c r="BI4" s="6"/>
      <c r="BJ4" s="6"/>
      <c r="BK4" s="6"/>
      <c r="BL4" s="6"/>
      <c r="BM4" s="6"/>
      <c r="BN4" s="6">
        <f>47.35*0.145</f>
        <v>6.8657499999999994</v>
      </c>
      <c r="BO4" s="6">
        <f>47.35*0.6</f>
        <v>28.41</v>
      </c>
      <c r="BP4" s="6">
        <f>SUM(BM4:BO4)</f>
        <v>35.275750000000002</v>
      </c>
      <c r="BQ4" s="6">
        <f t="shared" ref="BQ4:BQ11" si="1">BU4/BP4</f>
        <v>0.34228187919463082</v>
      </c>
      <c r="BR4" s="6">
        <f>47.35*0.125</f>
        <v>5.9187500000000002</v>
      </c>
      <c r="BS4" s="6">
        <f>47.35*0.13</f>
        <v>6.1555</v>
      </c>
      <c r="BT4" s="6"/>
      <c r="BU4" s="6">
        <f>SUM(BR4:BT4)</f>
        <v>12.074249999999999</v>
      </c>
      <c r="BV4" s="6">
        <f t="shared" ref="BV4:BV11" si="2">BU4+BP4</f>
        <v>47.35</v>
      </c>
      <c r="BW4" s="6"/>
      <c r="BX4" s="6">
        <v>96.45</v>
      </c>
      <c r="BY4" s="6"/>
      <c r="BZ4" s="6">
        <f>BV4+BX4</f>
        <v>143.80000000000001</v>
      </c>
      <c r="CA4" s="6"/>
      <c r="CB4" s="6"/>
      <c r="CC4" s="6"/>
      <c r="CD4" s="6">
        <v>1.63</v>
      </c>
      <c r="CE4" s="6"/>
      <c r="CF4" s="6"/>
      <c r="CG4" s="6"/>
      <c r="CH4" s="6"/>
      <c r="CI4" s="6"/>
      <c r="CJ4" s="6"/>
      <c r="CK4" s="6"/>
      <c r="CL4" s="6"/>
      <c r="CM4" s="6"/>
      <c r="CN4" s="6"/>
      <c r="CO4" s="6"/>
      <c r="CP4" s="5" t="s">
        <v>253</v>
      </c>
      <c r="CQ4" s="5" t="s">
        <v>254</v>
      </c>
      <c r="CR4" s="7" t="s">
        <v>255</v>
      </c>
      <c r="CS4" s="8" t="s">
        <v>256</v>
      </c>
    </row>
    <row r="5" spans="1:97" s="2" customFormat="1" ht="12.75">
      <c r="A5" s="2">
        <v>2</v>
      </c>
      <c r="B5" s="2" t="s">
        <v>248</v>
      </c>
      <c r="C5" s="2" t="s">
        <v>257</v>
      </c>
      <c r="D5" s="4" t="s">
        <v>250</v>
      </c>
      <c r="E5" s="2" t="s">
        <v>251</v>
      </c>
      <c r="F5" s="2" t="s">
        <v>258</v>
      </c>
      <c r="G5" s="2">
        <v>2011</v>
      </c>
      <c r="H5" s="2">
        <v>2011</v>
      </c>
      <c r="I5" s="2">
        <v>1</v>
      </c>
      <c r="J5" s="2">
        <v>1</v>
      </c>
      <c r="K5" s="2">
        <v>1</v>
      </c>
      <c r="L5" s="2">
        <v>1</v>
      </c>
      <c r="M5" s="2">
        <v>0</v>
      </c>
      <c r="N5" s="2">
        <v>0</v>
      </c>
      <c r="O5" s="4">
        <v>19.3</v>
      </c>
      <c r="P5" s="4">
        <f t="shared" si="0"/>
        <v>171.60000000000002</v>
      </c>
      <c r="Q5" s="4">
        <v>1700</v>
      </c>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V5" s="4"/>
      <c r="AW5" s="4">
        <v>3800</v>
      </c>
      <c r="AX5" s="4"/>
      <c r="AY5" s="4"/>
      <c r="AZ5" s="4"/>
      <c r="BA5" s="4"/>
      <c r="BB5" s="4"/>
      <c r="BC5" s="4"/>
      <c r="BD5" s="4"/>
      <c r="BE5" s="4"/>
      <c r="BF5" s="4"/>
      <c r="BG5" s="4"/>
      <c r="BH5" s="4"/>
      <c r="BI5" s="4"/>
      <c r="BJ5" s="4"/>
      <c r="BK5" s="4"/>
      <c r="BL5" s="4"/>
      <c r="BM5" s="4"/>
      <c r="BN5" s="4">
        <f>51.95*0.145</f>
        <v>7.5327500000000001</v>
      </c>
      <c r="BO5" s="4">
        <f>51.95*0.6</f>
        <v>31.17</v>
      </c>
      <c r="BP5" s="4">
        <f>SUM(BM5:BO5)</f>
        <v>38.702750000000002</v>
      </c>
      <c r="BQ5" s="4">
        <f t="shared" si="1"/>
        <v>0.34228187919463088</v>
      </c>
      <c r="BR5" s="4">
        <f>51.95*0.125</f>
        <v>6.4937500000000004</v>
      </c>
      <c r="BS5" s="4">
        <f>51.95*0.13</f>
        <v>6.7535000000000007</v>
      </c>
      <c r="BT5" s="4"/>
      <c r="BU5" s="4">
        <f>SUM(BR5:BT5)</f>
        <v>13.247250000000001</v>
      </c>
      <c r="BV5" s="4">
        <f t="shared" si="2"/>
        <v>51.95</v>
      </c>
      <c r="BW5" s="4"/>
      <c r="BX5" s="4">
        <v>107.54</v>
      </c>
      <c r="BY5" s="4"/>
      <c r="BZ5" s="4">
        <f>BV5+BX5</f>
        <v>159.49</v>
      </c>
      <c r="CA5" s="4"/>
      <c r="CB5" s="4"/>
      <c r="CC5" s="4"/>
      <c r="CD5" s="4">
        <v>1.58</v>
      </c>
      <c r="CE5" s="4"/>
      <c r="CF5" s="4"/>
      <c r="CG5" s="4"/>
      <c r="CH5" s="4"/>
      <c r="CI5" s="4"/>
      <c r="CJ5" s="4"/>
      <c r="CK5" s="4"/>
      <c r="CL5" s="4"/>
      <c r="CM5" s="4"/>
      <c r="CN5" s="4"/>
      <c r="CO5" s="4"/>
      <c r="CP5" s="2" t="s">
        <v>259</v>
      </c>
      <c r="CQ5" s="2" t="s">
        <v>254</v>
      </c>
      <c r="CR5" s="7" t="s">
        <v>255</v>
      </c>
      <c r="CS5" s="9" t="s">
        <v>256</v>
      </c>
    </row>
    <row r="6" spans="1:97" s="2" customFormat="1" ht="12.75">
      <c r="A6" s="2">
        <v>3</v>
      </c>
      <c r="B6" s="2" t="s">
        <v>248</v>
      </c>
      <c r="C6" s="2" t="s">
        <v>260</v>
      </c>
      <c r="D6" s="4" t="s">
        <v>261</v>
      </c>
      <c r="E6" s="2" t="s">
        <v>262</v>
      </c>
      <c r="F6" s="2" t="s">
        <v>263</v>
      </c>
      <c r="G6" s="2">
        <v>1993</v>
      </c>
      <c r="H6" s="2">
        <v>2000</v>
      </c>
      <c r="I6" s="2">
        <v>0</v>
      </c>
      <c r="J6" s="2">
        <v>0</v>
      </c>
      <c r="K6" s="2">
        <v>0</v>
      </c>
      <c r="L6" s="2">
        <v>0</v>
      </c>
      <c r="M6" s="2">
        <v>0</v>
      </c>
      <c r="N6" s="2">
        <v>0</v>
      </c>
      <c r="O6" s="4">
        <v>12.8</v>
      </c>
      <c r="P6" s="4">
        <f t="shared" si="0"/>
        <v>93.600000000000009</v>
      </c>
      <c r="Q6" s="4">
        <v>2678.8</v>
      </c>
      <c r="R6" s="4"/>
      <c r="S6" s="4">
        <v>1100</v>
      </c>
      <c r="T6" s="4">
        <v>86.6</v>
      </c>
      <c r="U6" s="4">
        <v>1434.3</v>
      </c>
      <c r="V6" s="4">
        <v>0.91</v>
      </c>
      <c r="W6" s="4"/>
      <c r="X6" s="4"/>
      <c r="Y6" s="4">
        <v>5</v>
      </c>
      <c r="Z6" s="4"/>
      <c r="AA6" s="4"/>
      <c r="AB6" s="4"/>
      <c r="AC6" s="4"/>
      <c r="AD6" s="4"/>
      <c r="AE6" s="4"/>
      <c r="AF6" s="4"/>
      <c r="AG6" s="4"/>
      <c r="AH6" s="4"/>
      <c r="AI6" s="4"/>
      <c r="AJ6" s="4"/>
      <c r="AK6" s="4"/>
      <c r="AL6" s="4"/>
      <c r="AM6" s="4"/>
      <c r="AN6" s="4"/>
      <c r="AO6" s="4"/>
      <c r="AP6" s="4"/>
      <c r="AQ6" s="4">
        <f>(448.91/1000/1000)*10000</f>
        <v>4.4891000000000005</v>
      </c>
      <c r="AR6" s="4"/>
      <c r="AS6" s="4"/>
      <c r="AT6" s="4">
        <f>(95.75/1000/1000)*10000</f>
        <v>0.95750000000000002</v>
      </c>
      <c r="AU6" s="4">
        <f>(68.43/1000/1000)*10000</f>
        <v>0.68430000000000002</v>
      </c>
      <c r="AV6" s="4">
        <f>(27.32/1000/1000)*10000</f>
        <v>0.2732</v>
      </c>
      <c r="AW6" s="4"/>
      <c r="AX6" s="4"/>
      <c r="AY6" s="4"/>
      <c r="AZ6" s="4"/>
      <c r="BA6" s="4"/>
      <c r="BB6" s="4"/>
      <c r="BC6" s="4"/>
      <c r="BD6" s="4"/>
      <c r="BE6" s="4"/>
      <c r="BF6" s="4"/>
      <c r="BG6" s="4"/>
      <c r="BH6" s="4"/>
      <c r="BI6" s="4"/>
      <c r="BJ6" s="4"/>
      <c r="BK6" s="4"/>
      <c r="BL6" s="4"/>
      <c r="BM6" s="4"/>
      <c r="BN6" s="4"/>
      <c r="BO6" s="4"/>
      <c r="BP6" s="4">
        <f>71.6*0.5</f>
        <v>35.799999999999997</v>
      </c>
      <c r="BQ6" s="4">
        <f t="shared" si="1"/>
        <v>0.85474860335195546</v>
      </c>
      <c r="BR6" s="4"/>
      <c r="BS6" s="4"/>
      <c r="BT6" s="4"/>
      <c r="BU6" s="4">
        <f>61.2*0.5</f>
        <v>30.6</v>
      </c>
      <c r="BV6" s="4">
        <f t="shared" si="2"/>
        <v>66.400000000000006</v>
      </c>
      <c r="BW6" s="4"/>
      <c r="BX6" s="4"/>
      <c r="BY6" s="4"/>
      <c r="BZ6" s="4"/>
      <c r="CA6" s="4"/>
      <c r="CB6" s="4"/>
      <c r="CC6" s="4">
        <f>16.1281*0.5</f>
        <v>8.0640499999999999</v>
      </c>
      <c r="CD6" s="4">
        <f>(1.2989+0.2015+0.296)*0.5</f>
        <v>0.8982</v>
      </c>
      <c r="CE6" s="4"/>
      <c r="CF6" s="4">
        <f>SUM(CA6:CD6)</f>
        <v>8.9622499999999992</v>
      </c>
      <c r="CG6" s="4"/>
      <c r="CH6" s="4"/>
      <c r="CI6" s="4"/>
      <c r="CJ6" s="4"/>
      <c r="CK6" s="4"/>
      <c r="CL6" s="4"/>
      <c r="CM6" s="4"/>
      <c r="CN6" s="4"/>
      <c r="CO6" s="4"/>
      <c r="CP6" s="2" t="s">
        <v>264</v>
      </c>
      <c r="CQ6" s="2" t="s">
        <v>254</v>
      </c>
      <c r="CR6" s="10" t="s">
        <v>265</v>
      </c>
      <c r="CS6" s="9" t="s">
        <v>256</v>
      </c>
    </row>
    <row r="7" spans="1:97" s="2" customFormat="1" ht="12.75">
      <c r="A7" s="2">
        <v>4</v>
      </c>
      <c r="B7" s="2" t="s">
        <v>248</v>
      </c>
      <c r="C7" s="2" t="s">
        <v>266</v>
      </c>
      <c r="D7" s="4" t="s">
        <v>250</v>
      </c>
      <c r="E7" s="2" t="s">
        <v>251</v>
      </c>
      <c r="F7" s="2" t="s">
        <v>267</v>
      </c>
      <c r="G7" s="2">
        <v>2011</v>
      </c>
      <c r="H7" s="2">
        <v>2011</v>
      </c>
      <c r="I7" s="2">
        <v>1</v>
      </c>
      <c r="J7" s="2">
        <v>1</v>
      </c>
      <c r="K7" s="2">
        <v>1</v>
      </c>
      <c r="L7" s="2">
        <v>1</v>
      </c>
      <c r="M7" s="2">
        <v>0</v>
      </c>
      <c r="N7" s="2">
        <v>0</v>
      </c>
      <c r="O7" s="4">
        <v>19.3</v>
      </c>
      <c r="P7" s="4">
        <f t="shared" si="0"/>
        <v>171.60000000000002</v>
      </c>
      <c r="Q7" s="4">
        <v>1700</v>
      </c>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V7" s="4"/>
      <c r="AW7" s="4">
        <v>3330</v>
      </c>
      <c r="AX7" s="4"/>
      <c r="AY7" s="4"/>
      <c r="AZ7" s="4"/>
      <c r="BA7" s="4"/>
      <c r="BB7" s="4"/>
      <c r="BC7" s="4"/>
      <c r="BD7" s="4"/>
      <c r="BE7" s="4"/>
      <c r="BF7" s="4"/>
      <c r="BG7" s="4"/>
      <c r="BH7" s="4"/>
      <c r="BI7" s="4"/>
      <c r="BJ7" s="4"/>
      <c r="BK7" s="4"/>
      <c r="BL7" s="4"/>
      <c r="BM7" s="4"/>
      <c r="BN7" s="4">
        <f>58.7*0.145</f>
        <v>8.5114999999999998</v>
      </c>
      <c r="BO7" s="4">
        <f>58.7*0.6</f>
        <v>35.22</v>
      </c>
      <c r="BP7" s="4">
        <f>SUM(BM7:BO7)</f>
        <v>43.731499999999997</v>
      </c>
      <c r="BQ7" s="4">
        <f t="shared" si="1"/>
        <v>0.34228187919463093</v>
      </c>
      <c r="BR7" s="4">
        <f>58.7*0.125</f>
        <v>7.3375000000000004</v>
      </c>
      <c r="BS7" s="4">
        <f>58.7*0.13</f>
        <v>7.6310000000000002</v>
      </c>
      <c r="BT7" s="4"/>
      <c r="BU7" s="4">
        <f>SUM(BR7:BT7)</f>
        <v>14.968500000000001</v>
      </c>
      <c r="BV7" s="4">
        <f t="shared" si="2"/>
        <v>58.699999999999996</v>
      </c>
      <c r="BW7" s="4"/>
      <c r="BX7" s="4">
        <v>79.14</v>
      </c>
      <c r="BY7" s="4"/>
      <c r="BZ7" s="4">
        <f>BV7+BX7</f>
        <v>137.84</v>
      </c>
      <c r="CA7" s="4"/>
      <c r="CB7" s="4"/>
      <c r="CC7" s="4"/>
      <c r="CD7" s="4">
        <v>1.71</v>
      </c>
      <c r="CE7" s="4"/>
      <c r="CF7" s="4"/>
      <c r="CG7" s="4"/>
      <c r="CH7" s="4"/>
      <c r="CI7" s="4"/>
      <c r="CJ7" s="4"/>
      <c r="CK7" s="4"/>
      <c r="CL7" s="4"/>
      <c r="CM7" s="4"/>
      <c r="CN7" s="4"/>
      <c r="CO7" s="4"/>
      <c r="CP7" s="2" t="s">
        <v>253</v>
      </c>
      <c r="CQ7" s="2" t="s">
        <v>254</v>
      </c>
      <c r="CR7" s="10" t="s">
        <v>268</v>
      </c>
      <c r="CS7" s="9" t="s">
        <v>256</v>
      </c>
    </row>
    <row r="8" spans="1:97" s="2" customFormat="1" ht="12.75">
      <c r="A8" s="2">
        <v>5</v>
      </c>
      <c r="B8" s="2" t="s">
        <v>248</v>
      </c>
      <c r="C8" s="2" t="s">
        <v>269</v>
      </c>
      <c r="D8" s="4" t="s">
        <v>261</v>
      </c>
      <c r="E8" s="2" t="s">
        <v>270</v>
      </c>
      <c r="F8" s="2" t="s">
        <v>271</v>
      </c>
      <c r="G8" s="2">
        <v>1995</v>
      </c>
      <c r="H8" s="2">
        <v>2008</v>
      </c>
      <c r="I8" s="2">
        <v>1</v>
      </c>
      <c r="J8" s="2">
        <v>1</v>
      </c>
      <c r="K8" s="2">
        <v>1</v>
      </c>
      <c r="L8" s="2">
        <v>1</v>
      </c>
      <c r="M8" s="2">
        <v>0</v>
      </c>
      <c r="N8" s="2">
        <v>0</v>
      </c>
      <c r="O8" s="4">
        <v>23</v>
      </c>
      <c r="P8" s="4">
        <f t="shared" si="0"/>
        <v>216</v>
      </c>
      <c r="Q8" s="4">
        <v>2000</v>
      </c>
      <c r="R8" s="4"/>
      <c r="S8" s="4">
        <v>800</v>
      </c>
      <c r="T8" s="4"/>
      <c r="U8" s="4"/>
      <c r="V8" s="4"/>
      <c r="W8" s="4"/>
      <c r="X8" s="4"/>
      <c r="Y8" s="4"/>
      <c r="Z8" s="4"/>
      <c r="AA8" s="4"/>
      <c r="AB8" s="4"/>
      <c r="AC8" s="4"/>
      <c r="AD8" s="4"/>
      <c r="AE8" s="4"/>
      <c r="AF8" s="4"/>
      <c r="AG8" s="4"/>
      <c r="AH8" s="4"/>
      <c r="AI8" s="4"/>
      <c r="AJ8" s="4"/>
      <c r="AK8" s="4"/>
      <c r="AL8" s="4"/>
      <c r="AM8" s="4"/>
      <c r="AN8" s="4"/>
      <c r="AO8" s="4"/>
      <c r="AP8" s="4"/>
      <c r="AQ8" s="4"/>
      <c r="AR8" s="4"/>
      <c r="AS8" s="4"/>
      <c r="AT8" s="4"/>
      <c r="AW8" s="4">
        <v>2566.67</v>
      </c>
      <c r="AX8" s="4">
        <f>(10.5+13.5)/2</f>
        <v>12</v>
      </c>
      <c r="AY8" s="4"/>
      <c r="AZ8" s="4">
        <f>(AX8/2)^2*PI()*AW8/10000</f>
        <v>29.028353818281531</v>
      </c>
      <c r="BA8" s="4"/>
      <c r="BB8" s="4"/>
      <c r="BC8" s="4"/>
      <c r="BD8" s="4"/>
      <c r="BE8" s="4"/>
      <c r="BF8" s="4"/>
      <c r="BG8" s="4"/>
      <c r="BH8" s="4"/>
      <c r="BI8" s="4"/>
      <c r="BJ8" s="4"/>
      <c r="BK8" s="4"/>
      <c r="BL8" s="4"/>
      <c r="BM8" s="4">
        <f>4.825*0.5</f>
        <v>2.4125000000000001</v>
      </c>
      <c r="BN8" s="4">
        <f>9.3586*0.5</f>
        <v>4.6792999999999996</v>
      </c>
      <c r="BO8" s="4">
        <f>58.5427*0.5</f>
        <v>29.271350000000002</v>
      </c>
      <c r="BP8" s="4">
        <f>SUM(BM8:BO8)</f>
        <v>36.363150000000005</v>
      </c>
      <c r="BQ8" s="4">
        <f t="shared" si="1"/>
        <v>0.25643267978709211</v>
      </c>
      <c r="BR8" s="4">
        <f>9.7892*0.5</f>
        <v>4.8945999999999996</v>
      </c>
      <c r="BS8" s="4"/>
      <c r="BT8" s="4">
        <f>8.8602*0.5</f>
        <v>4.4301000000000004</v>
      </c>
      <c r="BU8" s="4">
        <f>SUM(BR8:BT8)</f>
        <v>9.3247</v>
      </c>
      <c r="BV8" s="4">
        <f t="shared" si="2"/>
        <v>45.687850000000005</v>
      </c>
      <c r="BW8" s="4"/>
      <c r="BX8" s="4"/>
      <c r="BY8" s="4"/>
      <c r="BZ8" s="4"/>
      <c r="CA8" s="4"/>
      <c r="CB8" s="4"/>
      <c r="CC8" s="4"/>
      <c r="CD8" s="4"/>
      <c r="CE8" s="4"/>
      <c r="CF8" s="4"/>
      <c r="CG8" s="4"/>
      <c r="CH8" s="4"/>
      <c r="CI8" s="4"/>
      <c r="CJ8" s="4"/>
      <c r="CK8" s="4"/>
      <c r="CL8" s="4"/>
      <c r="CM8" s="4"/>
      <c r="CN8" s="4"/>
      <c r="CO8" s="4"/>
      <c r="CP8" s="2" t="s">
        <v>272</v>
      </c>
      <c r="CQ8" s="2" t="s">
        <v>254</v>
      </c>
      <c r="CR8" s="10" t="s">
        <v>273</v>
      </c>
      <c r="CS8" s="9" t="s">
        <v>256</v>
      </c>
    </row>
    <row r="9" spans="1:97" s="2" customFormat="1">
      <c r="A9" s="2">
        <v>6</v>
      </c>
      <c r="B9" s="2" t="s">
        <v>248</v>
      </c>
      <c r="C9" s="2" t="s">
        <v>274</v>
      </c>
      <c r="D9" s="4" t="s">
        <v>261</v>
      </c>
      <c r="E9" s="2" t="s">
        <v>275</v>
      </c>
      <c r="F9" s="2" t="s">
        <v>276</v>
      </c>
      <c r="G9" s="2">
        <v>2007</v>
      </c>
      <c r="H9" s="2">
        <v>2008</v>
      </c>
      <c r="I9" s="2">
        <v>1</v>
      </c>
      <c r="J9" s="2">
        <v>1</v>
      </c>
      <c r="K9" s="2">
        <v>1</v>
      </c>
      <c r="L9" s="2">
        <v>1</v>
      </c>
      <c r="M9" s="2">
        <v>0</v>
      </c>
      <c r="N9" s="2">
        <v>0</v>
      </c>
      <c r="O9" s="4">
        <v>23</v>
      </c>
      <c r="P9" s="4">
        <f t="shared" si="0"/>
        <v>216</v>
      </c>
      <c r="Q9" s="4">
        <v>2000</v>
      </c>
      <c r="R9" s="4"/>
      <c r="S9" s="4">
        <f>(580+1604.8)/2</f>
        <v>1092.4000000000001</v>
      </c>
      <c r="T9" s="4">
        <v>80</v>
      </c>
      <c r="U9" s="4"/>
      <c r="V9" s="4"/>
      <c r="W9" s="4"/>
      <c r="X9" s="4"/>
      <c r="Y9" s="4"/>
      <c r="Z9" s="4"/>
      <c r="AA9" s="4"/>
      <c r="AB9" s="4"/>
      <c r="AC9" s="4"/>
      <c r="AD9" s="4"/>
      <c r="AE9" s="4"/>
      <c r="AF9" s="4"/>
      <c r="AG9" s="4"/>
      <c r="AH9" s="4"/>
      <c r="AI9" s="4"/>
      <c r="AJ9" s="4"/>
      <c r="AK9" s="4"/>
      <c r="AL9" s="4"/>
      <c r="AM9" s="4"/>
      <c r="AN9" s="4"/>
      <c r="AO9" s="4"/>
      <c r="AP9" s="4"/>
      <c r="AQ9" s="4"/>
      <c r="AR9" s="4"/>
      <c r="AS9" s="4"/>
      <c r="AT9" s="4"/>
      <c r="AW9" s="4">
        <v>2770.33</v>
      </c>
      <c r="AX9" s="4">
        <f>(10.5+12.5)/2</f>
        <v>11.5</v>
      </c>
      <c r="AY9" s="4"/>
      <c r="AZ9" s="4">
        <f>(AX9/2)^2*PI()*AW9/10000</f>
        <v>28.775114943214181</v>
      </c>
      <c r="BA9" s="4"/>
      <c r="BB9" s="4"/>
      <c r="BC9" s="4"/>
      <c r="BD9" s="4"/>
      <c r="BE9" s="4"/>
      <c r="BF9" s="4"/>
      <c r="BG9" s="4"/>
      <c r="BH9" s="4"/>
      <c r="BI9" s="4"/>
      <c r="BJ9" s="4"/>
      <c r="BK9" s="4"/>
      <c r="BL9" s="4"/>
      <c r="BM9" s="4">
        <f>6.537*0.5</f>
        <v>3.2685</v>
      </c>
      <c r="BN9" s="4">
        <f>12.664*0.5</f>
        <v>6.3319999999999999</v>
      </c>
      <c r="BO9" s="4">
        <f>85.905*0.5</f>
        <v>42.952500000000001</v>
      </c>
      <c r="BP9" s="4">
        <f>SUM(BM9:BO9)</f>
        <v>52.552999999999997</v>
      </c>
      <c r="BQ9" s="4">
        <f t="shared" si="1"/>
        <v>0.36447015393983223</v>
      </c>
      <c r="BR9" s="4">
        <f>(13.56+3.552)*0.5</f>
        <v>8.5560000000000009</v>
      </c>
      <c r="BS9" s="4">
        <f>9.17*0.5</f>
        <v>4.585</v>
      </c>
      <c r="BT9" s="4">
        <f>12.026*0.5</f>
        <v>6.0129999999999999</v>
      </c>
      <c r="BU9" s="4">
        <f>SUM(BR9:BT9)</f>
        <v>19.154000000000003</v>
      </c>
      <c r="BV9" s="4">
        <f t="shared" si="2"/>
        <v>71.706999999999994</v>
      </c>
      <c r="BW9" s="4"/>
      <c r="BX9" s="4"/>
      <c r="BY9" s="4"/>
      <c r="BZ9" s="4"/>
      <c r="CA9" s="4">
        <f>5.886*0.5</f>
        <v>2.9430000000000001</v>
      </c>
      <c r="CB9" s="4">
        <f>5.53581*0.5</f>
        <v>2.7679049999999998</v>
      </c>
      <c r="CC9" s="4">
        <f>35.28824*0.5</f>
        <v>17.644120000000001</v>
      </c>
      <c r="CD9" s="4"/>
      <c r="CE9" s="4"/>
      <c r="CF9" s="4">
        <f>SUM(CA9:CD9)</f>
        <v>23.355025000000001</v>
      </c>
      <c r="CG9" s="4">
        <f>(3.18106+1.45924)*0.5</f>
        <v>2.3201499999999999</v>
      </c>
      <c r="CH9" s="4">
        <f>3.76702*0.5</f>
        <v>1.88351</v>
      </c>
      <c r="CI9" s="4">
        <f>4.66874*0.5</f>
        <v>2.3343699999999998</v>
      </c>
      <c r="CJ9" s="4">
        <f>SUM(CG9:CI9)</f>
        <v>6.53803</v>
      </c>
      <c r="CK9" s="4">
        <f>CJ9+CF9</f>
        <v>29.893055</v>
      </c>
      <c r="CL9" s="4"/>
      <c r="CM9" s="4"/>
      <c r="CN9" s="4"/>
      <c r="CO9" s="4"/>
      <c r="CP9" s="2" t="s">
        <v>277</v>
      </c>
      <c r="CQ9" s="2" t="s">
        <v>254</v>
      </c>
      <c r="CR9" s="10" t="s">
        <v>278</v>
      </c>
      <c r="CS9" s="9" t="s">
        <v>256</v>
      </c>
    </row>
    <row r="10" spans="1:97" s="2" customFormat="1" ht="12.75">
      <c r="A10" s="2">
        <v>7</v>
      </c>
      <c r="B10" s="2" t="s">
        <v>248</v>
      </c>
      <c r="C10" s="2" t="s">
        <v>269</v>
      </c>
      <c r="D10" s="4" t="s">
        <v>261</v>
      </c>
      <c r="E10" s="2" t="s">
        <v>279</v>
      </c>
      <c r="F10" s="2" t="s">
        <v>280</v>
      </c>
      <c r="G10" s="2">
        <v>1995</v>
      </c>
      <c r="H10" s="2">
        <v>2008</v>
      </c>
      <c r="I10" s="2">
        <v>1</v>
      </c>
      <c r="J10" s="2">
        <v>1</v>
      </c>
      <c r="K10" s="2">
        <v>1</v>
      </c>
      <c r="L10" s="2">
        <v>1</v>
      </c>
      <c r="M10" s="2">
        <v>0</v>
      </c>
      <c r="N10" s="2">
        <v>0</v>
      </c>
      <c r="O10" s="4">
        <v>23</v>
      </c>
      <c r="P10" s="4">
        <f t="shared" si="0"/>
        <v>216</v>
      </c>
      <c r="Q10" s="4">
        <v>2000</v>
      </c>
      <c r="R10" s="4"/>
      <c r="S10" s="4">
        <v>800</v>
      </c>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W10" s="4">
        <v>2833.33</v>
      </c>
      <c r="AX10" s="4">
        <f>(10.5+13.5)/2</f>
        <v>12</v>
      </c>
      <c r="AY10" s="4"/>
      <c r="AZ10" s="4">
        <f>(AX10/2)^2*PI()*AW10/10000</f>
        <v>32.044207367504043</v>
      </c>
      <c r="BA10" s="4"/>
      <c r="BB10" s="4"/>
      <c r="BC10" s="4"/>
      <c r="BD10" s="4"/>
      <c r="BE10" s="4"/>
      <c r="BF10" s="4"/>
      <c r="BG10" s="4"/>
      <c r="BH10" s="4"/>
      <c r="BI10" s="4"/>
      <c r="BJ10" s="4"/>
      <c r="BK10" s="4"/>
      <c r="BL10" s="4"/>
      <c r="BM10" s="4">
        <f>5.1296*0.5</f>
        <v>2.5648</v>
      </c>
      <c r="BN10" s="4">
        <f>9.8915*0.5</f>
        <v>4.9457500000000003</v>
      </c>
      <c r="BO10" s="4">
        <f>66.7851*0.5</f>
        <v>33.39255</v>
      </c>
      <c r="BP10" s="4">
        <f>SUM(BM10:BO10)</f>
        <v>40.903100000000002</v>
      </c>
      <c r="BQ10" s="4">
        <f t="shared" si="1"/>
        <v>0.23887798235341573</v>
      </c>
      <c r="BR10" s="4">
        <f>10.1972*0.5</f>
        <v>5.0986000000000002</v>
      </c>
      <c r="BS10" s="4"/>
      <c r="BT10" s="4">
        <f>9.3445*0.5</f>
        <v>4.67225</v>
      </c>
      <c r="BU10" s="4">
        <f>SUM(BR10:BT10)</f>
        <v>9.7708499999999994</v>
      </c>
      <c r="BV10" s="4">
        <f t="shared" si="2"/>
        <v>50.673950000000005</v>
      </c>
      <c r="BW10" s="4"/>
      <c r="BX10" s="4"/>
      <c r="BY10" s="4"/>
      <c r="BZ10" s="4"/>
      <c r="CA10" s="4"/>
      <c r="CB10" s="4"/>
      <c r="CC10" s="4"/>
      <c r="CD10" s="4"/>
      <c r="CE10" s="4"/>
      <c r="CF10" s="4"/>
      <c r="CG10" s="4"/>
      <c r="CH10" s="4"/>
      <c r="CI10" s="4"/>
      <c r="CJ10" s="4"/>
      <c r="CK10" s="4"/>
      <c r="CL10" s="4"/>
      <c r="CM10" s="4"/>
      <c r="CN10" s="4"/>
      <c r="CO10" s="4"/>
      <c r="CP10" s="2" t="s">
        <v>272</v>
      </c>
      <c r="CQ10" s="2" t="s">
        <v>254</v>
      </c>
      <c r="CR10" s="10" t="s">
        <v>273</v>
      </c>
      <c r="CS10" s="9" t="s">
        <v>256</v>
      </c>
    </row>
    <row r="11" spans="1:97" s="2" customFormat="1" ht="12.75">
      <c r="A11" s="2">
        <v>8</v>
      </c>
      <c r="B11" s="2" t="s">
        <v>248</v>
      </c>
      <c r="C11" s="2" t="s">
        <v>274</v>
      </c>
      <c r="D11" s="4" t="s">
        <v>261</v>
      </c>
      <c r="E11" s="2" t="s">
        <v>281</v>
      </c>
      <c r="F11" s="2" t="s">
        <v>282</v>
      </c>
      <c r="G11" s="2">
        <v>1995</v>
      </c>
      <c r="H11" s="2">
        <v>2008</v>
      </c>
      <c r="I11" s="2">
        <v>1</v>
      </c>
      <c r="J11" s="2">
        <v>0</v>
      </c>
      <c r="K11" s="2">
        <v>1</v>
      </c>
      <c r="L11" s="2">
        <v>1</v>
      </c>
      <c r="M11" s="2">
        <v>0</v>
      </c>
      <c r="N11" s="2">
        <v>0</v>
      </c>
      <c r="O11" s="4">
        <v>23</v>
      </c>
      <c r="P11" s="4">
        <f t="shared" si="0"/>
        <v>216</v>
      </c>
      <c r="Q11" s="4">
        <v>2000</v>
      </c>
      <c r="R11" s="4"/>
      <c r="S11" s="4">
        <v>800</v>
      </c>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W11" s="4">
        <v>2629</v>
      </c>
      <c r="AX11" s="4">
        <f>(8.5+11.5)/2</f>
        <v>10</v>
      </c>
      <c r="AY11" s="4"/>
      <c r="AZ11" s="4">
        <f>(AX11/2)^2*PI()*AW11/10000</f>
        <v>20.648117715718918</v>
      </c>
      <c r="BA11" s="4"/>
      <c r="BB11" s="4"/>
      <c r="BC11" s="4"/>
      <c r="BD11" s="4"/>
      <c r="BE11" s="4"/>
      <c r="BF11" s="4"/>
      <c r="BG11" s="4"/>
      <c r="BH11" s="4"/>
      <c r="BI11" s="4"/>
      <c r="BJ11" s="4"/>
      <c r="BK11" s="4"/>
      <c r="BL11" s="4"/>
      <c r="BM11" s="4">
        <f>3.0425*0.5</f>
        <v>1.52125</v>
      </c>
      <c r="BN11" s="4">
        <f>5.962*0.5</f>
        <v>2.9809999999999999</v>
      </c>
      <c r="BO11" s="4">
        <f>39.9792*0.5</f>
        <v>19.989599999999999</v>
      </c>
      <c r="BP11" s="4">
        <f>SUM(BM11:BO11)</f>
        <v>24.491849999999999</v>
      </c>
      <c r="BQ11" s="4">
        <f t="shared" si="1"/>
        <v>0.23912648493274294</v>
      </c>
      <c r="BR11" s="4">
        <f>6.2232*0.5</f>
        <v>3.1116000000000001</v>
      </c>
      <c r="BS11" s="4"/>
      <c r="BT11" s="4">
        <f>5.4901*0.5</f>
        <v>2.74505</v>
      </c>
      <c r="BU11" s="4">
        <f>SUM(BR11:BT11)</f>
        <v>5.8566500000000001</v>
      </c>
      <c r="BV11" s="4">
        <f t="shared" si="2"/>
        <v>30.348500000000001</v>
      </c>
      <c r="BW11" s="4"/>
      <c r="BX11" s="4"/>
      <c r="BY11" s="4"/>
      <c r="BZ11" s="4"/>
      <c r="CA11" s="4"/>
      <c r="CB11" s="4"/>
      <c r="CC11" s="4"/>
      <c r="CD11" s="4"/>
      <c r="CE11" s="4"/>
      <c r="CF11" s="4"/>
      <c r="CG11" s="4"/>
      <c r="CH11" s="4"/>
      <c r="CI11" s="4"/>
      <c r="CJ11" s="4"/>
      <c r="CK11" s="4"/>
      <c r="CL11" s="4"/>
      <c r="CM11" s="4"/>
      <c r="CN11" s="4"/>
      <c r="CO11" s="4"/>
      <c r="CP11" s="2" t="s">
        <v>272</v>
      </c>
      <c r="CQ11" s="2" t="s">
        <v>254</v>
      </c>
      <c r="CR11" s="10" t="s">
        <v>273</v>
      </c>
      <c r="CS11" s="9" t="s">
        <v>256</v>
      </c>
    </row>
    <row r="12" spans="1:97" s="2" customFormat="1" ht="12.75">
      <c r="A12" s="2">
        <v>9</v>
      </c>
      <c r="B12" s="2" t="s">
        <v>248</v>
      </c>
      <c r="C12" s="2" t="s">
        <v>283</v>
      </c>
      <c r="D12" s="4" t="s">
        <v>250</v>
      </c>
      <c r="E12" s="2" t="s">
        <v>284</v>
      </c>
      <c r="F12" s="2" t="s">
        <v>285</v>
      </c>
      <c r="G12" s="2">
        <v>2000</v>
      </c>
      <c r="H12" s="2">
        <v>2011</v>
      </c>
      <c r="I12" s="2">
        <v>1</v>
      </c>
      <c r="J12" s="2">
        <v>0</v>
      </c>
      <c r="K12" s="2">
        <v>1</v>
      </c>
      <c r="L12" s="2">
        <v>1</v>
      </c>
      <c r="M12" s="2">
        <v>0</v>
      </c>
      <c r="N12" s="2">
        <v>0</v>
      </c>
      <c r="O12" s="4">
        <v>16.899999999999999</v>
      </c>
      <c r="P12" s="4">
        <f t="shared" si="0"/>
        <v>142.79999999999998</v>
      </c>
      <c r="Q12" s="4">
        <f>(1251+1608)/2</f>
        <v>1429.5</v>
      </c>
      <c r="R12" s="4"/>
      <c r="S12" s="4">
        <v>112</v>
      </c>
      <c r="T12" s="4"/>
      <c r="U12" s="4"/>
      <c r="V12" s="4"/>
      <c r="W12" s="4"/>
      <c r="X12" s="4"/>
      <c r="Y12" s="4"/>
      <c r="Z12" s="4">
        <v>2.0299999999999998</v>
      </c>
      <c r="AA12" s="4">
        <v>0.37</v>
      </c>
      <c r="AB12" s="4">
        <v>15</v>
      </c>
      <c r="AC12" s="4"/>
      <c r="AD12" s="4"/>
      <c r="AE12" s="4"/>
      <c r="AF12" s="4"/>
      <c r="AG12" s="4"/>
      <c r="AH12" s="4"/>
      <c r="AI12" s="4"/>
      <c r="AJ12" s="4"/>
      <c r="AK12" s="4"/>
      <c r="AL12" s="4"/>
      <c r="AM12" s="4"/>
      <c r="AN12" s="4"/>
      <c r="AO12" s="4"/>
      <c r="AP12" s="4"/>
      <c r="AQ12" s="4"/>
      <c r="AR12" s="4"/>
      <c r="AS12" s="4"/>
      <c r="AT12" s="4"/>
      <c r="AV12" s="4"/>
      <c r="AW12" s="4"/>
      <c r="AX12" s="4">
        <v>8.3000000000000007</v>
      </c>
      <c r="AY12" s="4">
        <v>13.1</v>
      </c>
      <c r="AZ12" s="4"/>
      <c r="BA12" s="4"/>
      <c r="BB12" s="4"/>
      <c r="BC12" s="4"/>
      <c r="BD12" s="4"/>
      <c r="BE12" s="4"/>
      <c r="BF12" s="4"/>
      <c r="BG12" s="4"/>
      <c r="BH12" s="4"/>
      <c r="BI12" s="4"/>
      <c r="BJ12" s="4"/>
      <c r="BK12" s="4">
        <f>25.86/1000*100</f>
        <v>2.5860000000000003</v>
      </c>
      <c r="BL12" s="4">
        <f>25.86/1000*100</f>
        <v>2.5860000000000003</v>
      </c>
      <c r="BM12" s="4"/>
      <c r="BN12" s="4"/>
      <c r="BO12" s="4"/>
      <c r="BP12" s="4">
        <f>4006.1*10000/1000/1000*0.5</f>
        <v>20.0305</v>
      </c>
      <c r="BQ12" s="4"/>
      <c r="BR12" s="4">
        <f>(419.2+249.3)*10000/1000/1000*0.5</f>
        <v>3.3424999999999998</v>
      </c>
      <c r="BS12" s="4"/>
      <c r="BT12" s="4"/>
      <c r="BU12" s="4"/>
      <c r="BV12" s="4"/>
      <c r="BW12" s="4"/>
      <c r="BX12" s="4"/>
      <c r="BY12" s="4"/>
      <c r="BZ12" s="4"/>
      <c r="CA12" s="4"/>
      <c r="CB12" s="4"/>
      <c r="CC12" s="4"/>
      <c r="CD12" s="4">
        <f>384.9*10000/1000/1000*0.5</f>
        <v>1.9245000000000001</v>
      </c>
      <c r="CE12" s="4"/>
      <c r="CF12" s="4"/>
      <c r="CG12" s="4"/>
      <c r="CH12" s="4"/>
      <c r="CI12" s="4"/>
      <c r="CJ12" s="4"/>
      <c r="CK12" s="4"/>
      <c r="CL12" s="4"/>
      <c r="CM12" s="4"/>
      <c r="CN12" s="4"/>
      <c r="CO12" s="4"/>
      <c r="CP12" s="2" t="s">
        <v>286</v>
      </c>
      <c r="CQ12" s="2" t="s">
        <v>254</v>
      </c>
      <c r="CR12" s="10" t="s">
        <v>287</v>
      </c>
      <c r="CS12" s="9" t="s">
        <v>256</v>
      </c>
    </row>
    <row r="13" spans="1:97" s="2" customFormat="1" ht="12.75">
      <c r="A13" s="2">
        <v>10</v>
      </c>
      <c r="B13" s="2" t="s">
        <v>248</v>
      </c>
      <c r="C13" s="2" t="s">
        <v>283</v>
      </c>
      <c r="D13" s="4" t="s">
        <v>250</v>
      </c>
      <c r="E13" s="2" t="s">
        <v>288</v>
      </c>
      <c r="F13" s="2" t="s">
        <v>289</v>
      </c>
      <c r="G13" s="2">
        <v>2000</v>
      </c>
      <c r="H13" s="2">
        <v>2011</v>
      </c>
      <c r="I13" s="2">
        <v>1</v>
      </c>
      <c r="J13" s="2">
        <v>0</v>
      </c>
      <c r="K13" s="2">
        <v>1</v>
      </c>
      <c r="L13" s="2">
        <v>1</v>
      </c>
      <c r="M13" s="2">
        <v>0</v>
      </c>
      <c r="N13" s="2">
        <v>0</v>
      </c>
      <c r="O13" s="4">
        <v>16.899999999999999</v>
      </c>
      <c r="P13" s="4">
        <f t="shared" si="0"/>
        <v>142.79999999999998</v>
      </c>
      <c r="Q13" s="4">
        <f>(1251+1608)/2</f>
        <v>1429.5</v>
      </c>
      <c r="R13" s="4"/>
      <c r="S13" s="4">
        <v>168</v>
      </c>
      <c r="T13" s="4"/>
      <c r="U13" s="4"/>
      <c r="V13" s="4"/>
      <c r="W13" s="4"/>
      <c r="X13" s="4"/>
      <c r="Y13" s="4"/>
      <c r="Z13" s="4">
        <v>1.1200000000000001</v>
      </c>
      <c r="AA13" s="4">
        <v>0.31</v>
      </c>
      <c r="AB13" s="4">
        <v>12.7</v>
      </c>
      <c r="AC13" s="4"/>
      <c r="AD13" s="4"/>
      <c r="AE13" s="4"/>
      <c r="AF13" s="4"/>
      <c r="AG13" s="4"/>
      <c r="AH13" s="4"/>
      <c r="AI13" s="4"/>
      <c r="AJ13" s="4"/>
      <c r="AK13" s="4"/>
      <c r="AL13" s="4"/>
      <c r="AM13" s="4"/>
      <c r="AN13" s="4"/>
      <c r="AO13" s="4"/>
      <c r="AP13" s="4"/>
      <c r="AQ13" s="4"/>
      <c r="AR13" s="4"/>
      <c r="AS13" s="4"/>
      <c r="AT13" s="4"/>
      <c r="AV13" s="4"/>
      <c r="AW13" s="4"/>
      <c r="AX13" s="4">
        <v>8.8000000000000007</v>
      </c>
      <c r="AY13" s="4">
        <v>12.3</v>
      </c>
      <c r="AZ13" s="4"/>
      <c r="BA13" s="4"/>
      <c r="BB13" s="4"/>
      <c r="BC13" s="4"/>
      <c r="BD13" s="4"/>
      <c r="BE13" s="4"/>
      <c r="BF13" s="4"/>
      <c r="BG13" s="4"/>
      <c r="BH13" s="4"/>
      <c r="BI13" s="4"/>
      <c r="BJ13" s="4"/>
      <c r="BK13" s="4">
        <f>23.72/1000*100</f>
        <v>2.3719999999999999</v>
      </c>
      <c r="BL13" s="4">
        <f>23.72/1000*100</f>
        <v>2.3719999999999999</v>
      </c>
      <c r="BM13" s="4"/>
      <c r="BN13" s="4"/>
      <c r="BO13" s="4"/>
      <c r="BP13" s="4">
        <f>3421.4*10000/1000/1000*0.5</f>
        <v>17.106999999999999</v>
      </c>
      <c r="BQ13" s="4"/>
      <c r="BR13" s="4">
        <f>(638.7+372.1)*10000/1000/1000*0.5</f>
        <v>5.0540000000000003</v>
      </c>
      <c r="BS13" s="4"/>
      <c r="BT13" s="4"/>
      <c r="BU13" s="4"/>
      <c r="BV13" s="4"/>
      <c r="BW13" s="4"/>
      <c r="BX13" s="4"/>
      <c r="BY13" s="4"/>
      <c r="BZ13" s="4"/>
      <c r="CA13" s="4"/>
      <c r="CB13" s="4"/>
      <c r="CC13" s="4"/>
      <c r="CD13" s="4">
        <f>246.1*10000/1000/1000*0.5</f>
        <v>1.2304999999999999</v>
      </c>
      <c r="CE13" s="4"/>
      <c r="CF13" s="4"/>
      <c r="CG13" s="4"/>
      <c r="CH13" s="4"/>
      <c r="CI13" s="4"/>
      <c r="CJ13" s="4"/>
      <c r="CK13" s="4"/>
      <c r="CL13" s="4"/>
      <c r="CM13" s="4"/>
      <c r="CN13" s="4"/>
      <c r="CO13" s="4"/>
      <c r="CP13" s="2" t="s">
        <v>290</v>
      </c>
      <c r="CQ13" s="2" t="s">
        <v>254</v>
      </c>
      <c r="CR13" s="10" t="s">
        <v>287</v>
      </c>
      <c r="CS13" s="9" t="s">
        <v>256</v>
      </c>
    </row>
    <row r="14" spans="1:97" s="2" customFormat="1" ht="12.75">
      <c r="A14" s="2">
        <v>11</v>
      </c>
      <c r="B14" s="2" t="s">
        <v>248</v>
      </c>
      <c r="C14" s="2" t="s">
        <v>291</v>
      </c>
      <c r="D14" s="4" t="s">
        <v>250</v>
      </c>
      <c r="E14" s="2" t="s">
        <v>292</v>
      </c>
      <c r="F14" s="2" t="s">
        <v>293</v>
      </c>
      <c r="G14" s="2">
        <v>2000</v>
      </c>
      <c r="H14" s="2">
        <v>2011</v>
      </c>
      <c r="I14" s="2">
        <v>0</v>
      </c>
      <c r="J14" s="2">
        <v>0</v>
      </c>
      <c r="K14" s="2">
        <v>0</v>
      </c>
      <c r="L14" s="2">
        <v>0</v>
      </c>
      <c r="M14" s="2">
        <v>0</v>
      </c>
      <c r="N14" s="2">
        <v>0</v>
      </c>
      <c r="O14" s="4">
        <v>16.899999999999999</v>
      </c>
      <c r="P14" s="4">
        <f t="shared" si="0"/>
        <v>142.79999999999998</v>
      </c>
      <c r="Q14" s="4">
        <f>(1251+1608)/2</f>
        <v>1429.5</v>
      </c>
      <c r="R14" s="4"/>
      <c r="S14" s="4">
        <v>161</v>
      </c>
      <c r="T14" s="4"/>
      <c r="U14" s="4"/>
      <c r="V14" s="4"/>
      <c r="W14" s="4"/>
      <c r="X14" s="4"/>
      <c r="Y14" s="4"/>
      <c r="Z14" s="4">
        <v>1.33</v>
      </c>
      <c r="AA14" s="4">
        <v>0.32</v>
      </c>
      <c r="AB14" s="4">
        <v>9.68</v>
      </c>
      <c r="AC14" s="4"/>
      <c r="AD14" s="4"/>
      <c r="AE14" s="4"/>
      <c r="AF14" s="4"/>
      <c r="AG14" s="4"/>
      <c r="AH14" s="4"/>
      <c r="AI14" s="4"/>
      <c r="AJ14" s="4"/>
      <c r="AK14" s="4"/>
      <c r="AL14" s="4"/>
      <c r="AM14" s="4"/>
      <c r="AN14" s="4"/>
      <c r="AO14" s="4"/>
      <c r="AP14" s="4"/>
      <c r="AQ14" s="4"/>
      <c r="AR14" s="4"/>
      <c r="AS14" s="4"/>
      <c r="AT14" s="4"/>
      <c r="AV14" s="4"/>
      <c r="AW14" s="4"/>
      <c r="AX14" s="4">
        <v>8.1999999999999993</v>
      </c>
      <c r="AY14" s="4">
        <v>11.1</v>
      </c>
      <c r="AZ14" s="4"/>
      <c r="BA14" s="4"/>
      <c r="BB14" s="4"/>
      <c r="BC14" s="4"/>
      <c r="BD14" s="4"/>
      <c r="BE14" s="4"/>
      <c r="BF14" s="4"/>
      <c r="BG14" s="4"/>
      <c r="BH14" s="4"/>
      <c r="BI14" s="4"/>
      <c r="BJ14" s="4"/>
      <c r="BK14" s="4">
        <f>26.41/1000*100</f>
        <v>2.641</v>
      </c>
      <c r="BL14" s="4">
        <f>26.41/1000*100</f>
        <v>2.641</v>
      </c>
      <c r="BM14" s="4"/>
      <c r="BN14" s="4"/>
      <c r="BO14" s="4"/>
      <c r="BP14" s="4">
        <f>2857.7*10000/1000/1000*0.5</f>
        <v>14.288500000000001</v>
      </c>
      <c r="BQ14" s="4">
        <f>BU14/BP14</f>
        <v>0.27361164572908281</v>
      </c>
      <c r="BR14" s="4">
        <f>(781.9+371.3)*10000/1000/1000*0.5</f>
        <v>5.766</v>
      </c>
      <c r="BS14" s="4"/>
      <c r="BT14" s="4"/>
      <c r="BU14" s="4">
        <v>3.9095</v>
      </c>
      <c r="BV14" s="4">
        <v>18.1995</v>
      </c>
      <c r="BW14" s="4"/>
      <c r="BX14" s="4">
        <v>86.17</v>
      </c>
      <c r="BY14" s="4"/>
      <c r="BZ14" s="4">
        <v>104.3695</v>
      </c>
      <c r="CA14" s="4"/>
      <c r="CB14" s="4"/>
      <c r="CC14" s="4"/>
      <c r="CD14" s="4">
        <f>401.8*10000/1000/1000*0.5</f>
        <v>2.0089999999999999</v>
      </c>
      <c r="CE14" s="4"/>
      <c r="CF14" s="4"/>
      <c r="CG14" s="4"/>
      <c r="CH14" s="4"/>
      <c r="CI14" s="4"/>
      <c r="CJ14" s="4"/>
      <c r="CK14" s="4"/>
      <c r="CL14" s="4"/>
      <c r="CM14" s="4"/>
      <c r="CN14" s="4"/>
      <c r="CO14" s="4"/>
      <c r="CP14" s="2" t="s">
        <v>286</v>
      </c>
      <c r="CQ14" s="2" t="s">
        <v>254</v>
      </c>
      <c r="CR14" s="10" t="s">
        <v>287</v>
      </c>
      <c r="CS14" s="9" t="s">
        <v>256</v>
      </c>
    </row>
    <row r="15" spans="1:97" s="2" customFormat="1" ht="12.75">
      <c r="A15" s="2">
        <v>12</v>
      </c>
      <c r="B15" s="2" t="s">
        <v>248</v>
      </c>
      <c r="C15" s="2" t="s">
        <v>294</v>
      </c>
      <c r="D15" s="4" t="s">
        <v>250</v>
      </c>
      <c r="E15" s="2" t="s">
        <v>295</v>
      </c>
      <c r="F15" s="2" t="s">
        <v>296</v>
      </c>
      <c r="G15" s="2">
        <v>2005</v>
      </c>
      <c r="H15" s="2">
        <v>2006</v>
      </c>
      <c r="I15" s="2">
        <v>1</v>
      </c>
      <c r="J15" s="2">
        <v>0</v>
      </c>
      <c r="K15" s="2">
        <v>1</v>
      </c>
      <c r="L15" s="2">
        <v>0</v>
      </c>
      <c r="M15" s="2">
        <v>0</v>
      </c>
      <c r="N15" s="2">
        <v>0</v>
      </c>
      <c r="O15" s="4">
        <v>16.5</v>
      </c>
      <c r="P15" s="4">
        <f t="shared" si="0"/>
        <v>138</v>
      </c>
      <c r="Q15" s="4">
        <f>1300</f>
        <v>1300</v>
      </c>
      <c r="R15" s="4"/>
      <c r="S15" s="4">
        <v>379</v>
      </c>
      <c r="T15" s="4">
        <v>80</v>
      </c>
      <c r="U15" s="4">
        <v>1445.4</v>
      </c>
      <c r="V15" s="4"/>
      <c r="W15" s="4"/>
      <c r="X15" s="4"/>
      <c r="Y15" s="4"/>
      <c r="Z15" s="4">
        <v>1.33</v>
      </c>
      <c r="AA15" s="4">
        <v>0.57999999999999996</v>
      </c>
      <c r="AB15" s="4">
        <v>21.6</v>
      </c>
      <c r="AC15" s="4">
        <f>((30.973762*2+15.999*5)/30.973762)*1.96</f>
        <v>8.9820328263644562</v>
      </c>
      <c r="AD15" s="4"/>
      <c r="AE15" s="4"/>
      <c r="AF15" s="4"/>
      <c r="AG15" s="4"/>
      <c r="AH15" s="4"/>
      <c r="AI15" s="4"/>
      <c r="AJ15" s="4"/>
      <c r="AK15" s="4"/>
      <c r="AL15" s="4"/>
      <c r="AM15" s="4"/>
      <c r="AN15" s="4"/>
      <c r="AO15" s="4"/>
      <c r="AP15" s="4"/>
      <c r="AQ15" s="4"/>
      <c r="AR15" s="4"/>
      <c r="AS15" s="4"/>
      <c r="AT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v>31.97</v>
      </c>
      <c r="BW15" s="4">
        <v>0.74</v>
      </c>
      <c r="BX15" s="4">
        <v>110.95</v>
      </c>
      <c r="BY15" s="4">
        <v>0.64</v>
      </c>
      <c r="BZ15" s="4">
        <f>SUM(BV15:BY15)</f>
        <v>144.29999999999998</v>
      </c>
      <c r="CA15" s="4"/>
      <c r="CB15" s="4"/>
      <c r="CC15" s="4">
        <v>8.2899999999999991</v>
      </c>
      <c r="CD15" s="4">
        <v>1.1100000000000001</v>
      </c>
      <c r="CE15" s="4"/>
      <c r="CF15" s="4">
        <f>SUM(CA15:CD15)</f>
        <v>9.3999999999999986</v>
      </c>
      <c r="CG15" s="4">
        <v>0.96</v>
      </c>
      <c r="CH15" s="4"/>
      <c r="CI15" s="4"/>
      <c r="CJ15" s="4">
        <f>SUM(CG15:CI15)</f>
        <v>0.96</v>
      </c>
      <c r="CK15" s="4">
        <f>CJ15+CF15</f>
        <v>10.36</v>
      </c>
      <c r="CL15" s="4">
        <f>33.941*12/44</f>
        <v>9.256636363636364</v>
      </c>
      <c r="CM15" s="4">
        <f>20.19*12/44</f>
        <v>5.5063636363636368</v>
      </c>
      <c r="CN15" s="4">
        <f>CL15-CM15</f>
        <v>3.7502727272727272</v>
      </c>
      <c r="CO15" s="4">
        <f>CK15-CM15</f>
        <v>4.8536363636363626</v>
      </c>
      <c r="CP15" s="2" t="s">
        <v>297</v>
      </c>
      <c r="CQ15" s="2" t="s">
        <v>254</v>
      </c>
      <c r="CR15" s="10" t="s">
        <v>298</v>
      </c>
      <c r="CS15" s="9" t="s">
        <v>256</v>
      </c>
    </row>
    <row r="16" spans="1:97" s="2" customFormat="1" ht="12.75">
      <c r="A16" s="2">
        <v>13</v>
      </c>
      <c r="B16" s="2" t="s">
        <v>248</v>
      </c>
      <c r="C16" s="2" t="s">
        <v>299</v>
      </c>
      <c r="D16" s="4" t="s">
        <v>250</v>
      </c>
      <c r="E16" s="2" t="s">
        <v>300</v>
      </c>
      <c r="F16" s="2" t="s">
        <v>301</v>
      </c>
      <c r="G16" s="2">
        <v>2011</v>
      </c>
      <c r="H16" s="2">
        <v>2011</v>
      </c>
      <c r="I16" s="2">
        <v>0</v>
      </c>
      <c r="J16" s="2">
        <v>0</v>
      </c>
      <c r="K16" s="2">
        <v>0</v>
      </c>
      <c r="L16" s="2">
        <v>0</v>
      </c>
      <c r="M16" s="2">
        <v>0</v>
      </c>
      <c r="N16" s="2">
        <v>0</v>
      </c>
      <c r="O16" s="4">
        <f>(15.8+17.7)/2</f>
        <v>16.75</v>
      </c>
      <c r="P16" s="4">
        <v>141</v>
      </c>
      <c r="Q16" s="4">
        <v>1590.9</v>
      </c>
      <c r="R16" s="4"/>
      <c r="S16" s="4">
        <v>500</v>
      </c>
      <c r="T16" s="4"/>
      <c r="U16" s="4">
        <v>1657</v>
      </c>
      <c r="V16" s="4"/>
      <c r="W16" s="4"/>
      <c r="X16" s="4"/>
      <c r="Y16" s="4"/>
      <c r="Z16" s="4"/>
      <c r="AA16" s="4"/>
      <c r="AB16" s="4"/>
      <c r="AC16" s="4"/>
      <c r="AD16" s="4"/>
      <c r="AE16" s="4"/>
      <c r="AF16" s="4"/>
      <c r="AG16" s="4"/>
      <c r="AH16" s="4"/>
      <c r="AI16" s="4"/>
      <c r="AJ16" s="4"/>
      <c r="AK16" s="4"/>
      <c r="AL16" s="4"/>
      <c r="AM16" s="4"/>
      <c r="AN16" s="4"/>
      <c r="AO16" s="4"/>
      <c r="AP16" s="4"/>
      <c r="AQ16" s="4"/>
      <c r="AR16" s="4"/>
      <c r="AS16" s="4"/>
      <c r="AT16" s="4"/>
      <c r="AV16" s="4"/>
      <c r="AW16" s="4">
        <v>3000</v>
      </c>
      <c r="AX16" s="4">
        <v>9.5</v>
      </c>
      <c r="AY16" s="4"/>
      <c r="AZ16" s="4">
        <f>(AX16/2)^2*PI()*AW16/10000</f>
        <v>21.264655273985909</v>
      </c>
      <c r="BA16" s="4"/>
      <c r="BB16" s="4"/>
      <c r="BC16" s="4"/>
      <c r="BD16" s="4"/>
      <c r="BE16" s="4"/>
      <c r="BF16" s="4"/>
      <c r="BG16" s="4"/>
      <c r="BH16" s="4"/>
      <c r="BI16" s="4"/>
      <c r="BJ16" s="4"/>
      <c r="BK16" s="4"/>
      <c r="BL16" s="4"/>
      <c r="BM16" s="4"/>
      <c r="BN16" s="4"/>
      <c r="BO16" s="4"/>
      <c r="BP16" s="4">
        <f>16.42*100/37.73*0.5</f>
        <v>21.759872780280947</v>
      </c>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2" t="s">
        <v>302</v>
      </c>
      <c r="CQ16" s="2" t="s">
        <v>254</v>
      </c>
      <c r="CR16" s="10" t="s">
        <v>303</v>
      </c>
      <c r="CS16" s="9" t="s">
        <v>256</v>
      </c>
    </row>
    <row r="17" spans="1:97" s="2" customFormat="1" ht="12.75">
      <c r="A17" s="2">
        <v>14</v>
      </c>
      <c r="B17" s="2" t="s">
        <v>248</v>
      </c>
      <c r="C17" s="2" t="s">
        <v>304</v>
      </c>
      <c r="D17" s="4" t="s">
        <v>250</v>
      </c>
      <c r="E17" s="2" t="s">
        <v>305</v>
      </c>
      <c r="F17" s="2" t="s">
        <v>306</v>
      </c>
      <c r="G17" s="2">
        <v>1977</v>
      </c>
      <c r="H17" s="2">
        <v>2008</v>
      </c>
      <c r="I17" s="2">
        <v>1</v>
      </c>
      <c r="J17" s="2">
        <v>1</v>
      </c>
      <c r="K17" s="2">
        <v>1</v>
      </c>
      <c r="L17" s="2">
        <v>1</v>
      </c>
      <c r="M17" s="2">
        <v>0</v>
      </c>
      <c r="N17" s="2">
        <v>0</v>
      </c>
      <c r="O17" s="4">
        <f>(15.9+16.2+(15.8+17.7)/2+16.5+18.7)/5</f>
        <v>16.809999999999999</v>
      </c>
      <c r="P17" s="4">
        <f>(O17-5)*12</f>
        <v>141.71999999999997</v>
      </c>
      <c r="Q17" s="4">
        <f>(1424+1350+1591+1300+1568)/5</f>
        <v>1446.6</v>
      </c>
      <c r="R17" s="4"/>
      <c r="S17" s="4">
        <v>3</v>
      </c>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V17" s="4"/>
      <c r="AW17" s="4"/>
      <c r="AX17" s="4"/>
      <c r="AY17" s="4"/>
      <c r="AZ17" s="4"/>
      <c r="BA17" s="4"/>
      <c r="BB17" s="4"/>
      <c r="BC17" s="4"/>
      <c r="BD17" s="4"/>
      <c r="BE17" s="4"/>
      <c r="BF17" s="4"/>
      <c r="BG17" s="4"/>
      <c r="BH17" s="4"/>
      <c r="BI17" s="4"/>
      <c r="BJ17" s="4"/>
      <c r="BK17" s="4"/>
      <c r="BL17" s="4"/>
      <c r="BM17" s="4"/>
      <c r="BN17" s="4"/>
      <c r="BO17" s="4"/>
      <c r="BP17" s="4">
        <f>105.76*0.5</f>
        <v>52.88</v>
      </c>
      <c r="BQ17" s="4">
        <f>BU17/BP17</f>
        <v>0.63350983358547652</v>
      </c>
      <c r="BR17" s="4"/>
      <c r="BS17" s="4"/>
      <c r="BT17" s="4"/>
      <c r="BU17" s="4">
        <f>67*0.5</f>
        <v>33.5</v>
      </c>
      <c r="BV17" s="4">
        <f>BU17+BP17</f>
        <v>86.38</v>
      </c>
      <c r="BW17" s="4"/>
      <c r="BX17" s="4"/>
      <c r="BY17" s="4"/>
      <c r="BZ17" s="4">
        <v>95.42</v>
      </c>
      <c r="CA17" s="4"/>
      <c r="CB17" s="4"/>
      <c r="CC17" s="4"/>
      <c r="CD17" s="4"/>
      <c r="CE17" s="4"/>
      <c r="CF17" s="4"/>
      <c r="CG17" s="4"/>
      <c r="CH17" s="4"/>
      <c r="CI17" s="4"/>
      <c r="CJ17" s="4"/>
      <c r="CK17" s="4"/>
      <c r="CL17" s="4"/>
      <c r="CM17" s="4"/>
      <c r="CN17" s="4"/>
      <c r="CO17" s="4"/>
      <c r="CP17" s="2" t="s">
        <v>307</v>
      </c>
      <c r="CQ17" s="2" t="s">
        <v>254</v>
      </c>
      <c r="CR17" s="10" t="s">
        <v>308</v>
      </c>
      <c r="CS17" s="9" t="s">
        <v>256</v>
      </c>
    </row>
    <row r="18" spans="1:97" s="2" customFormat="1" ht="12.75">
      <c r="A18" s="2">
        <v>15</v>
      </c>
      <c r="B18" s="2" t="s">
        <v>248</v>
      </c>
      <c r="C18" s="2" t="s">
        <v>309</v>
      </c>
      <c r="D18" s="4" t="s">
        <v>250</v>
      </c>
      <c r="E18" s="2" t="s">
        <v>310</v>
      </c>
      <c r="F18" s="2" t="s">
        <v>311</v>
      </c>
      <c r="G18" s="2">
        <v>1977</v>
      </c>
      <c r="H18" s="2">
        <v>2008</v>
      </c>
      <c r="I18" s="2">
        <v>1</v>
      </c>
      <c r="J18" s="2">
        <v>1</v>
      </c>
      <c r="K18" s="2">
        <v>1</v>
      </c>
      <c r="L18" s="2">
        <v>1</v>
      </c>
      <c r="M18" s="2">
        <v>0</v>
      </c>
      <c r="N18" s="2">
        <v>0</v>
      </c>
      <c r="O18" s="4">
        <f>((14+19)/2+(12.2+15.6)/2)/2</f>
        <v>15.2</v>
      </c>
      <c r="P18" s="4">
        <f>(O18-5)*12</f>
        <v>122.39999999999999</v>
      </c>
      <c r="Q18" s="4">
        <f>((1150+1490)/2+(1100+1900)/2)/2</f>
        <v>1410</v>
      </c>
      <c r="R18" s="4"/>
      <c r="S18" s="4">
        <v>49</v>
      </c>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V18" s="4"/>
      <c r="AW18" s="4"/>
      <c r="AX18" s="4"/>
      <c r="AY18" s="4"/>
      <c r="AZ18" s="4"/>
      <c r="BA18" s="4"/>
      <c r="BB18" s="4"/>
      <c r="BC18" s="4"/>
      <c r="BD18" s="4"/>
      <c r="BE18" s="4"/>
      <c r="BF18" s="4"/>
      <c r="BG18" s="4"/>
      <c r="BH18" s="4"/>
      <c r="BI18" s="4"/>
      <c r="BJ18" s="4"/>
      <c r="BK18" s="4"/>
      <c r="BL18" s="4"/>
      <c r="BM18" s="4"/>
      <c r="BN18" s="4"/>
      <c r="BO18" s="4"/>
      <c r="BP18" s="4">
        <f>96.54*0.5</f>
        <v>48.27</v>
      </c>
      <c r="BQ18" s="4">
        <f>BU18/BP18</f>
        <v>0.48839859125750978</v>
      </c>
      <c r="BR18" s="4"/>
      <c r="BS18" s="4"/>
      <c r="BT18" s="4"/>
      <c r="BU18" s="4">
        <f>47.15*0.5</f>
        <v>23.574999999999999</v>
      </c>
      <c r="BV18" s="4">
        <f>BU18+BP18</f>
        <v>71.844999999999999</v>
      </c>
      <c r="BW18" s="4"/>
      <c r="BX18" s="4"/>
      <c r="BY18" s="4"/>
      <c r="BZ18" s="4">
        <v>69.63000000000001</v>
      </c>
      <c r="CA18" s="4"/>
      <c r="CB18" s="4"/>
      <c r="CC18" s="4"/>
      <c r="CD18" s="4"/>
      <c r="CE18" s="4"/>
      <c r="CF18" s="4"/>
      <c r="CG18" s="4"/>
      <c r="CH18" s="4"/>
      <c r="CI18" s="4"/>
      <c r="CJ18" s="4"/>
      <c r="CK18" s="4"/>
      <c r="CL18" s="4"/>
      <c r="CM18" s="4"/>
      <c r="CN18" s="4"/>
      <c r="CP18" s="2" t="s">
        <v>312</v>
      </c>
      <c r="CQ18" s="2" t="s">
        <v>254</v>
      </c>
      <c r="CR18" s="10" t="s">
        <v>308</v>
      </c>
      <c r="CS18" s="9" t="s">
        <v>256</v>
      </c>
    </row>
    <row r="19" spans="1:97" s="2" customFormat="1" ht="12.75">
      <c r="A19" s="2">
        <v>16</v>
      </c>
      <c r="B19" s="2" t="s">
        <v>248</v>
      </c>
      <c r="C19" s="2" t="s">
        <v>313</v>
      </c>
      <c r="D19" s="4" t="s">
        <v>261</v>
      </c>
      <c r="E19" s="2" t="s">
        <v>314</v>
      </c>
      <c r="F19" s="2" t="s">
        <v>315</v>
      </c>
      <c r="G19" s="2">
        <v>1977</v>
      </c>
      <c r="H19" s="2">
        <v>2008</v>
      </c>
      <c r="I19" s="2">
        <v>1</v>
      </c>
      <c r="J19" s="2">
        <v>0</v>
      </c>
      <c r="K19" s="2">
        <v>1</v>
      </c>
      <c r="L19" s="2">
        <v>1</v>
      </c>
      <c r="M19" s="2">
        <v>0</v>
      </c>
      <c r="N19" s="2">
        <v>0</v>
      </c>
      <c r="O19" s="4">
        <f>(18.3+19)/2</f>
        <v>18.649999999999999</v>
      </c>
      <c r="P19" s="4">
        <f>(O19-5)*12</f>
        <v>163.79999999999998</v>
      </c>
      <c r="Q19" s="4">
        <f>(1104+1250)/2</f>
        <v>1177</v>
      </c>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V19" s="4"/>
      <c r="AW19" s="4"/>
      <c r="AX19" s="4"/>
      <c r="AY19" s="4"/>
      <c r="AZ19" s="4"/>
      <c r="BA19" s="4"/>
      <c r="BB19" s="4"/>
      <c r="BC19" s="4"/>
      <c r="BD19" s="4"/>
      <c r="BE19" s="4"/>
      <c r="BF19" s="4"/>
      <c r="BG19" s="4"/>
      <c r="BH19" s="4"/>
      <c r="BI19" s="4"/>
      <c r="BJ19" s="4"/>
      <c r="BK19" s="4"/>
      <c r="BL19" s="4"/>
      <c r="BM19" s="4"/>
      <c r="BN19" s="4"/>
      <c r="BO19" s="4"/>
      <c r="BP19" s="4">
        <f>44.78*0.5</f>
        <v>22.39</v>
      </c>
      <c r="BQ19" s="4">
        <f>BU19/BP19</f>
        <v>0.47543546225993744</v>
      </c>
      <c r="BR19" s="4"/>
      <c r="BS19" s="4"/>
      <c r="BT19" s="4"/>
      <c r="BU19" s="4">
        <f>21.29*0.5</f>
        <v>10.645</v>
      </c>
      <c r="BV19" s="4">
        <f>BU19+BP19</f>
        <v>33.034999999999997</v>
      </c>
      <c r="BW19" s="4"/>
      <c r="BX19" s="4"/>
      <c r="BY19" s="4"/>
      <c r="BZ19" s="4"/>
      <c r="CA19" s="4"/>
      <c r="CB19" s="4"/>
      <c r="CC19" s="4"/>
      <c r="CD19" s="4"/>
      <c r="CE19" s="4"/>
      <c r="CF19" s="4"/>
      <c r="CG19" s="4"/>
      <c r="CH19" s="4"/>
      <c r="CI19" s="4"/>
      <c r="CJ19" s="4"/>
      <c r="CK19" s="4"/>
      <c r="CL19" s="4"/>
      <c r="CM19" s="4"/>
      <c r="CN19" s="4"/>
      <c r="CO19" s="4"/>
      <c r="CP19" s="2" t="s">
        <v>316</v>
      </c>
      <c r="CQ19" s="2" t="s">
        <v>254</v>
      </c>
      <c r="CR19" s="10" t="s">
        <v>308</v>
      </c>
      <c r="CS19" s="9" t="s">
        <v>256</v>
      </c>
    </row>
    <row r="20" spans="1:97" s="2" customFormat="1" ht="12.75">
      <c r="A20" s="2">
        <v>17</v>
      </c>
      <c r="B20" s="2" t="s">
        <v>248</v>
      </c>
      <c r="C20" s="2" t="s">
        <v>317</v>
      </c>
      <c r="D20" s="4" t="s">
        <v>261</v>
      </c>
      <c r="E20" s="2" t="s">
        <v>318</v>
      </c>
      <c r="F20" s="2" t="s">
        <v>319</v>
      </c>
      <c r="G20" s="2">
        <v>1977</v>
      </c>
      <c r="H20" s="2">
        <v>2008</v>
      </c>
      <c r="I20" s="2">
        <v>1</v>
      </c>
      <c r="J20" s="2">
        <v>1</v>
      </c>
      <c r="K20" s="2">
        <v>1</v>
      </c>
      <c r="L20" s="2">
        <v>1</v>
      </c>
      <c r="M20" s="2">
        <v>0</v>
      </c>
      <c r="N20" s="2">
        <v>0</v>
      </c>
      <c r="O20" s="4">
        <f>23</f>
        <v>23</v>
      </c>
      <c r="P20" s="4">
        <f>(O20-5)*12</f>
        <v>216</v>
      </c>
      <c r="Q20" s="4">
        <f>2000</f>
        <v>2000</v>
      </c>
      <c r="R20" s="4"/>
      <c r="S20" s="4">
        <v>877</v>
      </c>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V20" s="4"/>
      <c r="AW20" s="4"/>
      <c r="AX20" s="4"/>
      <c r="AY20" s="4"/>
      <c r="AZ20" s="4"/>
      <c r="BA20" s="4"/>
      <c r="BB20" s="4"/>
      <c r="BC20" s="4"/>
      <c r="BD20" s="4"/>
      <c r="BE20" s="4"/>
      <c r="BF20" s="4"/>
      <c r="BG20" s="4"/>
      <c r="BH20" s="4"/>
      <c r="BI20" s="4"/>
      <c r="BJ20" s="4"/>
      <c r="BK20" s="4"/>
      <c r="BL20" s="4"/>
      <c r="BM20" s="4"/>
      <c r="BN20" s="4"/>
      <c r="BO20" s="4"/>
      <c r="BP20" s="4">
        <f>64.72*0.5</f>
        <v>32.36</v>
      </c>
      <c r="BQ20" s="4">
        <f>BU20/BP20</f>
        <v>0.57586526576019781</v>
      </c>
      <c r="BR20" s="4"/>
      <c r="BS20" s="4"/>
      <c r="BT20" s="4"/>
      <c r="BU20" s="4">
        <f>37.27*0.5</f>
        <v>18.635000000000002</v>
      </c>
      <c r="BV20" s="4">
        <f>BU20+BP20</f>
        <v>50.995000000000005</v>
      </c>
      <c r="BW20" s="4"/>
      <c r="BX20" s="4"/>
      <c r="BY20" s="4"/>
      <c r="BZ20" s="4">
        <v>119.88</v>
      </c>
      <c r="CA20" s="4"/>
      <c r="CB20" s="4"/>
      <c r="CC20" s="4"/>
      <c r="CD20" s="4"/>
      <c r="CE20" s="4"/>
      <c r="CF20" s="4"/>
      <c r="CG20" s="4"/>
      <c r="CH20" s="4"/>
      <c r="CI20" s="4"/>
      <c r="CJ20" s="4"/>
      <c r="CK20" s="4"/>
      <c r="CL20" s="4"/>
      <c r="CM20" s="4"/>
      <c r="CN20" s="4"/>
      <c r="CO20" s="4"/>
      <c r="CP20" s="2" t="s">
        <v>320</v>
      </c>
      <c r="CQ20" s="2" t="s">
        <v>254</v>
      </c>
      <c r="CR20" s="10" t="s">
        <v>308</v>
      </c>
      <c r="CS20" s="9" t="s">
        <v>256</v>
      </c>
    </row>
    <row r="21" spans="1:97" s="2" customFormat="1" ht="12.75">
      <c r="A21" s="2">
        <v>18</v>
      </c>
      <c r="B21" s="2" t="s">
        <v>248</v>
      </c>
      <c r="C21" s="2" t="s">
        <v>321</v>
      </c>
      <c r="D21" s="4" t="s">
        <v>250</v>
      </c>
      <c r="E21" s="2" t="s">
        <v>322</v>
      </c>
      <c r="F21" s="2" t="s">
        <v>323</v>
      </c>
      <c r="G21" s="2">
        <v>2008</v>
      </c>
      <c r="H21" s="2">
        <v>2008</v>
      </c>
      <c r="I21" s="2">
        <v>1</v>
      </c>
      <c r="J21" s="2">
        <v>0</v>
      </c>
      <c r="K21" s="2">
        <v>1</v>
      </c>
      <c r="L21" s="2">
        <v>1</v>
      </c>
      <c r="M21" s="2">
        <v>0</v>
      </c>
      <c r="N21" s="2">
        <v>0</v>
      </c>
      <c r="O21" s="4">
        <f>(15.6+17.6)/2</f>
        <v>16.600000000000001</v>
      </c>
      <c r="P21" s="4">
        <f>(O21-5)*12</f>
        <v>139.20000000000002</v>
      </c>
      <c r="Q21" s="4">
        <v>1550</v>
      </c>
      <c r="R21" s="4"/>
      <c r="S21" s="4">
        <v>354</v>
      </c>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W21" s="4">
        <v>2734</v>
      </c>
      <c r="AX21" s="4">
        <f>(12.9+10/1)/2</f>
        <v>11.45</v>
      </c>
      <c r="AY21" s="4"/>
      <c r="AZ21" s="4">
        <f>(AX21/2)^2*PI()*AW21/10000</f>
        <v>28.151358986776938</v>
      </c>
      <c r="BA21" s="4"/>
      <c r="BB21" s="4"/>
      <c r="BC21" s="4"/>
      <c r="BD21" s="4"/>
      <c r="BE21" s="4"/>
      <c r="BF21" s="4"/>
      <c r="BG21" s="4"/>
      <c r="BH21" s="4"/>
      <c r="BI21" s="4"/>
      <c r="BJ21" s="4"/>
      <c r="BK21" s="4"/>
      <c r="BL21" s="4"/>
      <c r="BM21" s="4"/>
      <c r="BN21" s="4"/>
      <c r="BO21" s="4"/>
      <c r="BP21" s="4">
        <v>23.718</v>
      </c>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2" t="s">
        <v>324</v>
      </c>
      <c r="CQ21" s="2" t="s">
        <v>254</v>
      </c>
      <c r="CR21" s="10" t="s">
        <v>325</v>
      </c>
      <c r="CS21" s="9" t="s">
        <v>256</v>
      </c>
    </row>
    <row r="22" spans="1:97" s="2" customFormat="1" ht="12.75">
      <c r="A22" s="2">
        <v>19</v>
      </c>
      <c r="B22" s="2" t="s">
        <v>248</v>
      </c>
      <c r="C22" s="2" t="s">
        <v>326</v>
      </c>
      <c r="D22" s="4" t="s">
        <v>250</v>
      </c>
      <c r="E22" s="2" t="s">
        <v>327</v>
      </c>
      <c r="F22" s="2" t="s">
        <v>328</v>
      </c>
      <c r="G22" s="2">
        <v>2014</v>
      </c>
      <c r="H22" s="2">
        <v>2014</v>
      </c>
      <c r="I22" s="2">
        <v>1</v>
      </c>
      <c r="J22" s="2">
        <v>0</v>
      </c>
      <c r="K22" s="2">
        <v>0</v>
      </c>
      <c r="L22" s="2">
        <v>1</v>
      </c>
      <c r="M22" s="2">
        <v>0</v>
      </c>
      <c r="N22" s="2">
        <v>0</v>
      </c>
      <c r="O22" s="4">
        <v>15.6</v>
      </c>
      <c r="P22" s="4">
        <v>127.19999999999999</v>
      </c>
      <c r="Q22" s="4">
        <v>1400</v>
      </c>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W22" s="4">
        <v>3129</v>
      </c>
      <c r="AX22" s="4">
        <v>9.09</v>
      </c>
      <c r="AY22" s="4"/>
      <c r="AZ22" s="4">
        <f>(AX22/2)^2*PI()*AW22/10000</f>
        <v>20.305945253512977</v>
      </c>
      <c r="BA22" s="4"/>
      <c r="BB22" s="4"/>
      <c r="BC22" s="4"/>
      <c r="BD22" s="4"/>
      <c r="BE22" s="4"/>
      <c r="BF22" s="4"/>
      <c r="BG22" s="4"/>
      <c r="BH22" s="4"/>
      <c r="BI22" s="4"/>
      <c r="BJ22" s="4"/>
      <c r="BK22" s="4"/>
      <c r="BL22" s="4"/>
      <c r="BM22" s="4"/>
      <c r="BN22" s="4"/>
      <c r="BO22" s="4"/>
      <c r="BP22" s="4">
        <v>18.899999999999999</v>
      </c>
      <c r="BQ22" s="4"/>
      <c r="BR22" s="4"/>
      <c r="BS22" s="4"/>
      <c r="BT22" s="4"/>
      <c r="BU22" s="4"/>
      <c r="BV22" s="4"/>
      <c r="BW22" s="4"/>
      <c r="BX22" s="4">
        <v>120.2</v>
      </c>
      <c r="BY22" s="4"/>
      <c r="BZ22" s="4"/>
      <c r="CA22" s="4"/>
      <c r="CB22" s="4"/>
      <c r="CC22" s="4"/>
      <c r="CD22" s="4"/>
      <c r="CE22" s="4"/>
      <c r="CF22" s="4"/>
      <c r="CG22" s="4"/>
      <c r="CH22" s="4"/>
      <c r="CI22" s="4"/>
      <c r="CJ22" s="4"/>
      <c r="CK22" s="4"/>
      <c r="CL22" s="4"/>
      <c r="CM22" s="4"/>
      <c r="CN22" s="4"/>
      <c r="CO22" s="4"/>
      <c r="CP22" s="2" t="s">
        <v>329</v>
      </c>
      <c r="CQ22" s="2" t="s">
        <v>254</v>
      </c>
      <c r="CR22" s="10" t="s">
        <v>330</v>
      </c>
      <c r="CS22" s="9" t="s">
        <v>256</v>
      </c>
    </row>
    <row r="23" spans="1:97" s="2" customFormat="1" ht="12.75">
      <c r="A23" s="2">
        <v>20</v>
      </c>
      <c r="B23" s="2" t="s">
        <v>248</v>
      </c>
      <c r="C23" s="2" t="s">
        <v>331</v>
      </c>
      <c r="D23" s="4" t="s">
        <v>250</v>
      </c>
      <c r="E23" s="2" t="s">
        <v>332</v>
      </c>
      <c r="F23" s="2" t="s">
        <v>333</v>
      </c>
      <c r="G23" s="2">
        <v>2014</v>
      </c>
      <c r="H23" s="2">
        <v>2014</v>
      </c>
      <c r="I23" s="2">
        <v>1</v>
      </c>
      <c r="J23" s="2">
        <v>1</v>
      </c>
      <c r="K23" s="2">
        <v>1</v>
      </c>
      <c r="L23" s="2">
        <v>1</v>
      </c>
      <c r="M23" s="2">
        <v>0</v>
      </c>
      <c r="N23" s="2">
        <v>0</v>
      </c>
      <c r="O23" s="4">
        <v>15.6</v>
      </c>
      <c r="P23" s="4">
        <v>127.19999999999999</v>
      </c>
      <c r="Q23" s="4">
        <v>1400</v>
      </c>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W23" s="4">
        <v>3555</v>
      </c>
      <c r="AX23" s="4">
        <v>9.73</v>
      </c>
      <c r="AY23" s="4"/>
      <c r="AZ23" s="4">
        <f>(AX23/2)^2*PI()*AW23/10000</f>
        <v>26.433530194037907</v>
      </c>
      <c r="BA23" s="4"/>
      <c r="BB23" s="4"/>
      <c r="BC23" s="4"/>
      <c r="BD23" s="4"/>
      <c r="BE23" s="4"/>
      <c r="BF23" s="4"/>
      <c r="BG23" s="4"/>
      <c r="BH23" s="4"/>
      <c r="BI23" s="4"/>
      <c r="BJ23" s="4"/>
      <c r="BK23" s="4"/>
      <c r="BL23" s="4"/>
      <c r="BM23" s="4"/>
      <c r="BN23" s="4"/>
      <c r="BO23" s="4"/>
      <c r="BP23" s="4">
        <v>24.75</v>
      </c>
      <c r="BQ23" s="4"/>
      <c r="BR23" s="4"/>
      <c r="BS23" s="4"/>
      <c r="BT23" s="4"/>
      <c r="BU23" s="4"/>
      <c r="BV23" s="4"/>
      <c r="BW23" s="4"/>
      <c r="BX23" s="4">
        <v>108.1</v>
      </c>
      <c r="BY23" s="4"/>
      <c r="BZ23" s="4"/>
      <c r="CA23" s="4"/>
      <c r="CB23" s="4"/>
      <c r="CC23" s="4"/>
      <c r="CD23" s="4"/>
      <c r="CE23" s="4"/>
      <c r="CF23" s="4"/>
      <c r="CG23" s="4"/>
      <c r="CH23" s="4"/>
      <c r="CI23" s="4"/>
      <c r="CJ23" s="4"/>
      <c r="CK23" s="4"/>
      <c r="CL23" s="4"/>
      <c r="CM23" s="4"/>
      <c r="CN23" s="4"/>
      <c r="CO23" s="4"/>
      <c r="CP23" s="2" t="s">
        <v>334</v>
      </c>
      <c r="CQ23" s="2" t="s">
        <v>254</v>
      </c>
      <c r="CR23" s="10" t="s">
        <v>330</v>
      </c>
      <c r="CS23" s="9" t="s">
        <v>256</v>
      </c>
    </row>
    <row r="24" spans="1:97" s="2" customFormat="1" ht="12.75">
      <c r="A24" s="2">
        <v>21</v>
      </c>
      <c r="B24" s="2" t="s">
        <v>248</v>
      </c>
      <c r="C24" s="2" t="s">
        <v>331</v>
      </c>
      <c r="D24" s="4" t="s">
        <v>250</v>
      </c>
      <c r="E24" s="2" t="s">
        <v>335</v>
      </c>
      <c r="F24" s="2" t="s">
        <v>336</v>
      </c>
      <c r="G24" s="2">
        <v>2014</v>
      </c>
      <c r="H24" s="2">
        <v>2014</v>
      </c>
      <c r="I24" s="2">
        <v>1</v>
      </c>
      <c r="J24" s="2">
        <v>0</v>
      </c>
      <c r="K24" s="2">
        <v>1</v>
      </c>
      <c r="L24" s="2">
        <v>1</v>
      </c>
      <c r="M24" s="2">
        <v>0</v>
      </c>
      <c r="N24" s="2">
        <v>0</v>
      </c>
      <c r="O24" s="4">
        <v>15.6</v>
      </c>
      <c r="P24" s="4">
        <v>127.19999999999999</v>
      </c>
      <c r="Q24" s="4">
        <v>1400</v>
      </c>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W24" s="4">
        <v>3182</v>
      </c>
      <c r="AX24" s="4">
        <v>9.35</v>
      </c>
      <c r="AY24" s="4"/>
      <c r="AZ24" s="4">
        <f>(AX24/2)^2*PI()*AW24/10000</f>
        <v>21.848080052984994</v>
      </c>
      <c r="BA24" s="4"/>
      <c r="BB24" s="4"/>
      <c r="BC24" s="4"/>
      <c r="BD24" s="4"/>
      <c r="BE24" s="4"/>
      <c r="BF24" s="4"/>
      <c r="BG24" s="4"/>
      <c r="BH24" s="4"/>
      <c r="BI24" s="4"/>
      <c r="BJ24" s="4"/>
      <c r="BK24" s="4"/>
      <c r="BL24" s="4"/>
      <c r="BM24" s="4"/>
      <c r="BN24" s="4"/>
      <c r="BO24" s="4"/>
      <c r="BP24" s="4">
        <v>20.76</v>
      </c>
      <c r="BQ24" s="4"/>
      <c r="BR24" s="4"/>
      <c r="BS24" s="4"/>
      <c r="BT24" s="4"/>
      <c r="BU24" s="4"/>
      <c r="BV24" s="4"/>
      <c r="BW24" s="4"/>
      <c r="BX24" s="4">
        <v>111.7</v>
      </c>
      <c r="BY24" s="4"/>
      <c r="BZ24" s="4"/>
      <c r="CA24" s="4"/>
      <c r="CB24" s="4"/>
      <c r="CC24" s="4"/>
      <c r="CD24" s="4"/>
      <c r="CE24" s="4"/>
      <c r="CF24" s="4"/>
      <c r="CG24" s="4"/>
      <c r="CH24" s="4"/>
      <c r="CI24" s="4"/>
      <c r="CJ24" s="4"/>
      <c r="CK24" s="4"/>
      <c r="CL24" s="4"/>
      <c r="CM24" s="4"/>
      <c r="CN24" s="4"/>
      <c r="CO24" s="4"/>
      <c r="CP24" s="2" t="s">
        <v>334</v>
      </c>
      <c r="CQ24" s="2" t="s">
        <v>254</v>
      </c>
      <c r="CR24" s="10" t="s">
        <v>330</v>
      </c>
      <c r="CS24" s="9" t="s">
        <v>256</v>
      </c>
    </row>
    <row r="25" spans="1:97" s="2" customFormat="1" ht="12.75">
      <c r="A25" s="2">
        <v>22</v>
      </c>
      <c r="B25" s="2" t="s">
        <v>248</v>
      </c>
      <c r="C25" s="2" t="s">
        <v>337</v>
      </c>
      <c r="D25" s="4" t="s">
        <v>250</v>
      </c>
      <c r="E25" s="2" t="s">
        <v>338</v>
      </c>
      <c r="F25" s="2" t="s">
        <v>339</v>
      </c>
      <c r="G25" s="2">
        <v>2010</v>
      </c>
      <c r="H25" s="2">
        <v>2010</v>
      </c>
      <c r="I25" s="2">
        <v>1</v>
      </c>
      <c r="J25" s="2">
        <v>1</v>
      </c>
      <c r="K25" s="2">
        <v>1</v>
      </c>
      <c r="L25" s="2">
        <v>1</v>
      </c>
      <c r="M25" s="2">
        <v>0</v>
      </c>
      <c r="N25" s="2">
        <v>0</v>
      </c>
      <c r="O25" s="4">
        <v>15.9</v>
      </c>
      <c r="P25" s="4">
        <f>(O25-5)*12</f>
        <v>130.80000000000001</v>
      </c>
      <c r="Q25" s="4">
        <v>1424</v>
      </c>
      <c r="R25" s="4"/>
      <c r="S25" s="4">
        <f>(100+250)/2</f>
        <v>175</v>
      </c>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W25" s="4">
        <f>(3475+3325+3300+3250+4025+3625+3625+3575+4250+3375+2750+3025+2550+2475+3075+3550+2425+3225)/18</f>
        <v>3272.2222222222222</v>
      </c>
      <c r="AX25" s="4">
        <f>(9.7+9.1+8.8+9.5+8+8.3+9+10.1+8.8+8.3+8.7+9+9+9.5+9.2+8.8+11.3+10.7)/18</f>
        <v>9.2111111111111104</v>
      </c>
      <c r="AY25" s="4"/>
      <c r="AZ25" s="4">
        <f>(AX25/2)^2*PI()*AW25/10000</f>
        <v>21.805031242491747</v>
      </c>
      <c r="BA25" s="4"/>
      <c r="BB25" s="4"/>
      <c r="BC25" s="4"/>
      <c r="BD25" s="4"/>
      <c r="BE25" s="4"/>
      <c r="BF25" s="4"/>
      <c r="BG25" s="4"/>
      <c r="BH25" s="4"/>
      <c r="BI25" s="4"/>
      <c r="BJ25" s="4"/>
      <c r="BK25" s="4"/>
      <c r="BL25" s="4"/>
      <c r="BM25" s="4"/>
      <c r="BN25" s="4"/>
      <c r="BO25" s="4"/>
      <c r="BP25" s="4">
        <f>40.708*0.5</f>
        <v>20.353999999999999</v>
      </c>
      <c r="BQ25" s="4"/>
      <c r="BR25" s="4"/>
      <c r="BS25" s="4"/>
      <c r="BT25" s="4"/>
      <c r="BU25" s="4"/>
      <c r="BV25" s="4"/>
      <c r="BW25" s="4"/>
      <c r="BX25" s="4">
        <v>80.834999999999994</v>
      </c>
      <c r="BY25" s="4"/>
      <c r="BZ25" s="4"/>
      <c r="CA25" s="4"/>
      <c r="CB25" s="4"/>
      <c r="CC25" s="4"/>
      <c r="CD25" s="4"/>
      <c r="CE25" s="4"/>
      <c r="CF25" s="4"/>
      <c r="CG25" s="4"/>
      <c r="CH25" s="4"/>
      <c r="CI25" s="4"/>
      <c r="CJ25" s="4"/>
      <c r="CK25" s="4"/>
      <c r="CL25" s="4"/>
      <c r="CM25" s="4"/>
      <c r="CN25" s="4"/>
      <c r="CO25" s="4"/>
      <c r="CP25" s="2" t="s">
        <v>340</v>
      </c>
      <c r="CQ25" s="2" t="s">
        <v>254</v>
      </c>
      <c r="CR25" s="10" t="s">
        <v>341</v>
      </c>
      <c r="CS25" s="9" t="s">
        <v>256</v>
      </c>
    </row>
    <row r="26" spans="1:97" s="2" customFormat="1" ht="12.75">
      <c r="A26" s="2">
        <v>23</v>
      </c>
      <c r="B26" s="2" t="s">
        <v>248</v>
      </c>
      <c r="C26" s="2" t="s">
        <v>342</v>
      </c>
      <c r="D26" s="4" t="s">
        <v>250</v>
      </c>
      <c r="E26" s="2" t="s">
        <v>343</v>
      </c>
      <c r="F26" s="2" t="s">
        <v>344</v>
      </c>
      <c r="G26" s="2">
        <v>2013</v>
      </c>
      <c r="H26" s="2">
        <v>2016</v>
      </c>
      <c r="I26" s="2">
        <v>1</v>
      </c>
      <c r="J26" s="2">
        <v>0</v>
      </c>
      <c r="K26" s="2">
        <v>1</v>
      </c>
      <c r="L26" s="2">
        <v>1</v>
      </c>
      <c r="M26" s="2">
        <v>0</v>
      </c>
      <c r="N26" s="11">
        <v>0</v>
      </c>
      <c r="O26" s="4">
        <v>15.6</v>
      </c>
      <c r="P26" s="4">
        <f>(O26-5)*12+(5-3)</f>
        <v>129.19999999999999</v>
      </c>
      <c r="Q26" s="4">
        <v>1420</v>
      </c>
      <c r="R26" s="4"/>
      <c r="S26" s="4"/>
      <c r="T26" s="4"/>
      <c r="U26" s="4">
        <v>1847</v>
      </c>
      <c r="V26" s="4"/>
      <c r="W26" s="4"/>
      <c r="X26" s="4"/>
      <c r="Y26" s="4"/>
      <c r="Z26" s="4"/>
      <c r="AA26" s="4"/>
      <c r="AB26" s="4"/>
      <c r="AC26" s="4"/>
      <c r="AD26" s="4"/>
      <c r="AE26" s="4"/>
      <c r="AF26" s="4"/>
      <c r="AG26" s="4"/>
      <c r="AH26" s="4"/>
      <c r="AI26" s="4"/>
      <c r="AJ26" s="4"/>
      <c r="AK26" s="4"/>
      <c r="AL26" s="4"/>
      <c r="AM26" s="4"/>
      <c r="AN26" s="4"/>
      <c r="AO26" s="4"/>
      <c r="AP26" s="4"/>
      <c r="AQ26" s="4"/>
      <c r="AR26" s="4"/>
      <c r="AS26" s="4"/>
      <c r="AT26" s="4"/>
      <c r="AW26" s="4"/>
      <c r="AX26" s="4"/>
      <c r="AY26" s="4"/>
      <c r="AZ26" s="4"/>
      <c r="BA26" s="4"/>
      <c r="BB26" s="4"/>
      <c r="BC26" s="4"/>
      <c r="BD26" s="4"/>
      <c r="BE26" s="4"/>
      <c r="BF26" s="4"/>
      <c r="BG26" s="4"/>
      <c r="BH26" s="4"/>
      <c r="BI26" s="4"/>
      <c r="BJ26" s="4"/>
      <c r="BK26" s="4"/>
      <c r="BL26" s="4"/>
      <c r="BM26" s="4"/>
      <c r="BN26" s="4"/>
      <c r="BO26" s="4"/>
      <c r="BP26" s="4">
        <v>27</v>
      </c>
      <c r="BQ26" s="4"/>
      <c r="BR26" s="4"/>
      <c r="BS26" s="4"/>
      <c r="BT26" s="4"/>
      <c r="BU26" s="4">
        <v>19</v>
      </c>
      <c r="BV26" s="4">
        <f t="shared" ref="BV26:BV34" si="3">BU26+BP26</f>
        <v>46</v>
      </c>
      <c r="BW26" s="4"/>
      <c r="BX26" s="4">
        <v>68.099999999999994</v>
      </c>
      <c r="BY26" s="4"/>
      <c r="BZ26" s="4">
        <f>BV26+BX26</f>
        <v>114.1</v>
      </c>
      <c r="CA26" s="4"/>
      <c r="CB26" s="4"/>
      <c r="CC26" s="4"/>
      <c r="CD26" s="4"/>
      <c r="CE26" s="4"/>
      <c r="CF26" s="4">
        <v>4.17</v>
      </c>
      <c r="CG26" s="4"/>
      <c r="CH26" s="4"/>
      <c r="CI26" s="4"/>
      <c r="CJ26" s="4">
        <v>3.11</v>
      </c>
      <c r="CK26" s="4">
        <v>7.28</v>
      </c>
      <c r="CL26" s="4"/>
      <c r="CM26" s="4">
        <v>0.51</v>
      </c>
      <c r="CN26" s="4"/>
      <c r="CO26" s="4">
        <f>CK26-CM26</f>
        <v>6.7700000000000005</v>
      </c>
      <c r="CP26" s="2" t="s">
        <v>345</v>
      </c>
      <c r="CQ26" s="2" t="s">
        <v>254</v>
      </c>
      <c r="CR26" s="10" t="s">
        <v>346</v>
      </c>
      <c r="CS26" s="9" t="s">
        <v>256</v>
      </c>
    </row>
    <row r="27" spans="1:97" s="2" customFormat="1" ht="12.75">
      <c r="A27" s="2">
        <v>24</v>
      </c>
      <c r="B27" s="2" t="s">
        <v>248</v>
      </c>
      <c r="C27" s="2" t="s">
        <v>342</v>
      </c>
      <c r="D27" s="4" t="s">
        <v>250</v>
      </c>
      <c r="E27" s="2" t="s">
        <v>347</v>
      </c>
      <c r="F27" s="2" t="s">
        <v>348</v>
      </c>
      <c r="G27" s="2">
        <v>2013</v>
      </c>
      <c r="H27" s="2">
        <v>2016</v>
      </c>
      <c r="I27" s="2">
        <v>1</v>
      </c>
      <c r="J27" s="2">
        <v>3</v>
      </c>
      <c r="K27" s="2">
        <v>1</v>
      </c>
      <c r="L27" s="2">
        <v>1</v>
      </c>
      <c r="M27" s="2">
        <v>1</v>
      </c>
      <c r="N27" s="11">
        <v>1</v>
      </c>
      <c r="O27" s="4">
        <v>15.6</v>
      </c>
      <c r="P27" s="4">
        <f>(O27-5)*12+(5-3)</f>
        <v>129.19999999999999</v>
      </c>
      <c r="Q27" s="4">
        <v>1420</v>
      </c>
      <c r="R27" s="4"/>
      <c r="S27" s="4"/>
      <c r="T27" s="4"/>
      <c r="U27" s="4">
        <v>1847</v>
      </c>
      <c r="V27" s="4"/>
      <c r="W27" s="4"/>
      <c r="X27" s="4"/>
      <c r="Y27" s="4"/>
      <c r="Z27" s="4"/>
      <c r="AA27" s="4"/>
      <c r="AB27" s="4"/>
      <c r="AC27" s="4"/>
      <c r="AD27" s="4"/>
      <c r="AE27" s="4"/>
      <c r="AF27" s="4"/>
      <c r="AG27" s="4"/>
      <c r="AH27" s="4"/>
      <c r="AI27" s="4"/>
      <c r="AJ27" s="4"/>
      <c r="AK27" s="4"/>
      <c r="AL27" s="4"/>
      <c r="AM27" s="4"/>
      <c r="AN27" s="4"/>
      <c r="AO27" s="4"/>
      <c r="AP27" s="4"/>
      <c r="AQ27" s="4"/>
      <c r="AR27" s="4"/>
      <c r="AS27" s="4"/>
      <c r="AT27" s="4"/>
      <c r="AW27" s="4"/>
      <c r="AX27" s="4"/>
      <c r="AY27" s="4"/>
      <c r="AZ27" s="4"/>
      <c r="BA27" s="4"/>
      <c r="BB27" s="4"/>
      <c r="BC27" s="4"/>
      <c r="BD27" s="4"/>
      <c r="BE27" s="4"/>
      <c r="BF27" s="4"/>
      <c r="BG27" s="4"/>
      <c r="BH27" s="4"/>
      <c r="BI27" s="4"/>
      <c r="BJ27" s="4"/>
      <c r="BK27" s="4"/>
      <c r="BL27" s="4"/>
      <c r="BM27" s="4"/>
      <c r="BN27" s="4"/>
      <c r="BO27" s="4"/>
      <c r="BP27" s="4">
        <v>33</v>
      </c>
      <c r="BQ27" s="4"/>
      <c r="BR27" s="4"/>
      <c r="BS27" s="4"/>
      <c r="BT27" s="4"/>
      <c r="BU27" s="4">
        <v>24</v>
      </c>
      <c r="BV27" s="4">
        <f t="shared" si="3"/>
        <v>57</v>
      </c>
      <c r="BW27" s="4"/>
      <c r="BX27" s="4">
        <v>66</v>
      </c>
      <c r="BY27" s="4"/>
      <c r="BZ27" s="4">
        <f>BV27+BX27</f>
        <v>123</v>
      </c>
      <c r="CA27" s="4"/>
      <c r="CB27" s="4"/>
      <c r="CC27" s="4"/>
      <c r="CD27" s="4"/>
      <c r="CE27" s="4"/>
      <c r="CF27" s="4">
        <v>5.08</v>
      </c>
      <c r="CG27" s="4"/>
      <c r="CH27" s="4"/>
      <c r="CI27" s="4"/>
      <c r="CJ27" s="4">
        <v>4.0199999999999996</v>
      </c>
      <c r="CK27" s="4">
        <v>9.1</v>
      </c>
      <c r="CL27" s="4"/>
      <c r="CM27" s="4">
        <v>1.0900000000000001</v>
      </c>
      <c r="CN27" s="4"/>
      <c r="CO27" s="4">
        <f>CK27-CM27</f>
        <v>8.01</v>
      </c>
      <c r="CP27" s="2" t="s">
        <v>345</v>
      </c>
      <c r="CQ27" s="2" t="s">
        <v>254</v>
      </c>
      <c r="CR27" s="10" t="s">
        <v>349</v>
      </c>
      <c r="CS27" s="9" t="s">
        <v>256</v>
      </c>
    </row>
    <row r="28" spans="1:97" s="2" customFormat="1" ht="12.75">
      <c r="A28" s="2">
        <v>25</v>
      </c>
      <c r="B28" s="2" t="s">
        <v>248</v>
      </c>
      <c r="C28" s="2" t="s">
        <v>342</v>
      </c>
      <c r="D28" s="4" t="s">
        <v>250</v>
      </c>
      <c r="E28" s="2" t="s">
        <v>350</v>
      </c>
      <c r="F28" s="2" t="s">
        <v>351</v>
      </c>
      <c r="G28" s="2">
        <v>2013</v>
      </c>
      <c r="H28" s="2">
        <v>2016</v>
      </c>
      <c r="I28" s="2">
        <v>1</v>
      </c>
      <c r="J28" s="2">
        <v>1</v>
      </c>
      <c r="K28" s="2">
        <v>1</v>
      </c>
      <c r="L28" s="2">
        <v>1</v>
      </c>
      <c r="M28" s="2">
        <v>1</v>
      </c>
      <c r="N28" s="11">
        <v>1</v>
      </c>
      <c r="O28" s="4">
        <v>15.6</v>
      </c>
      <c r="P28" s="4">
        <f>(O28-5)*12+(5-3)</f>
        <v>129.19999999999999</v>
      </c>
      <c r="Q28" s="4">
        <v>1420</v>
      </c>
      <c r="R28" s="4"/>
      <c r="S28" s="4"/>
      <c r="T28" s="4"/>
      <c r="U28" s="4">
        <v>1847</v>
      </c>
      <c r="V28" s="4"/>
      <c r="W28" s="4"/>
      <c r="X28" s="4"/>
      <c r="Y28" s="4"/>
      <c r="Z28" s="4"/>
      <c r="AA28" s="4"/>
      <c r="AB28" s="4"/>
      <c r="AC28" s="4"/>
      <c r="AD28" s="4"/>
      <c r="AE28" s="4"/>
      <c r="AF28" s="4"/>
      <c r="AG28" s="4"/>
      <c r="AH28" s="4"/>
      <c r="AI28" s="4"/>
      <c r="AJ28" s="4"/>
      <c r="AK28" s="4"/>
      <c r="AL28" s="4"/>
      <c r="AM28" s="4"/>
      <c r="AN28" s="4"/>
      <c r="AO28" s="4"/>
      <c r="AP28" s="4"/>
      <c r="AQ28" s="4"/>
      <c r="AR28" s="4"/>
      <c r="AS28" s="4"/>
      <c r="AT28" s="4"/>
      <c r="AW28" s="4"/>
      <c r="AX28" s="4"/>
      <c r="AY28" s="4"/>
      <c r="AZ28" s="4"/>
      <c r="BA28" s="4"/>
      <c r="BB28" s="4"/>
      <c r="BC28" s="4"/>
      <c r="BD28" s="4"/>
      <c r="BE28" s="4"/>
      <c r="BF28" s="4"/>
      <c r="BG28" s="4"/>
      <c r="BH28" s="4"/>
      <c r="BI28" s="4"/>
      <c r="BJ28" s="4"/>
      <c r="BK28" s="4"/>
      <c r="BL28" s="4"/>
      <c r="BM28" s="4"/>
      <c r="BN28" s="4"/>
      <c r="BO28" s="4"/>
      <c r="BP28" s="4">
        <v>35.1</v>
      </c>
      <c r="BQ28" s="4"/>
      <c r="BR28" s="4"/>
      <c r="BS28" s="4"/>
      <c r="BT28" s="4"/>
      <c r="BU28" s="4">
        <v>26.1</v>
      </c>
      <c r="BV28" s="4">
        <f t="shared" si="3"/>
        <v>61.2</v>
      </c>
      <c r="BW28" s="4"/>
      <c r="BX28" s="4">
        <v>64.099999999999994</v>
      </c>
      <c r="BY28" s="4"/>
      <c r="BZ28" s="4">
        <f>BV28+BX28</f>
        <v>125.3</v>
      </c>
      <c r="CA28" s="4"/>
      <c r="CB28" s="4"/>
      <c r="CC28" s="4"/>
      <c r="CD28" s="4"/>
      <c r="CE28" s="4"/>
      <c r="CF28" s="4">
        <v>5.46</v>
      </c>
      <c r="CG28" s="4"/>
      <c r="CH28" s="4"/>
      <c r="CI28" s="4"/>
      <c r="CJ28" s="4">
        <v>4.34</v>
      </c>
      <c r="CK28" s="4">
        <v>9.8000000000000007</v>
      </c>
      <c r="CL28" s="4"/>
      <c r="CM28" s="4">
        <v>1.37</v>
      </c>
      <c r="CN28" s="4"/>
      <c r="CO28" s="4">
        <f>CK28-CM28</f>
        <v>8.43</v>
      </c>
      <c r="CP28" s="2" t="s">
        <v>345</v>
      </c>
      <c r="CQ28" s="2" t="s">
        <v>254</v>
      </c>
      <c r="CR28" s="10" t="s">
        <v>352</v>
      </c>
      <c r="CS28" s="9" t="s">
        <v>256</v>
      </c>
    </row>
    <row r="29" spans="1:97" s="2" customFormat="1" ht="12.75">
      <c r="A29" s="2">
        <v>26</v>
      </c>
      <c r="B29" s="2" t="s">
        <v>248</v>
      </c>
      <c r="C29" s="2" t="s">
        <v>342</v>
      </c>
      <c r="D29" s="4" t="s">
        <v>250</v>
      </c>
      <c r="E29" s="2" t="s">
        <v>353</v>
      </c>
      <c r="F29" s="2" t="s">
        <v>354</v>
      </c>
      <c r="G29" s="2">
        <v>2013</v>
      </c>
      <c r="H29" s="2">
        <v>2016</v>
      </c>
      <c r="I29" s="2">
        <v>1</v>
      </c>
      <c r="J29" s="2">
        <v>2</v>
      </c>
      <c r="K29" s="2">
        <v>1</v>
      </c>
      <c r="L29" s="2">
        <v>1</v>
      </c>
      <c r="M29" s="2">
        <v>1</v>
      </c>
      <c r="N29" s="11">
        <v>1</v>
      </c>
      <c r="O29" s="4">
        <v>15.6</v>
      </c>
      <c r="P29" s="4">
        <f>(O29-5)*12+(5-3)</f>
        <v>129.19999999999999</v>
      </c>
      <c r="Q29" s="4">
        <v>1420</v>
      </c>
      <c r="R29" s="4"/>
      <c r="S29" s="4"/>
      <c r="T29" s="4"/>
      <c r="U29" s="4">
        <v>1847</v>
      </c>
      <c r="V29" s="4"/>
      <c r="W29" s="4"/>
      <c r="X29" s="4"/>
      <c r="Y29" s="4"/>
      <c r="Z29" s="4"/>
      <c r="AA29" s="4"/>
      <c r="AB29" s="4"/>
      <c r="AC29" s="4"/>
      <c r="AD29" s="4"/>
      <c r="AE29" s="4"/>
      <c r="AF29" s="4"/>
      <c r="AG29" s="4"/>
      <c r="AH29" s="4"/>
      <c r="AI29" s="4"/>
      <c r="AJ29" s="4"/>
      <c r="AK29" s="4"/>
      <c r="AL29" s="4"/>
      <c r="AM29" s="4"/>
      <c r="AN29" s="4"/>
      <c r="AO29" s="4"/>
      <c r="AP29" s="4"/>
      <c r="AQ29" s="4"/>
      <c r="AR29" s="4"/>
      <c r="AS29" s="4"/>
      <c r="AT29" s="4"/>
      <c r="AW29" s="4"/>
      <c r="AX29" s="4"/>
      <c r="AY29" s="4"/>
      <c r="AZ29" s="4"/>
      <c r="BA29" s="4"/>
      <c r="BB29" s="4"/>
      <c r="BC29" s="4"/>
      <c r="BD29" s="4"/>
      <c r="BE29" s="4"/>
      <c r="BF29" s="4"/>
      <c r="BG29" s="4"/>
      <c r="BH29" s="4"/>
      <c r="BI29" s="4"/>
      <c r="BJ29" s="4"/>
      <c r="BK29" s="4"/>
      <c r="BL29" s="4"/>
      <c r="BM29" s="4"/>
      <c r="BN29" s="4"/>
      <c r="BO29" s="4"/>
      <c r="BP29" s="4">
        <v>37.700000000000003</v>
      </c>
      <c r="BQ29" s="4"/>
      <c r="BR29" s="4"/>
      <c r="BS29" s="4"/>
      <c r="BT29" s="4"/>
      <c r="BU29" s="4">
        <v>26</v>
      </c>
      <c r="BV29" s="4">
        <f t="shared" si="3"/>
        <v>63.7</v>
      </c>
      <c r="BW29" s="4"/>
      <c r="BX29" s="4">
        <v>63</v>
      </c>
      <c r="BY29" s="4"/>
      <c r="BZ29" s="4">
        <f>BV29+BX29</f>
        <v>126.7</v>
      </c>
      <c r="CA29" s="4"/>
      <c r="CB29" s="4"/>
      <c r="CC29" s="4"/>
      <c r="CD29" s="4"/>
      <c r="CE29" s="4"/>
      <c r="CF29" s="4">
        <v>5.76</v>
      </c>
      <c r="CG29" s="4"/>
      <c r="CH29" s="4"/>
      <c r="CI29" s="4"/>
      <c r="CJ29" s="4">
        <v>4.33</v>
      </c>
      <c r="CK29" s="4">
        <v>10.09</v>
      </c>
      <c r="CL29" s="4"/>
      <c r="CM29" s="4">
        <v>1.29</v>
      </c>
      <c r="CN29" s="4"/>
      <c r="CO29" s="4">
        <f>CK29-CM29</f>
        <v>8.8000000000000007</v>
      </c>
      <c r="CP29" s="2" t="s">
        <v>345</v>
      </c>
      <c r="CQ29" s="2" t="s">
        <v>254</v>
      </c>
      <c r="CR29" s="10" t="s">
        <v>355</v>
      </c>
      <c r="CS29" s="9" t="s">
        <v>256</v>
      </c>
    </row>
    <row r="30" spans="1:97" s="2" customFormat="1" ht="12.75">
      <c r="A30" s="2">
        <v>27</v>
      </c>
      <c r="B30" s="2" t="s">
        <v>248</v>
      </c>
      <c r="C30" s="2" t="s">
        <v>356</v>
      </c>
      <c r="D30" s="4" t="s">
        <v>250</v>
      </c>
      <c r="E30" s="2" t="s">
        <v>357</v>
      </c>
      <c r="F30" s="2" t="s">
        <v>358</v>
      </c>
      <c r="G30" s="2">
        <v>1980</v>
      </c>
      <c r="H30" s="2">
        <v>1989</v>
      </c>
      <c r="I30" s="2">
        <v>1</v>
      </c>
      <c r="J30" s="2">
        <v>1</v>
      </c>
      <c r="K30" s="2">
        <v>1</v>
      </c>
      <c r="L30" s="2">
        <v>1</v>
      </c>
      <c r="M30" s="2">
        <v>0</v>
      </c>
      <c r="N30" s="11">
        <v>0</v>
      </c>
      <c r="O30" s="4">
        <v>16</v>
      </c>
      <c r="P30" s="4">
        <f>(O30-5)*12</f>
        <v>132</v>
      </c>
      <c r="Q30" s="4">
        <v>1800</v>
      </c>
      <c r="R30" s="4"/>
      <c r="S30" s="4">
        <v>31</v>
      </c>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W30" s="4">
        <v>3750</v>
      </c>
      <c r="AX30" s="4"/>
      <c r="AY30" s="4"/>
      <c r="AZ30" s="4"/>
      <c r="BA30" s="4"/>
      <c r="BB30" s="4"/>
      <c r="BC30" s="4">
        <v>11.17</v>
      </c>
      <c r="BD30" s="4"/>
      <c r="BE30" s="4"/>
      <c r="BF30" s="4"/>
      <c r="BG30" s="4"/>
      <c r="BH30" s="4"/>
      <c r="BI30" s="4"/>
      <c r="BJ30" s="4"/>
      <c r="BK30" s="4"/>
      <c r="BL30" s="4"/>
      <c r="BM30" s="4">
        <f>0.4314*10000/1000*50%</f>
        <v>2.157</v>
      </c>
      <c r="BN30" s="4">
        <f>1.305*10000/1000*50%</f>
        <v>6.5250000000000004</v>
      </c>
      <c r="BO30" s="4">
        <f>(9.889)*10000/1000*50%</f>
        <v>49.445</v>
      </c>
      <c r="BP30" s="4">
        <f>SUM(BM30:BO30)</f>
        <v>58.127000000000002</v>
      </c>
      <c r="BQ30" s="4">
        <f>BU30/BP30</f>
        <v>0.56884064204242424</v>
      </c>
      <c r="BR30" s="4">
        <f>(3.864)*10000/1000*50%</f>
        <v>19.32</v>
      </c>
      <c r="BS30" s="4">
        <f>(1.449)*10000/1000*50%</f>
        <v>7.2450000000000001</v>
      </c>
      <c r="BT30" s="4">
        <f>(1.3)*10000/1000*50%</f>
        <v>6.5</v>
      </c>
      <c r="BU30" s="4">
        <f>SUM(BR30:BT30)</f>
        <v>33.064999999999998</v>
      </c>
      <c r="BV30" s="4">
        <f t="shared" si="3"/>
        <v>91.192000000000007</v>
      </c>
      <c r="BW30" s="4"/>
      <c r="BX30" s="4"/>
      <c r="BY30" s="4"/>
      <c r="BZ30" s="4"/>
      <c r="CA30" s="4"/>
      <c r="CB30" s="4"/>
      <c r="CC30" s="4"/>
      <c r="CD30" s="4"/>
      <c r="CE30" s="4"/>
      <c r="CF30" s="4">
        <f>((10.0169+1.0598)/10)*10000/1000*50%</f>
        <v>5.5383499999999994</v>
      </c>
      <c r="CG30" s="4"/>
      <c r="CH30" s="4"/>
      <c r="CI30" s="4"/>
      <c r="CJ30" s="4"/>
      <c r="CK30" s="4"/>
      <c r="CL30" s="4"/>
      <c r="CM30" s="4"/>
      <c r="CN30" s="4"/>
      <c r="CP30" s="2" t="s">
        <v>359</v>
      </c>
      <c r="CQ30" s="2" t="s">
        <v>254</v>
      </c>
      <c r="CR30" s="10" t="s">
        <v>360</v>
      </c>
      <c r="CS30" s="9" t="s">
        <v>256</v>
      </c>
    </row>
    <row r="31" spans="1:97" s="2" customFormat="1" ht="12.75">
      <c r="A31" s="2">
        <v>28</v>
      </c>
      <c r="B31" s="2" t="s">
        <v>248</v>
      </c>
      <c r="C31" s="2" t="s">
        <v>356</v>
      </c>
      <c r="D31" s="4" t="s">
        <v>250</v>
      </c>
      <c r="E31" s="2" t="s">
        <v>361</v>
      </c>
      <c r="F31" s="2" t="s">
        <v>362</v>
      </c>
      <c r="G31" s="2">
        <v>1982</v>
      </c>
      <c r="H31" s="2">
        <v>1989</v>
      </c>
      <c r="I31" s="2">
        <v>1</v>
      </c>
      <c r="J31" s="2">
        <v>0</v>
      </c>
      <c r="K31" s="2">
        <v>1</v>
      </c>
      <c r="L31" s="2">
        <v>1</v>
      </c>
      <c r="M31" s="2">
        <v>0</v>
      </c>
      <c r="N31" s="11">
        <v>0</v>
      </c>
      <c r="O31" s="4">
        <v>16</v>
      </c>
      <c r="P31" s="4">
        <f>(O31-5)*12</f>
        <v>132</v>
      </c>
      <c r="Q31" s="4">
        <v>1800</v>
      </c>
      <c r="R31" s="4"/>
      <c r="S31" s="4">
        <v>31</v>
      </c>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W31" s="4">
        <v>2700</v>
      </c>
      <c r="AX31" s="4"/>
      <c r="AY31" s="4"/>
      <c r="AZ31" s="4"/>
      <c r="BA31" s="4"/>
      <c r="BB31" s="4"/>
      <c r="BC31" s="4">
        <v>8.02</v>
      </c>
      <c r="BD31" s="4"/>
      <c r="BE31" s="4"/>
      <c r="BF31" s="4"/>
      <c r="BG31" s="4"/>
      <c r="BH31" s="4"/>
      <c r="BI31" s="4"/>
      <c r="BJ31" s="4"/>
      <c r="BK31" s="4"/>
      <c r="BL31" s="4"/>
      <c r="BM31" s="4">
        <f>0.2886*10000/1000*50%</f>
        <v>1.4430000000000003</v>
      </c>
      <c r="BN31" s="4">
        <f>0.8213*10000/1000*50%</f>
        <v>4.1064999999999996</v>
      </c>
      <c r="BO31" s="4">
        <f>4.199*10000/1000*50%</f>
        <v>20.995000000000001</v>
      </c>
      <c r="BP31" s="4">
        <f>SUM(BM31:BO31)</f>
        <v>26.544499999999999</v>
      </c>
      <c r="BQ31" s="4"/>
      <c r="BR31" s="4">
        <f>(4.857)*10000/1000*50%</f>
        <v>24.285</v>
      </c>
      <c r="BS31" s="4">
        <f>(1.337)*10000/1000*50%</f>
        <v>6.6849999999999996</v>
      </c>
      <c r="BT31" s="4">
        <f>(0.5091)*10000/1000*50%</f>
        <v>2.5455000000000001</v>
      </c>
      <c r="BU31" s="4">
        <f>SUM(BR31:BT31)</f>
        <v>33.515499999999996</v>
      </c>
      <c r="BV31" s="4">
        <f t="shared" si="3"/>
        <v>60.059999999999995</v>
      </c>
      <c r="BW31" s="4"/>
      <c r="BX31" s="4"/>
      <c r="BY31" s="4"/>
      <c r="BZ31" s="4"/>
      <c r="CA31" s="4"/>
      <c r="CB31" s="4"/>
      <c r="CC31" s="4"/>
      <c r="CD31" s="4"/>
      <c r="CE31" s="4"/>
      <c r="CF31" s="4">
        <f>((4.2415+0.3274)/8)*10000/1000*50%</f>
        <v>2.8555625</v>
      </c>
      <c r="CG31" s="4"/>
      <c r="CH31" s="4"/>
      <c r="CI31" s="4"/>
      <c r="CJ31" s="4"/>
      <c r="CK31" s="4"/>
      <c r="CL31" s="4"/>
      <c r="CM31" s="4"/>
      <c r="CN31" s="4"/>
      <c r="CP31" s="2" t="s">
        <v>359</v>
      </c>
      <c r="CQ31" s="2" t="s">
        <v>254</v>
      </c>
      <c r="CR31" s="10" t="s">
        <v>360</v>
      </c>
      <c r="CS31" s="9" t="s">
        <v>256</v>
      </c>
    </row>
    <row r="32" spans="1:97" s="2" customFormat="1" ht="12.75">
      <c r="A32" s="2">
        <v>29</v>
      </c>
      <c r="B32" s="2" t="s">
        <v>363</v>
      </c>
      <c r="C32" s="2" t="s">
        <v>364</v>
      </c>
      <c r="D32" s="4" t="s">
        <v>365</v>
      </c>
      <c r="E32" s="2" t="s">
        <v>366</v>
      </c>
      <c r="F32" s="2" t="s">
        <v>367</v>
      </c>
      <c r="G32" s="2">
        <v>2008</v>
      </c>
      <c r="H32" s="2">
        <v>2009</v>
      </c>
      <c r="I32" s="2">
        <v>0</v>
      </c>
      <c r="J32" s="2">
        <v>0</v>
      </c>
      <c r="K32" s="2">
        <v>0</v>
      </c>
      <c r="L32" s="2">
        <v>0</v>
      </c>
      <c r="M32" s="2">
        <v>0</v>
      </c>
      <c r="N32" s="12">
        <v>0</v>
      </c>
      <c r="O32" s="4">
        <v>14.8</v>
      </c>
      <c r="P32" s="4">
        <f>(O32-5)*12</f>
        <v>117.60000000000001</v>
      </c>
      <c r="Q32" s="4">
        <v>1451.4</v>
      </c>
      <c r="R32" s="4">
        <v>7</v>
      </c>
      <c r="S32" s="4">
        <v>110</v>
      </c>
      <c r="T32" s="4">
        <v>61.208329999999997</v>
      </c>
      <c r="U32" s="4">
        <v>2161.15</v>
      </c>
      <c r="V32" s="4">
        <v>1.5333300000000001</v>
      </c>
      <c r="W32" s="4">
        <v>0.4</v>
      </c>
      <c r="X32" s="4"/>
      <c r="Y32" s="4">
        <v>4.55</v>
      </c>
      <c r="Z32" s="4"/>
      <c r="AA32" s="4"/>
      <c r="AB32" s="4"/>
      <c r="AC32" s="4"/>
      <c r="AD32" s="4">
        <f>(0.023)*1000</f>
        <v>23</v>
      </c>
      <c r="AE32" s="4"/>
      <c r="AF32" s="4"/>
      <c r="AG32" s="4"/>
      <c r="AH32" s="4"/>
      <c r="AI32" s="4"/>
      <c r="AJ32" s="4"/>
      <c r="AK32" s="4"/>
      <c r="AL32" s="4"/>
      <c r="AM32" s="4"/>
      <c r="AN32" s="4"/>
      <c r="AO32" s="4"/>
      <c r="AP32" s="4"/>
      <c r="AQ32" s="4">
        <v>203</v>
      </c>
      <c r="AR32" s="4">
        <v>176</v>
      </c>
      <c r="AS32" s="4"/>
      <c r="AT32" s="4"/>
      <c r="AV32" s="4">
        <v>290</v>
      </c>
      <c r="AW32" s="4">
        <v>2660</v>
      </c>
      <c r="AX32" s="4">
        <v>8.1999999999999993</v>
      </c>
      <c r="AY32" s="4"/>
      <c r="AZ32" s="4">
        <f t="shared" ref="AZ32:AZ40" si="4">(AX32/2)^2*PI()*AW32/10000</f>
        <v>14.047505886820614</v>
      </c>
      <c r="BA32" s="4"/>
      <c r="BB32" s="4"/>
      <c r="BC32" s="4"/>
      <c r="BD32" s="4"/>
      <c r="BE32" s="4"/>
      <c r="BF32" s="4"/>
      <c r="BG32" s="4"/>
      <c r="BH32" s="4"/>
      <c r="BI32" s="4"/>
      <c r="BJ32" s="4"/>
      <c r="BK32" s="4"/>
      <c r="BL32" s="4"/>
      <c r="BM32" s="4">
        <f>1.29*50%</f>
        <v>0.64500000000000002</v>
      </c>
      <c r="BN32" s="4">
        <f>3.72*50%</f>
        <v>1.86</v>
      </c>
      <c r="BO32" s="4">
        <f>26.4*50%</f>
        <v>13.2</v>
      </c>
      <c r="BP32" s="4">
        <f>SUM(BM32:BO32)</f>
        <v>15.704999999999998</v>
      </c>
      <c r="BQ32" s="4">
        <f>BU32/BP32</f>
        <v>1.1464501751034704</v>
      </c>
      <c r="BR32" s="4">
        <f>(18.7+7.47)*50%</f>
        <v>13.084999999999999</v>
      </c>
      <c r="BS32" s="4">
        <f>9.84*50%</f>
        <v>4.92</v>
      </c>
      <c r="BT32" s="4"/>
      <c r="BU32" s="4">
        <f>SUM(BR32:BT32)</f>
        <v>18.004999999999999</v>
      </c>
      <c r="BV32" s="4">
        <f t="shared" si="3"/>
        <v>33.709999999999994</v>
      </c>
      <c r="BX32" s="4"/>
      <c r="BY32" s="4"/>
      <c r="BZ32" s="4"/>
      <c r="CA32" s="4"/>
      <c r="CB32" s="4"/>
      <c r="CC32" s="4"/>
      <c r="CD32" s="4">
        <f>7.19*50%</f>
        <v>3.5950000000000002</v>
      </c>
      <c r="CE32" s="4"/>
      <c r="CF32" s="4"/>
      <c r="CG32" s="4"/>
      <c r="CH32" s="4"/>
      <c r="CI32" s="4"/>
      <c r="CJ32" s="4"/>
      <c r="CK32" s="4"/>
      <c r="CL32" s="4"/>
      <c r="CM32" s="4"/>
      <c r="CN32" s="4"/>
      <c r="CP32" s="2" t="s">
        <v>368</v>
      </c>
      <c r="CQ32" s="2" t="s">
        <v>254</v>
      </c>
      <c r="CR32" s="10" t="s">
        <v>369</v>
      </c>
      <c r="CS32" s="9" t="s">
        <v>256</v>
      </c>
    </row>
    <row r="33" spans="1:97" s="2" customFormat="1" ht="12.75">
      <c r="A33" s="2">
        <v>30</v>
      </c>
      <c r="B33" s="2" t="s">
        <v>363</v>
      </c>
      <c r="C33" s="2" t="s">
        <v>364</v>
      </c>
      <c r="D33" s="4" t="s">
        <v>365</v>
      </c>
      <c r="E33" s="2" t="s">
        <v>370</v>
      </c>
      <c r="F33" s="2" t="s">
        <v>371</v>
      </c>
      <c r="G33" s="2">
        <v>2008</v>
      </c>
      <c r="H33" s="2">
        <v>2009</v>
      </c>
      <c r="I33" s="2">
        <v>0</v>
      </c>
      <c r="J33" s="2">
        <v>0</v>
      </c>
      <c r="K33" s="2">
        <v>0</v>
      </c>
      <c r="L33" s="2">
        <v>0</v>
      </c>
      <c r="M33" s="2">
        <v>0</v>
      </c>
      <c r="N33" s="12">
        <v>0</v>
      </c>
      <c r="O33" s="4">
        <v>14.8</v>
      </c>
      <c r="P33" s="4">
        <f>(O33-5)*12</f>
        <v>117.60000000000001</v>
      </c>
      <c r="Q33" s="4">
        <v>1451.4</v>
      </c>
      <c r="R33" s="4">
        <v>7</v>
      </c>
      <c r="S33" s="4">
        <v>160</v>
      </c>
      <c r="T33" s="4">
        <v>61.208329999999997</v>
      </c>
      <c r="U33" s="4">
        <v>2161.15</v>
      </c>
      <c r="V33" s="4">
        <v>1.5333300000000001</v>
      </c>
      <c r="W33" s="4">
        <v>0.31</v>
      </c>
      <c r="X33" s="4"/>
      <c r="Y33" s="4">
        <v>4.79</v>
      </c>
      <c r="Z33" s="4"/>
      <c r="AA33" s="4"/>
      <c r="AB33" s="4"/>
      <c r="AC33" s="4"/>
      <c r="AD33" s="4">
        <f>(0.025)*1000</f>
        <v>25</v>
      </c>
      <c r="AE33" s="4"/>
      <c r="AF33" s="4"/>
      <c r="AG33" s="4"/>
      <c r="AH33" s="4"/>
      <c r="AI33" s="4"/>
      <c r="AJ33" s="4"/>
      <c r="AK33" s="4"/>
      <c r="AL33" s="4"/>
      <c r="AM33" s="4"/>
      <c r="AN33" s="4"/>
      <c r="AO33" s="4"/>
      <c r="AP33" s="4"/>
      <c r="AQ33" s="4">
        <v>357</v>
      </c>
      <c r="AR33" s="4">
        <v>463</v>
      </c>
      <c r="AS33" s="4"/>
      <c r="AT33" s="4"/>
      <c r="AV33" s="4">
        <v>67</v>
      </c>
      <c r="AW33" s="4">
        <v>4790</v>
      </c>
      <c r="AX33" s="4">
        <v>11.2</v>
      </c>
      <c r="AY33" s="4"/>
      <c r="AZ33" s="4">
        <f t="shared" si="4"/>
        <v>47.191245550339858</v>
      </c>
      <c r="BA33" s="4"/>
      <c r="BB33" s="4"/>
      <c r="BC33" s="4"/>
      <c r="BD33" s="4"/>
      <c r="BE33" s="4"/>
      <c r="BF33" s="4"/>
      <c r="BG33" s="4"/>
      <c r="BH33" s="4"/>
      <c r="BI33" s="4"/>
      <c r="BJ33" s="4"/>
      <c r="BK33" s="4"/>
      <c r="BL33" s="4"/>
      <c r="BM33" s="4">
        <f>4.06*50%</f>
        <v>2.0299999999999998</v>
      </c>
      <c r="BN33" s="4">
        <f>10.9*50%</f>
        <v>5.45</v>
      </c>
      <c r="BO33" s="4">
        <f>92.2*50%</f>
        <v>46.1</v>
      </c>
      <c r="BP33" s="4">
        <f>SUM(BM33:BO33)</f>
        <v>53.58</v>
      </c>
      <c r="BQ33" s="4">
        <f>BU33/BP33</f>
        <v>0.63176558417319884</v>
      </c>
      <c r="BR33" s="4">
        <f>(23.9+17.4)*50%</f>
        <v>20.65</v>
      </c>
      <c r="BS33" s="4">
        <f>26.4*50%</f>
        <v>13.2</v>
      </c>
      <c r="BT33" s="4"/>
      <c r="BU33" s="4">
        <f>SUM(BR33:BT33)</f>
        <v>33.849999999999994</v>
      </c>
      <c r="BV33" s="4">
        <f t="shared" si="3"/>
        <v>87.429999999999993</v>
      </c>
      <c r="BX33" s="4"/>
      <c r="BY33" s="4"/>
      <c r="BZ33" s="4"/>
      <c r="CA33" s="4"/>
      <c r="CB33" s="4"/>
      <c r="CC33" s="4"/>
      <c r="CD33" s="4">
        <f>3.03*50%</f>
        <v>1.5149999999999999</v>
      </c>
      <c r="CE33" s="4"/>
      <c r="CF33" s="4"/>
      <c r="CG33" s="4"/>
      <c r="CH33" s="4"/>
      <c r="CI33" s="4"/>
      <c r="CJ33" s="4"/>
      <c r="CK33" s="4"/>
      <c r="CL33" s="4"/>
      <c r="CM33" s="4"/>
      <c r="CN33" s="4"/>
      <c r="CP33" s="2" t="s">
        <v>368</v>
      </c>
      <c r="CQ33" s="2" t="s">
        <v>254</v>
      </c>
      <c r="CR33" s="10" t="s">
        <v>369</v>
      </c>
      <c r="CS33" s="9" t="s">
        <v>256</v>
      </c>
    </row>
    <row r="34" spans="1:97" s="2" customFormat="1" ht="12.75">
      <c r="A34" s="2">
        <v>31</v>
      </c>
      <c r="B34" s="2" t="s">
        <v>363</v>
      </c>
      <c r="C34" s="2" t="s">
        <v>364</v>
      </c>
      <c r="D34" s="4" t="s">
        <v>365</v>
      </c>
      <c r="E34" s="2" t="s">
        <v>372</v>
      </c>
      <c r="F34" s="2" t="s">
        <v>373</v>
      </c>
      <c r="G34" s="2">
        <v>2008</v>
      </c>
      <c r="H34" s="2">
        <v>2009</v>
      </c>
      <c r="I34" s="2">
        <v>0</v>
      </c>
      <c r="J34" s="2">
        <v>0</v>
      </c>
      <c r="K34" s="2">
        <v>0</v>
      </c>
      <c r="L34" s="2">
        <v>0</v>
      </c>
      <c r="M34" s="2">
        <v>0</v>
      </c>
      <c r="N34" s="12">
        <v>0</v>
      </c>
      <c r="O34" s="4">
        <v>14.8</v>
      </c>
      <c r="P34" s="4">
        <f>(O34-5)*12</f>
        <v>117.60000000000001</v>
      </c>
      <c r="Q34" s="4">
        <v>1451.4</v>
      </c>
      <c r="R34" s="4">
        <v>7</v>
      </c>
      <c r="S34" s="4">
        <v>200</v>
      </c>
      <c r="T34" s="4">
        <v>61.208329999999997</v>
      </c>
      <c r="U34" s="4">
        <v>2161.15</v>
      </c>
      <c r="V34" s="4">
        <v>1.5333300000000001</v>
      </c>
      <c r="W34" s="4">
        <v>0.48</v>
      </c>
      <c r="X34" s="4"/>
      <c r="Y34" s="4">
        <v>4.6900000000000004</v>
      </c>
      <c r="Z34" s="4"/>
      <c r="AA34" s="4"/>
      <c r="AB34" s="4"/>
      <c r="AC34" s="4"/>
      <c r="AD34" s="4">
        <f>(0.025)*1000</f>
        <v>25</v>
      </c>
      <c r="AE34" s="4"/>
      <c r="AF34" s="4"/>
      <c r="AG34" s="4"/>
      <c r="AH34" s="4"/>
      <c r="AI34" s="4"/>
      <c r="AJ34" s="4"/>
      <c r="AK34" s="4"/>
      <c r="AL34" s="4"/>
      <c r="AM34" s="4"/>
      <c r="AN34" s="4"/>
      <c r="AO34" s="4"/>
      <c r="AP34" s="4"/>
      <c r="AQ34" s="4">
        <v>256</v>
      </c>
      <c r="AR34" s="4">
        <v>368</v>
      </c>
      <c r="AS34" s="4"/>
      <c r="AT34" s="4"/>
      <c r="AV34" s="4">
        <v>324</v>
      </c>
      <c r="AW34" s="4">
        <v>2400</v>
      </c>
      <c r="AX34" s="4">
        <v>10.1</v>
      </c>
      <c r="AY34" s="4"/>
      <c r="AZ34" s="4">
        <f t="shared" si="4"/>
        <v>19.228431995561689</v>
      </c>
      <c r="BA34" s="4"/>
      <c r="BB34" s="4"/>
      <c r="BC34" s="4"/>
      <c r="BD34" s="4"/>
      <c r="BE34" s="4"/>
      <c r="BF34" s="4"/>
      <c r="BG34" s="4"/>
      <c r="BH34" s="4"/>
      <c r="BI34" s="4"/>
      <c r="BJ34" s="4"/>
      <c r="BK34" s="4"/>
      <c r="BL34" s="4"/>
      <c r="BM34" s="4">
        <f>1.69*50%</f>
        <v>0.84499999999999997</v>
      </c>
      <c r="BN34" s="4">
        <f>4.64*50%</f>
        <v>2.3199999999999998</v>
      </c>
      <c r="BO34" s="4">
        <f>37.3*50%</f>
        <v>18.649999999999999</v>
      </c>
      <c r="BP34" s="4">
        <f>SUM(BM34:BO34)</f>
        <v>21.814999999999998</v>
      </c>
      <c r="BQ34" s="4">
        <f>BU34/BP34</f>
        <v>1.3183589273435712</v>
      </c>
      <c r="BR34" s="4">
        <f>(23.1+9.92)*50%</f>
        <v>16.510000000000002</v>
      </c>
      <c r="BS34" s="4">
        <f>24.5*50%</f>
        <v>12.25</v>
      </c>
      <c r="BT34" s="4"/>
      <c r="BU34" s="4">
        <f>SUM(BR34:BT34)</f>
        <v>28.76</v>
      </c>
      <c r="BV34" s="4">
        <f t="shared" si="3"/>
        <v>50.575000000000003</v>
      </c>
      <c r="BX34" s="4"/>
      <c r="BY34" s="4"/>
      <c r="BZ34" s="4"/>
      <c r="CA34" s="4"/>
      <c r="CB34" s="4"/>
      <c r="CC34" s="4"/>
      <c r="CD34" s="4">
        <f>5.26*50%</f>
        <v>2.63</v>
      </c>
      <c r="CE34" s="4"/>
      <c r="CF34" s="4"/>
      <c r="CG34" s="4"/>
      <c r="CH34" s="4"/>
      <c r="CI34" s="4"/>
      <c r="CJ34" s="4"/>
      <c r="CK34" s="4"/>
      <c r="CL34" s="4"/>
      <c r="CM34" s="4"/>
      <c r="CN34" s="4"/>
      <c r="CP34" s="2" t="s">
        <v>368</v>
      </c>
      <c r="CQ34" s="2" t="s">
        <v>254</v>
      </c>
      <c r="CR34" s="10" t="s">
        <v>369</v>
      </c>
      <c r="CS34" s="9" t="s">
        <v>256</v>
      </c>
    </row>
    <row r="35" spans="1:97" s="2" customFormat="1" ht="12.75">
      <c r="A35" s="2">
        <v>32</v>
      </c>
      <c r="B35" s="2" t="s">
        <v>374</v>
      </c>
      <c r="C35" s="2" t="s">
        <v>375</v>
      </c>
      <c r="D35" s="4" t="s">
        <v>250</v>
      </c>
      <c r="E35" s="2" t="s">
        <v>376</v>
      </c>
      <c r="F35" s="2" t="s">
        <v>377</v>
      </c>
      <c r="G35" s="2">
        <v>2002</v>
      </c>
      <c r="H35" s="2">
        <v>2003</v>
      </c>
      <c r="I35" s="2">
        <v>0</v>
      </c>
      <c r="J35" s="2">
        <v>0</v>
      </c>
      <c r="K35" s="2">
        <v>0</v>
      </c>
      <c r="L35" s="2">
        <v>0</v>
      </c>
      <c r="M35" s="2">
        <v>0</v>
      </c>
      <c r="N35" s="2">
        <v>0</v>
      </c>
      <c r="O35" s="4">
        <v>16.087499999999999</v>
      </c>
      <c r="P35" s="4">
        <v>133.5</v>
      </c>
      <c r="Q35" s="4">
        <v>1556.5</v>
      </c>
      <c r="R35" s="4">
        <v>0</v>
      </c>
      <c r="S35" s="4">
        <f>(50+92)/2</f>
        <v>71</v>
      </c>
      <c r="U35" s="13">
        <v>1659.6</v>
      </c>
      <c r="V35" s="4">
        <v>2.329167</v>
      </c>
      <c r="W35" s="4"/>
      <c r="X35" s="4"/>
      <c r="Y35" s="4"/>
      <c r="Z35" s="4"/>
      <c r="AA35" s="4"/>
      <c r="AB35" s="4"/>
      <c r="AC35" s="4"/>
      <c r="AD35" s="4"/>
      <c r="AE35" s="4"/>
      <c r="AF35" s="4"/>
      <c r="AG35" s="4"/>
      <c r="AH35" s="4"/>
      <c r="AI35" s="4"/>
      <c r="AJ35" s="4"/>
      <c r="AK35" s="4"/>
      <c r="AL35" s="4"/>
      <c r="AM35" s="4"/>
      <c r="AN35" s="4"/>
      <c r="AO35" s="4"/>
      <c r="AP35" s="4"/>
      <c r="AQ35" s="4"/>
      <c r="AR35" s="4"/>
      <c r="AS35" s="4"/>
      <c r="AT35" s="4"/>
      <c r="AV35" s="4"/>
      <c r="AW35" s="4">
        <f>(8000+8791+5263)/3</f>
        <v>7351.333333333333</v>
      </c>
      <c r="AX35" s="4">
        <f>(8000*12.3+8791*9.8+5263*11.4)/(AW35*3)</f>
        <v>11.088691393851455</v>
      </c>
      <c r="AY35" s="4">
        <f>(8000*17+8791*14.2+5263*15.9)/(AW35*3)</f>
        <v>15.621379341616034</v>
      </c>
      <c r="AZ35" s="4">
        <f t="shared" si="4"/>
        <v>70.993173583070003</v>
      </c>
      <c r="BA35" s="4"/>
      <c r="BB35" s="4"/>
      <c r="BC35" s="4"/>
      <c r="BD35" s="4"/>
      <c r="BE35" s="4"/>
      <c r="BF35" s="4"/>
      <c r="BG35" s="4"/>
      <c r="BH35" s="4"/>
      <c r="BI35" s="4"/>
      <c r="BJ35" s="4"/>
      <c r="BK35" s="4"/>
      <c r="BL35" s="4"/>
      <c r="BM35" s="4"/>
      <c r="BN35" s="4"/>
      <c r="BO35" s="4"/>
      <c r="BP35" s="4">
        <f>((233.1+151.1+138.3)/3)*50%</f>
        <v>87.083333333333329</v>
      </c>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2" t="s">
        <v>378</v>
      </c>
      <c r="CQ35" s="2" t="s">
        <v>254</v>
      </c>
      <c r="CR35" s="10" t="s">
        <v>379</v>
      </c>
      <c r="CS35" s="9" t="s">
        <v>256</v>
      </c>
    </row>
    <row r="36" spans="1:97" s="2" customFormat="1" ht="12.75">
      <c r="A36" s="2">
        <v>33</v>
      </c>
      <c r="B36" s="2" t="s">
        <v>374</v>
      </c>
      <c r="C36" s="2" t="s">
        <v>380</v>
      </c>
      <c r="D36" s="4" t="s">
        <v>365</v>
      </c>
      <c r="E36" s="2" t="s">
        <v>381</v>
      </c>
      <c r="F36" s="2" t="s">
        <v>382</v>
      </c>
      <c r="G36" s="2">
        <v>2005</v>
      </c>
      <c r="H36" s="2">
        <v>2005</v>
      </c>
      <c r="I36" s="2">
        <v>0</v>
      </c>
      <c r="J36" s="2">
        <v>0</v>
      </c>
      <c r="K36" s="2">
        <v>0</v>
      </c>
      <c r="L36" s="2">
        <v>0</v>
      </c>
      <c r="M36" s="2">
        <v>0</v>
      </c>
      <c r="N36" s="12">
        <v>1</v>
      </c>
      <c r="O36" s="4">
        <v>11.3</v>
      </c>
      <c r="P36" s="4">
        <f>(O36-5)*12</f>
        <v>75.600000000000009</v>
      </c>
      <c r="Q36" s="4">
        <v>3244</v>
      </c>
      <c r="R36" s="4">
        <v>425</v>
      </c>
      <c r="S36" s="4">
        <v>330</v>
      </c>
      <c r="T36" s="4"/>
      <c r="U36" s="4">
        <v>1085.9000000000001</v>
      </c>
      <c r="V36" s="4">
        <v>0.74166699999999997</v>
      </c>
      <c r="W36" s="4"/>
      <c r="X36" s="4"/>
      <c r="Y36" s="4"/>
      <c r="Z36" s="4"/>
      <c r="AA36" s="4"/>
      <c r="AB36" s="4"/>
      <c r="AC36" s="4"/>
      <c r="AD36" s="4"/>
      <c r="AE36" s="4"/>
      <c r="AF36" s="4"/>
      <c r="AG36" s="4"/>
      <c r="AH36" s="4"/>
      <c r="AI36" s="4"/>
      <c r="AJ36" s="4"/>
      <c r="AK36" s="4"/>
      <c r="AL36" s="4"/>
      <c r="AM36" s="4"/>
      <c r="AN36" s="4"/>
      <c r="AO36" s="4"/>
      <c r="AP36" s="4"/>
      <c r="AQ36" s="4"/>
      <c r="AR36" s="4"/>
      <c r="AS36" s="4"/>
      <c r="AT36" s="4"/>
      <c r="AV36" s="4"/>
      <c r="AW36" s="4">
        <v>12500</v>
      </c>
      <c r="AX36" s="4">
        <f>(4.63*70+1.78*55)/125</f>
        <v>3.3759999999999999</v>
      </c>
      <c r="AY36" s="4"/>
      <c r="AZ36" s="4">
        <f t="shared" si="4"/>
        <v>11.189347722437693</v>
      </c>
      <c r="BA36" s="4"/>
      <c r="BB36" s="4"/>
      <c r="BC36" s="4"/>
      <c r="BD36" s="4"/>
      <c r="BE36" s="4"/>
      <c r="BF36" s="4"/>
      <c r="BG36" s="4"/>
      <c r="BH36" s="4"/>
      <c r="BI36" s="4"/>
      <c r="BJ36" s="4"/>
      <c r="BK36" s="4"/>
      <c r="BL36" s="4"/>
      <c r="BM36" s="4"/>
      <c r="BN36" s="4"/>
      <c r="BO36" s="4"/>
      <c r="BP36" s="4">
        <f>23.31*50%</f>
        <v>11.654999999999999</v>
      </c>
      <c r="BQ36" s="4">
        <f>BU36/BP36</f>
        <v>1.5096525096525097</v>
      </c>
      <c r="BR36" s="4">
        <f>9.51*50%</f>
        <v>4.7549999999999999</v>
      </c>
      <c r="BS36" s="4">
        <f>15.67*50%</f>
        <v>7.835</v>
      </c>
      <c r="BT36" s="4">
        <f>(7.56+2.45)*50%</f>
        <v>5.0049999999999999</v>
      </c>
      <c r="BU36" s="4">
        <f>SUM(BR36:BT36)</f>
        <v>17.594999999999999</v>
      </c>
      <c r="BV36" s="4">
        <f>BU36+BP36</f>
        <v>29.25</v>
      </c>
      <c r="BW36" s="4"/>
      <c r="BX36" s="4"/>
      <c r="BY36" s="4"/>
      <c r="BZ36" s="4"/>
      <c r="CB36" s="4"/>
      <c r="CC36" s="4"/>
      <c r="CD36" s="4"/>
      <c r="CE36" s="4"/>
      <c r="CF36" s="4"/>
      <c r="CG36" s="4"/>
      <c r="CH36" s="4"/>
      <c r="CI36" s="4"/>
      <c r="CJ36" s="4"/>
      <c r="CK36" s="4"/>
      <c r="CL36" s="4"/>
      <c r="CM36" s="4"/>
      <c r="CN36" s="4"/>
      <c r="CP36" s="2" t="s">
        <v>383</v>
      </c>
      <c r="CQ36" s="2" t="s">
        <v>254</v>
      </c>
      <c r="CR36" s="10" t="s">
        <v>384</v>
      </c>
      <c r="CS36" s="9" t="s">
        <v>256</v>
      </c>
    </row>
    <row r="37" spans="1:97" s="2" customFormat="1" ht="12.75">
      <c r="A37" s="2">
        <v>34</v>
      </c>
      <c r="B37" s="2" t="s">
        <v>374</v>
      </c>
      <c r="C37" s="2" t="s">
        <v>380</v>
      </c>
      <c r="D37" s="4" t="s">
        <v>365</v>
      </c>
      <c r="E37" s="2" t="s">
        <v>385</v>
      </c>
      <c r="F37" s="2" t="s">
        <v>386</v>
      </c>
      <c r="G37" s="2">
        <v>2002</v>
      </c>
      <c r="H37" s="2">
        <v>2005</v>
      </c>
      <c r="I37" s="2">
        <v>1</v>
      </c>
      <c r="J37" s="2">
        <v>0</v>
      </c>
      <c r="K37" s="2">
        <v>1</v>
      </c>
      <c r="L37" s="2">
        <v>0</v>
      </c>
      <c r="M37" s="2">
        <v>0</v>
      </c>
      <c r="N37" s="2">
        <v>0</v>
      </c>
      <c r="O37" s="4">
        <v>16.177083333333332</v>
      </c>
      <c r="P37" s="4">
        <v>135.35</v>
      </c>
      <c r="Q37" s="4">
        <v>1759.125</v>
      </c>
      <c r="R37" s="4">
        <v>56.75</v>
      </c>
      <c r="S37" s="4">
        <v>70</v>
      </c>
      <c r="T37" s="4">
        <v>64.9375</v>
      </c>
      <c r="U37" s="4">
        <v>2042.8500000000001</v>
      </c>
      <c r="V37" s="4">
        <v>2.5979166666666664</v>
      </c>
      <c r="W37" s="4"/>
      <c r="X37" s="4"/>
      <c r="Y37" s="4"/>
      <c r="Z37" s="4"/>
      <c r="AA37" s="4"/>
      <c r="AB37" s="4"/>
      <c r="AC37" s="4"/>
      <c r="AD37" s="4"/>
      <c r="AE37" s="4"/>
      <c r="AF37" s="4"/>
      <c r="AG37" s="4"/>
      <c r="AH37" s="4"/>
      <c r="AI37" s="4"/>
      <c r="AJ37" s="4"/>
      <c r="AK37" s="4"/>
      <c r="AL37" s="4"/>
      <c r="AM37" s="4"/>
      <c r="AN37" s="4"/>
      <c r="AO37" s="4"/>
      <c r="AP37" s="4"/>
      <c r="AQ37" s="4"/>
      <c r="AR37" s="4"/>
      <c r="AS37" s="4"/>
      <c r="AT37" s="4"/>
      <c r="AV37" s="4"/>
      <c r="AW37" s="4">
        <v>3240</v>
      </c>
      <c r="AX37" s="4">
        <v>8.1999999999999993</v>
      </c>
      <c r="AY37" s="4"/>
      <c r="AZ37" s="4">
        <f t="shared" si="4"/>
        <v>17.110495892217592</v>
      </c>
      <c r="BA37" s="4"/>
      <c r="BB37" s="4"/>
      <c r="BC37" s="4"/>
      <c r="BD37" s="4">
        <v>45.2</v>
      </c>
      <c r="BE37" s="4">
        <v>48.2</v>
      </c>
      <c r="BF37" s="4">
        <v>48.9</v>
      </c>
      <c r="BG37" s="4">
        <v>44.8</v>
      </c>
      <c r="BH37" s="4"/>
      <c r="BI37" s="4">
        <v>45.6</v>
      </c>
      <c r="BJ37" s="4"/>
      <c r="BK37" s="4"/>
      <c r="BL37" s="4"/>
      <c r="BM37" s="4"/>
      <c r="BN37" s="4">
        <v>4.5999999999999996</v>
      </c>
      <c r="BO37" s="4">
        <v>18</v>
      </c>
      <c r="BP37" s="4">
        <f>SUM(BM37:BO37)</f>
        <v>22.6</v>
      </c>
      <c r="BQ37" s="4">
        <f>BU37/BP37</f>
        <v>1.5088495575221239</v>
      </c>
      <c r="BR37" s="4">
        <v>11.8</v>
      </c>
      <c r="BS37" s="4">
        <v>14</v>
      </c>
      <c r="BT37" s="4">
        <v>8.3000000000000007</v>
      </c>
      <c r="BU37" s="4">
        <f>SUM(BR37:BT37)</f>
        <v>34.1</v>
      </c>
      <c r="BV37" s="4">
        <f>BU37+BP37</f>
        <v>56.7</v>
      </c>
      <c r="BW37" s="4"/>
      <c r="BX37" s="4">
        <v>84.3</v>
      </c>
      <c r="BY37" s="4"/>
      <c r="BZ37" s="4">
        <f>BV37+BX37</f>
        <v>141</v>
      </c>
      <c r="CA37" s="4"/>
      <c r="CB37" s="4"/>
      <c r="CC37" s="4"/>
      <c r="CD37" s="4">
        <v>2.8</v>
      </c>
      <c r="CE37" s="4"/>
      <c r="CF37" s="4"/>
      <c r="CG37" s="4"/>
      <c r="CH37" s="4"/>
      <c r="CI37" s="4"/>
      <c r="CJ37" s="4"/>
      <c r="CK37" s="4"/>
      <c r="CL37" s="4"/>
      <c r="CM37" s="4"/>
      <c r="CN37" s="4"/>
      <c r="CO37" s="4"/>
      <c r="CP37" s="2" t="s">
        <v>387</v>
      </c>
      <c r="CQ37" s="2" t="s">
        <v>254</v>
      </c>
      <c r="CR37" s="10" t="s">
        <v>388</v>
      </c>
      <c r="CS37" s="9" t="s">
        <v>256</v>
      </c>
    </row>
    <row r="38" spans="1:97" s="2" customFormat="1" ht="12.75">
      <c r="A38" s="2">
        <v>35</v>
      </c>
      <c r="B38" s="2" t="s">
        <v>374</v>
      </c>
      <c r="C38" s="2" t="s">
        <v>380</v>
      </c>
      <c r="D38" s="4" t="s">
        <v>365</v>
      </c>
      <c r="E38" s="2" t="s">
        <v>389</v>
      </c>
      <c r="F38" s="2" t="s">
        <v>390</v>
      </c>
      <c r="G38" s="2">
        <v>2002</v>
      </c>
      <c r="H38" s="2">
        <v>2005</v>
      </c>
      <c r="I38" s="2">
        <v>0</v>
      </c>
      <c r="J38" s="2">
        <v>0</v>
      </c>
      <c r="K38" s="2">
        <v>0</v>
      </c>
      <c r="L38" s="2">
        <v>0</v>
      </c>
      <c r="M38" s="2">
        <v>0</v>
      </c>
      <c r="N38" s="2">
        <v>0</v>
      </c>
      <c r="O38" s="4">
        <v>16.177083333333332</v>
      </c>
      <c r="P38" s="4">
        <v>135.35</v>
      </c>
      <c r="Q38" s="4">
        <v>1759.125</v>
      </c>
      <c r="R38" s="4">
        <v>56.75</v>
      </c>
      <c r="S38" s="4">
        <v>70</v>
      </c>
      <c r="T38" s="4">
        <v>64.9375</v>
      </c>
      <c r="U38" s="4">
        <v>2042.8500000000001</v>
      </c>
      <c r="V38" s="4">
        <v>2.5979166666666664</v>
      </c>
      <c r="W38" s="4"/>
      <c r="X38" s="4"/>
      <c r="Y38" s="4"/>
      <c r="Z38" s="4"/>
      <c r="AA38" s="4"/>
      <c r="AB38" s="4"/>
      <c r="AC38" s="4"/>
      <c r="AD38" s="4"/>
      <c r="AE38" s="4"/>
      <c r="AF38" s="4"/>
      <c r="AG38" s="4"/>
      <c r="AH38" s="4"/>
      <c r="AI38" s="4"/>
      <c r="AJ38" s="4"/>
      <c r="AK38" s="4"/>
      <c r="AL38" s="4"/>
      <c r="AM38" s="4"/>
      <c r="AN38" s="4"/>
      <c r="AO38" s="4"/>
      <c r="AP38" s="4"/>
      <c r="AQ38" s="4"/>
      <c r="AR38" s="4"/>
      <c r="AS38" s="4"/>
      <c r="AT38" s="4"/>
      <c r="AV38" s="4"/>
      <c r="AW38" s="4">
        <v>8200</v>
      </c>
      <c r="AX38" s="4">
        <v>7.5</v>
      </c>
      <c r="AY38" s="4"/>
      <c r="AZ38" s="4">
        <f t="shared" si="4"/>
        <v>36.226490286707303</v>
      </c>
      <c r="BA38" s="4"/>
      <c r="BB38" s="4"/>
      <c r="BC38" s="4"/>
      <c r="BD38" s="4">
        <v>45.2</v>
      </c>
      <c r="BE38" s="4">
        <v>48.2</v>
      </c>
      <c r="BF38" s="4">
        <v>48.9</v>
      </c>
      <c r="BG38" s="4">
        <v>44.8</v>
      </c>
      <c r="BH38" s="4"/>
      <c r="BI38" s="4">
        <v>45.6</v>
      </c>
      <c r="BJ38" s="4"/>
      <c r="BK38" s="4"/>
      <c r="BL38" s="4"/>
      <c r="BM38" s="4"/>
      <c r="BN38" s="4">
        <v>8.1</v>
      </c>
      <c r="BO38" s="4">
        <v>31.6</v>
      </c>
      <c r="BP38" s="4">
        <f>SUM(BM38:BO38)</f>
        <v>39.700000000000003</v>
      </c>
      <c r="BQ38" s="4">
        <f>BU38/BP38</f>
        <v>1.1435768261964734</v>
      </c>
      <c r="BR38" s="4">
        <v>19.8</v>
      </c>
      <c r="BS38" s="4">
        <v>13</v>
      </c>
      <c r="BT38" s="4">
        <v>12.6</v>
      </c>
      <c r="BU38" s="4">
        <f>SUM(BR38:BT38)</f>
        <v>45.4</v>
      </c>
      <c r="BV38" s="4">
        <f>BU38+BP38</f>
        <v>85.1</v>
      </c>
      <c r="BW38" s="4"/>
      <c r="BX38" s="4">
        <v>61.3</v>
      </c>
      <c r="BY38" s="4"/>
      <c r="BZ38" s="4">
        <f>BV38+BX38</f>
        <v>146.39999999999998</v>
      </c>
      <c r="CA38" s="4"/>
      <c r="CB38" s="4"/>
      <c r="CC38" s="4"/>
      <c r="CD38" s="4">
        <v>4.7</v>
      </c>
      <c r="CE38" s="4"/>
      <c r="CF38" s="4"/>
      <c r="CG38" s="4"/>
      <c r="CH38" s="4"/>
      <c r="CI38" s="4"/>
      <c r="CJ38" s="4"/>
      <c r="CK38" s="4"/>
      <c r="CL38" s="4"/>
      <c r="CM38" s="4"/>
      <c r="CN38" s="4"/>
      <c r="CO38" s="4"/>
      <c r="CP38" s="2" t="s">
        <v>391</v>
      </c>
      <c r="CQ38" s="2" t="s">
        <v>254</v>
      </c>
      <c r="CR38" s="10" t="s">
        <v>388</v>
      </c>
      <c r="CS38" s="9" t="s">
        <v>256</v>
      </c>
    </row>
    <row r="39" spans="1:97" s="2" customFormat="1" ht="12.75">
      <c r="A39" s="2">
        <v>36</v>
      </c>
      <c r="B39" s="2" t="s">
        <v>374</v>
      </c>
      <c r="C39" s="2" t="s">
        <v>380</v>
      </c>
      <c r="D39" s="4" t="s">
        <v>365</v>
      </c>
      <c r="E39" s="2" t="s">
        <v>392</v>
      </c>
      <c r="F39" s="2" t="s">
        <v>393</v>
      </c>
      <c r="G39" s="2">
        <v>2002</v>
      </c>
      <c r="H39" s="2">
        <v>2005</v>
      </c>
      <c r="I39" s="2">
        <v>0</v>
      </c>
      <c r="J39" s="2">
        <v>0</v>
      </c>
      <c r="K39" s="2">
        <v>0</v>
      </c>
      <c r="L39" s="2">
        <v>0</v>
      </c>
      <c r="M39" s="2">
        <v>0</v>
      </c>
      <c r="N39" s="2">
        <v>1</v>
      </c>
      <c r="O39" s="4">
        <v>13.062499999999995</v>
      </c>
      <c r="P39" s="4">
        <v>105.32499999999999</v>
      </c>
      <c r="Q39" s="4">
        <v>3462.5</v>
      </c>
      <c r="R39" s="4">
        <v>437.75</v>
      </c>
      <c r="S39" s="4">
        <v>330</v>
      </c>
      <c r="T39" s="4"/>
      <c r="U39" s="4">
        <v>1223.2</v>
      </c>
      <c r="V39" s="4">
        <v>0.89166666666666672</v>
      </c>
      <c r="W39" s="4"/>
      <c r="X39" s="4"/>
      <c r="Y39" s="4"/>
      <c r="Z39" s="4"/>
      <c r="AA39" s="4"/>
      <c r="AB39" s="4"/>
      <c r="AC39" s="4"/>
      <c r="AD39" s="4"/>
      <c r="AE39" s="4"/>
      <c r="AF39" s="4"/>
      <c r="AG39" s="4"/>
      <c r="AH39" s="4"/>
      <c r="AI39" s="4"/>
      <c r="AJ39" s="4"/>
      <c r="AK39" s="4"/>
      <c r="AL39" s="4"/>
      <c r="AM39" s="4"/>
      <c r="AN39" s="4"/>
      <c r="AO39" s="4"/>
      <c r="AP39" s="4"/>
      <c r="AQ39" s="4"/>
      <c r="AR39" s="4"/>
      <c r="AS39" s="4"/>
      <c r="AT39" s="4"/>
      <c r="AV39" s="4"/>
      <c r="AW39" s="4">
        <v>8125</v>
      </c>
      <c r="AX39" s="4">
        <v>5.0999999999999996</v>
      </c>
      <c r="AY39" s="4"/>
      <c r="AZ39" s="4">
        <f t="shared" si="4"/>
        <v>16.597917561848696</v>
      </c>
      <c r="BA39" s="4"/>
      <c r="BB39" s="4"/>
      <c r="BC39" s="4"/>
      <c r="BD39" s="4">
        <v>45.2</v>
      </c>
      <c r="BE39" s="4">
        <v>48.2</v>
      </c>
      <c r="BF39" s="4">
        <v>48.9</v>
      </c>
      <c r="BG39" s="4">
        <v>44.8</v>
      </c>
      <c r="BH39" s="4"/>
      <c r="BI39" s="4">
        <v>45.6</v>
      </c>
      <c r="BJ39" s="4"/>
      <c r="BK39" s="4"/>
      <c r="BL39" s="4"/>
      <c r="BM39" s="4"/>
      <c r="BN39" s="4">
        <v>3.3</v>
      </c>
      <c r="BO39" s="4">
        <v>17.2</v>
      </c>
      <c r="BP39" s="4">
        <f>SUM(BM39:BO39)</f>
        <v>20.5</v>
      </c>
      <c r="BQ39" s="4">
        <f>BU39/BP39</f>
        <v>2.1804878048780485</v>
      </c>
      <c r="BR39" s="4">
        <v>23.9</v>
      </c>
      <c r="BS39" s="4">
        <v>15.7</v>
      </c>
      <c r="BT39" s="4">
        <v>5.0999999999999996</v>
      </c>
      <c r="BU39" s="4">
        <f>SUM(BR39:BT39)</f>
        <v>44.699999999999996</v>
      </c>
      <c r="BV39" s="4">
        <f>BU39+BP39</f>
        <v>65.199999999999989</v>
      </c>
      <c r="BW39" s="4"/>
      <c r="BX39" s="4">
        <v>113.8</v>
      </c>
      <c r="BY39" s="4"/>
      <c r="BZ39" s="4">
        <f>BV39+BX39</f>
        <v>179</v>
      </c>
      <c r="CA39" s="4"/>
      <c r="CB39" s="4"/>
      <c r="CC39" s="4"/>
      <c r="CD39" s="4">
        <v>10.5</v>
      </c>
      <c r="CE39" s="4"/>
      <c r="CF39" s="4"/>
      <c r="CG39" s="4"/>
      <c r="CH39" s="4"/>
      <c r="CI39" s="4"/>
      <c r="CJ39" s="4"/>
      <c r="CK39" s="4"/>
      <c r="CL39" s="4"/>
      <c r="CM39" s="4"/>
      <c r="CN39" s="4"/>
      <c r="CO39" s="4"/>
      <c r="CP39" s="2" t="s">
        <v>387</v>
      </c>
      <c r="CQ39" s="2" t="s">
        <v>254</v>
      </c>
      <c r="CR39" s="10" t="s">
        <v>388</v>
      </c>
      <c r="CS39" s="9" t="s">
        <v>256</v>
      </c>
    </row>
    <row r="40" spans="1:97" s="2" customFormat="1" ht="12.75">
      <c r="A40" s="2">
        <v>37</v>
      </c>
      <c r="B40" s="2" t="s">
        <v>363</v>
      </c>
      <c r="C40" s="2" t="s">
        <v>394</v>
      </c>
      <c r="D40" s="4" t="s">
        <v>250</v>
      </c>
      <c r="E40" s="2" t="s">
        <v>395</v>
      </c>
      <c r="F40" s="2" t="s">
        <v>396</v>
      </c>
      <c r="G40" s="2">
        <v>2006</v>
      </c>
      <c r="H40" s="2">
        <v>2016</v>
      </c>
      <c r="I40" s="2">
        <v>0</v>
      </c>
      <c r="J40" s="2">
        <v>0</v>
      </c>
      <c r="K40" s="2">
        <v>0</v>
      </c>
      <c r="L40" s="2">
        <v>0</v>
      </c>
      <c r="M40" s="2">
        <v>0</v>
      </c>
      <c r="N40" s="2">
        <v>0</v>
      </c>
      <c r="O40" s="4">
        <v>17.5</v>
      </c>
      <c r="P40" s="4">
        <f>(O40-5)*12</f>
        <v>150</v>
      </c>
      <c r="Q40" s="4">
        <v>2719</v>
      </c>
      <c r="R40" s="4">
        <v>1.1000000000000001</v>
      </c>
      <c r="S40" s="4">
        <v>60</v>
      </c>
      <c r="T40" s="4">
        <v>69.340909999999994</v>
      </c>
      <c r="U40" s="4">
        <v>2353.88</v>
      </c>
      <c r="V40" s="4">
        <v>1.72197</v>
      </c>
      <c r="W40" s="4"/>
      <c r="X40" s="4"/>
      <c r="Y40" s="4"/>
      <c r="Z40" s="4"/>
      <c r="AA40" s="4"/>
      <c r="AB40" s="4"/>
      <c r="AC40" s="4"/>
      <c r="AD40" s="4"/>
      <c r="AE40" s="4"/>
      <c r="AF40" s="4"/>
      <c r="AG40" s="4"/>
      <c r="AH40" s="4"/>
      <c r="AI40" s="4"/>
      <c r="AJ40" s="4"/>
      <c r="AK40" s="4"/>
      <c r="AL40" s="4"/>
      <c r="AM40" s="4"/>
      <c r="AN40" s="4"/>
      <c r="AO40" s="4"/>
      <c r="AP40" s="4"/>
      <c r="AQ40" s="4"/>
      <c r="AR40" s="4"/>
      <c r="AS40" s="4"/>
      <c r="AT40" s="4"/>
      <c r="AV40" s="4"/>
      <c r="AW40" s="4">
        <f>(9870+7307)/2</f>
        <v>8588.5</v>
      </c>
      <c r="AX40" s="4">
        <f>(11+13)/2</f>
        <v>12</v>
      </c>
      <c r="AY40" s="4"/>
      <c r="AZ40" s="4">
        <f t="shared" si="4"/>
        <v>97.133646619281379</v>
      </c>
      <c r="BA40" s="4"/>
      <c r="BB40" s="4">
        <v>6.9</v>
      </c>
      <c r="BC40" s="4"/>
      <c r="BD40" s="4"/>
      <c r="BE40" s="4"/>
      <c r="BF40" s="4"/>
      <c r="BG40" s="4"/>
      <c r="BH40" s="4"/>
      <c r="BI40" s="4"/>
      <c r="BJ40" s="4"/>
      <c r="BK40" s="4"/>
      <c r="BL40" s="4"/>
      <c r="BM40" s="4"/>
      <c r="BN40" s="4"/>
      <c r="BO40" s="4"/>
      <c r="BP40" s="4">
        <f>(170+200)/2*50%</f>
        <v>92.5</v>
      </c>
      <c r="BQ40" s="4"/>
      <c r="BR40" s="4"/>
      <c r="BS40" s="4"/>
      <c r="BT40" s="4"/>
      <c r="BU40" s="4"/>
      <c r="BV40" s="4"/>
      <c r="BW40" s="4"/>
      <c r="BX40" s="4"/>
      <c r="BY40" s="4"/>
      <c r="BZ40" s="4"/>
      <c r="CA40" s="4"/>
      <c r="CB40" s="4"/>
      <c r="CC40" s="4"/>
      <c r="CD40" s="4">
        <f>4.2*50%</f>
        <v>2.1</v>
      </c>
      <c r="CE40" s="4"/>
      <c r="CF40" s="4"/>
      <c r="CG40" s="4"/>
      <c r="CH40" s="4"/>
      <c r="CI40" s="4"/>
      <c r="CJ40" s="4"/>
      <c r="CK40" s="4"/>
      <c r="CL40" s="4"/>
      <c r="CM40" s="4"/>
      <c r="CN40" s="4"/>
      <c r="CO40" s="4"/>
      <c r="CP40" s="2" t="s">
        <v>397</v>
      </c>
      <c r="CQ40" s="2" t="s">
        <v>254</v>
      </c>
      <c r="CR40" s="10" t="s">
        <v>398</v>
      </c>
      <c r="CS40" s="9" t="s">
        <v>256</v>
      </c>
    </row>
    <row r="41" spans="1:97" s="2" customFormat="1" ht="12.75">
      <c r="A41" s="2">
        <v>38</v>
      </c>
      <c r="B41" s="2" t="s">
        <v>374</v>
      </c>
      <c r="C41" s="2" t="s">
        <v>399</v>
      </c>
      <c r="D41" s="4" t="s">
        <v>365</v>
      </c>
      <c r="E41" s="2" t="s">
        <v>400</v>
      </c>
      <c r="F41" s="2" t="s">
        <v>401</v>
      </c>
      <c r="G41" s="2">
        <v>2008</v>
      </c>
      <c r="H41" s="2">
        <v>2008</v>
      </c>
      <c r="I41" s="2">
        <v>0</v>
      </c>
      <c r="J41" s="2">
        <v>0</v>
      </c>
      <c r="K41" s="2">
        <v>0</v>
      </c>
      <c r="L41" s="2">
        <v>0</v>
      </c>
      <c r="M41" s="2">
        <v>0</v>
      </c>
      <c r="N41" s="12">
        <v>0</v>
      </c>
      <c r="O41" s="4">
        <v>16.75</v>
      </c>
      <c r="P41" s="4">
        <v>141</v>
      </c>
      <c r="Q41" s="4">
        <v>1086.5</v>
      </c>
      <c r="R41" s="4">
        <v>0</v>
      </c>
      <c r="S41" s="4">
        <v>88</v>
      </c>
      <c r="T41" s="4">
        <v>65.416669999999996</v>
      </c>
      <c r="U41" s="4">
        <v>2016.9</v>
      </c>
      <c r="V41" s="4">
        <v>2.35</v>
      </c>
      <c r="W41" s="4"/>
      <c r="X41" s="4"/>
      <c r="Y41" s="4"/>
      <c r="Z41" s="4"/>
      <c r="AA41" s="4"/>
      <c r="AB41" s="4"/>
      <c r="AC41" s="4"/>
      <c r="AD41" s="4"/>
      <c r="AE41" s="4"/>
      <c r="AF41" s="4"/>
      <c r="AG41" s="4"/>
      <c r="AH41" s="4"/>
      <c r="AI41" s="4"/>
      <c r="AJ41" s="4"/>
      <c r="AK41" s="4"/>
      <c r="AL41" s="4"/>
      <c r="AM41" s="4"/>
      <c r="AN41" s="4"/>
      <c r="AO41" s="4"/>
      <c r="AP41" s="4"/>
      <c r="AQ41" s="4"/>
      <c r="AR41" s="4"/>
      <c r="AS41" s="4"/>
      <c r="AT41" s="4"/>
      <c r="AV41" s="4"/>
      <c r="AW41" s="4"/>
      <c r="AX41" s="4"/>
      <c r="AY41" s="4"/>
      <c r="AZ41" s="4"/>
      <c r="BA41" s="4"/>
      <c r="BB41" s="4"/>
      <c r="BC41" s="4"/>
      <c r="BD41" s="4"/>
      <c r="BE41" s="4"/>
      <c r="BF41" s="4"/>
      <c r="BG41" s="4"/>
      <c r="BH41" s="4"/>
      <c r="BI41" s="4"/>
      <c r="BJ41" s="4"/>
      <c r="BK41" s="4"/>
      <c r="BL41" s="4"/>
      <c r="BM41" s="4"/>
      <c r="BN41" s="4"/>
      <c r="BO41" s="4"/>
      <c r="BP41" s="4">
        <f>84.2</f>
        <v>84.2</v>
      </c>
      <c r="BQ41" s="4"/>
      <c r="BR41" s="4"/>
      <c r="BS41" s="4"/>
      <c r="BT41" s="4"/>
      <c r="BU41" s="4"/>
      <c r="BV41" s="4"/>
      <c r="BX41" s="4"/>
      <c r="BY41" s="4"/>
      <c r="BZ41" s="4"/>
      <c r="CA41" s="4"/>
      <c r="CB41" s="4"/>
      <c r="CC41" s="4"/>
      <c r="CD41" s="4">
        <v>3.49</v>
      </c>
      <c r="CE41" s="4"/>
      <c r="CF41" s="4"/>
      <c r="CG41" s="4"/>
      <c r="CH41" s="4"/>
      <c r="CI41" s="4"/>
      <c r="CJ41" s="4"/>
      <c r="CK41" s="4"/>
      <c r="CL41" s="4"/>
      <c r="CM41" s="4"/>
      <c r="CN41" s="4"/>
      <c r="CP41" s="2" t="s">
        <v>402</v>
      </c>
      <c r="CQ41" s="2" t="s">
        <v>254</v>
      </c>
      <c r="CR41" s="10" t="s">
        <v>403</v>
      </c>
      <c r="CS41" s="9" t="s">
        <v>256</v>
      </c>
    </row>
    <row r="42" spans="1:97" s="2" customFormat="1" ht="12.75">
      <c r="A42" s="2">
        <v>39</v>
      </c>
      <c r="B42" s="2" t="s">
        <v>374</v>
      </c>
      <c r="C42" s="2" t="s">
        <v>404</v>
      </c>
      <c r="D42" s="4" t="s">
        <v>365</v>
      </c>
      <c r="E42" s="2" t="s">
        <v>405</v>
      </c>
      <c r="F42" s="2" t="s">
        <v>406</v>
      </c>
      <c r="G42" s="2">
        <v>2008</v>
      </c>
      <c r="H42" s="2">
        <v>2008</v>
      </c>
      <c r="I42" s="2">
        <v>0</v>
      </c>
      <c r="J42" s="2">
        <v>0</v>
      </c>
      <c r="K42" s="2">
        <v>0</v>
      </c>
      <c r="L42" s="2">
        <v>0</v>
      </c>
      <c r="M42" s="2">
        <v>0</v>
      </c>
      <c r="N42" s="12">
        <v>1</v>
      </c>
      <c r="O42" s="4">
        <v>16.75</v>
      </c>
      <c r="P42" s="4">
        <v>141</v>
      </c>
      <c r="Q42" s="4">
        <v>1086.5</v>
      </c>
      <c r="R42" s="4">
        <v>0</v>
      </c>
      <c r="S42" s="4">
        <v>88</v>
      </c>
      <c r="T42" s="4">
        <v>65.416669999999996</v>
      </c>
      <c r="U42" s="4">
        <v>2016.9</v>
      </c>
      <c r="V42" s="4">
        <v>2.35</v>
      </c>
      <c r="W42" s="4"/>
      <c r="X42" s="4"/>
      <c r="Y42" s="4"/>
      <c r="Z42" s="4"/>
      <c r="AA42" s="4"/>
      <c r="AB42" s="4"/>
      <c r="AC42" s="4"/>
      <c r="AD42" s="4"/>
      <c r="AE42" s="4"/>
      <c r="AF42" s="4"/>
      <c r="AG42" s="4"/>
      <c r="AH42" s="4"/>
      <c r="AI42" s="4"/>
      <c r="AJ42" s="4"/>
      <c r="AK42" s="4"/>
      <c r="AL42" s="4"/>
      <c r="AM42" s="4"/>
      <c r="AN42" s="4"/>
      <c r="AO42" s="4"/>
      <c r="AP42" s="4"/>
      <c r="AQ42" s="4"/>
      <c r="AR42" s="4"/>
      <c r="AS42" s="4"/>
      <c r="AT42" s="4"/>
      <c r="AV42" s="4"/>
      <c r="AW42" s="4"/>
      <c r="AX42" s="4"/>
      <c r="AY42" s="4"/>
      <c r="AZ42" s="4"/>
      <c r="BA42" s="4"/>
      <c r="BB42" s="4"/>
      <c r="BC42" s="4"/>
      <c r="BD42" s="4"/>
      <c r="BE42" s="4"/>
      <c r="BF42" s="4"/>
      <c r="BG42" s="4"/>
      <c r="BH42" s="4"/>
      <c r="BI42" s="4"/>
      <c r="BJ42" s="4"/>
      <c r="BK42" s="4"/>
      <c r="BL42" s="4"/>
      <c r="BM42" s="4"/>
      <c r="BN42" s="4"/>
      <c r="BO42" s="4"/>
      <c r="BP42" s="4">
        <f>(103.2+116.7+92.3+61.1+88.2)/5</f>
        <v>92.3</v>
      </c>
      <c r="BQ42" s="4"/>
      <c r="BR42" s="4"/>
      <c r="BS42" s="4"/>
      <c r="BT42" s="4"/>
      <c r="BU42" s="4"/>
      <c r="BV42" s="4"/>
      <c r="BX42" s="4"/>
      <c r="BY42" s="4"/>
      <c r="BZ42" s="4"/>
      <c r="CA42" s="4"/>
      <c r="CB42" s="4"/>
      <c r="CC42" s="4"/>
      <c r="CD42" s="4">
        <f>(4.14+4.65+4.2+4.02+2.87)/5</f>
        <v>3.976</v>
      </c>
      <c r="CE42" s="4"/>
      <c r="CF42" s="4"/>
      <c r="CG42" s="4"/>
      <c r="CH42" s="4"/>
      <c r="CI42" s="4"/>
      <c r="CJ42" s="4"/>
      <c r="CK42" s="4"/>
      <c r="CL42" s="4"/>
      <c r="CM42" s="4"/>
      <c r="CN42" s="4"/>
      <c r="CP42" s="2" t="s">
        <v>402</v>
      </c>
      <c r="CQ42" s="2" t="s">
        <v>254</v>
      </c>
      <c r="CR42" s="10" t="s">
        <v>407</v>
      </c>
      <c r="CS42" s="9" t="s">
        <v>256</v>
      </c>
    </row>
    <row r="43" spans="1:97" s="2" customFormat="1" ht="12.75">
      <c r="A43" s="2">
        <v>40</v>
      </c>
      <c r="B43" s="2" t="s">
        <v>374</v>
      </c>
      <c r="C43" s="2" t="s">
        <v>408</v>
      </c>
      <c r="D43" s="4" t="s">
        <v>250</v>
      </c>
      <c r="E43" s="2" t="s">
        <v>409</v>
      </c>
      <c r="F43" s="2" t="s">
        <v>410</v>
      </c>
      <c r="G43" s="2">
        <v>2009</v>
      </c>
      <c r="H43" s="2">
        <v>2009</v>
      </c>
      <c r="I43" s="2">
        <v>0</v>
      </c>
      <c r="J43" s="2">
        <v>0</v>
      </c>
      <c r="K43" s="2">
        <v>0</v>
      </c>
      <c r="L43" s="2">
        <v>0</v>
      </c>
      <c r="M43" s="2">
        <v>0</v>
      </c>
      <c r="N43" s="2">
        <v>0</v>
      </c>
      <c r="O43" s="4">
        <v>16.258333333333336</v>
      </c>
      <c r="P43" s="4">
        <f>(O43-5)*12</f>
        <v>135.10000000000002</v>
      </c>
      <c r="Q43" s="4">
        <v>1831.5</v>
      </c>
      <c r="R43" s="4">
        <v>5</v>
      </c>
      <c r="S43" s="4">
        <f>(320+80)/2</f>
        <v>200</v>
      </c>
      <c r="T43" s="4">
        <v>75.833333333333329</v>
      </c>
      <c r="U43" s="4">
        <v>1872.5</v>
      </c>
      <c r="V43" s="4">
        <v>1.4333333333333333</v>
      </c>
      <c r="W43" s="4"/>
      <c r="X43" s="4"/>
      <c r="Y43" s="4"/>
      <c r="Z43" s="4"/>
      <c r="AA43" s="4"/>
      <c r="AB43" s="4"/>
      <c r="AC43" s="4"/>
      <c r="AD43" s="4"/>
      <c r="AE43" s="4"/>
      <c r="AF43" s="4"/>
      <c r="AG43" s="4"/>
      <c r="AH43" s="4"/>
      <c r="AI43" s="4"/>
      <c r="AJ43" s="4"/>
      <c r="AK43" s="4"/>
      <c r="AL43" s="4"/>
      <c r="AM43" s="4"/>
      <c r="AN43" s="4"/>
      <c r="AO43" s="4"/>
      <c r="AP43" s="4"/>
      <c r="AQ43" s="4"/>
      <c r="AR43" s="4"/>
      <c r="AS43" s="4"/>
      <c r="AT43" s="4"/>
      <c r="AV43" s="4"/>
      <c r="AW43" s="4">
        <f>(6130+5000)/2</f>
        <v>5565</v>
      </c>
      <c r="AX43" s="4">
        <f>(12.9+13.9)/2</f>
        <v>13.4</v>
      </c>
      <c r="AY43" s="4">
        <f>(17.9+18.1)/2</f>
        <v>18</v>
      </c>
      <c r="AZ43" s="4">
        <f>(83+76.8)/2</f>
        <v>79.900000000000006</v>
      </c>
      <c r="BA43" s="4"/>
      <c r="BB43" s="4"/>
      <c r="BC43" s="4"/>
      <c r="BD43" s="4"/>
      <c r="BE43" s="4"/>
      <c r="BF43" s="4"/>
      <c r="BG43" s="4"/>
      <c r="BH43" s="4"/>
      <c r="BI43" s="4"/>
      <c r="BJ43" s="4"/>
      <c r="BK43" s="4"/>
      <c r="BL43" s="4"/>
      <c r="BM43" s="4"/>
      <c r="BN43" s="4">
        <f>(17.01+18.71)/2*0.5</f>
        <v>8.93</v>
      </c>
      <c r="BO43" s="4">
        <f>(129.63+101.28)/2*0.5</f>
        <v>57.727499999999999</v>
      </c>
      <c r="BP43" s="4">
        <f>SUM(BM43:BO43)</f>
        <v>66.657499999999999</v>
      </c>
      <c r="BQ43" s="4"/>
      <c r="BR43" s="4"/>
      <c r="BS43" s="4"/>
      <c r="BT43" s="4"/>
      <c r="BU43" s="4"/>
      <c r="BV43" s="4"/>
      <c r="BW43" s="4"/>
      <c r="BX43" s="4"/>
      <c r="BY43" s="4"/>
      <c r="BZ43" s="4"/>
      <c r="CA43" s="4"/>
      <c r="CB43" s="4">
        <f>(1.22+2.73)/2*0.5</f>
        <v>0.98750000000000004</v>
      </c>
      <c r="CC43" s="4">
        <f>(7.04+12.44)/2*0.5</f>
        <v>4.87</v>
      </c>
      <c r="CD43" s="4"/>
      <c r="CE43" s="4"/>
      <c r="CF43" s="4">
        <f>SUM(CA43:CD43)</f>
        <v>5.8574999999999999</v>
      </c>
      <c r="CG43" s="4"/>
      <c r="CH43" s="4"/>
      <c r="CI43" s="4"/>
      <c r="CJ43" s="4"/>
      <c r="CK43" s="4"/>
      <c r="CL43" s="4"/>
      <c r="CM43" s="4"/>
      <c r="CN43" s="4"/>
      <c r="CO43" s="4"/>
      <c r="CP43" s="2" t="s">
        <v>411</v>
      </c>
      <c r="CQ43" s="2" t="s">
        <v>254</v>
      </c>
      <c r="CR43" s="10" t="s">
        <v>412</v>
      </c>
      <c r="CS43" s="9" t="s">
        <v>256</v>
      </c>
    </row>
    <row r="44" spans="1:97" s="2" customFormat="1" ht="12.75">
      <c r="A44" s="2">
        <v>41</v>
      </c>
      <c r="B44" s="2" t="s">
        <v>374</v>
      </c>
      <c r="C44" s="2" t="s">
        <v>413</v>
      </c>
      <c r="D44" s="4" t="s">
        <v>250</v>
      </c>
      <c r="E44" s="2" t="s">
        <v>414</v>
      </c>
      <c r="F44" s="2" t="s">
        <v>415</v>
      </c>
      <c r="G44" s="2">
        <v>2009</v>
      </c>
      <c r="H44" s="2">
        <v>2009</v>
      </c>
      <c r="I44" s="2">
        <v>0</v>
      </c>
      <c r="J44" s="2">
        <v>0</v>
      </c>
      <c r="K44" s="2">
        <v>0</v>
      </c>
      <c r="L44" s="2">
        <v>0</v>
      </c>
      <c r="M44" s="2">
        <v>0</v>
      </c>
      <c r="N44" s="2">
        <v>0</v>
      </c>
      <c r="O44" s="4">
        <v>18.108333333333331</v>
      </c>
      <c r="P44" s="4">
        <f>(O44-5)*12</f>
        <v>157.29999999999995</v>
      </c>
      <c r="Q44" s="4">
        <v>1818.5</v>
      </c>
      <c r="R44" s="4">
        <v>5</v>
      </c>
      <c r="S44" s="4">
        <v>130</v>
      </c>
      <c r="T44" s="4">
        <v>75.833333333333329</v>
      </c>
      <c r="U44" s="4">
        <v>1781.2</v>
      </c>
      <c r="V44" s="4">
        <v>1.9750000000000003</v>
      </c>
      <c r="W44" s="4"/>
      <c r="X44" s="4"/>
      <c r="Y44" s="4"/>
      <c r="Z44" s="4"/>
      <c r="AA44" s="4"/>
      <c r="AB44" s="4"/>
      <c r="AC44" s="4"/>
      <c r="AD44" s="4"/>
      <c r="AE44" s="4"/>
      <c r="AF44" s="4"/>
      <c r="AG44" s="4"/>
      <c r="AH44" s="4"/>
      <c r="AI44" s="4"/>
      <c r="AJ44" s="4"/>
      <c r="AK44" s="4"/>
      <c r="AL44" s="4"/>
      <c r="AM44" s="4"/>
      <c r="AN44" s="4"/>
      <c r="AO44" s="4"/>
      <c r="AP44" s="4"/>
      <c r="AQ44" s="4"/>
      <c r="AR44" s="4"/>
      <c r="AS44" s="4"/>
      <c r="AT44" s="4"/>
      <c r="AV44" s="4"/>
      <c r="AW44" s="4">
        <f>5230</f>
        <v>5230</v>
      </c>
      <c r="AX44" s="4">
        <v>10.4</v>
      </c>
      <c r="AY44" s="4">
        <v>13.5</v>
      </c>
      <c r="AZ44" s="4">
        <v>45.7</v>
      </c>
      <c r="BA44" s="4"/>
      <c r="BB44" s="4"/>
      <c r="BC44" s="4"/>
      <c r="BD44" s="4"/>
      <c r="BE44" s="4"/>
      <c r="BF44" s="4"/>
      <c r="BG44" s="4"/>
      <c r="BH44" s="4"/>
      <c r="BI44" s="4"/>
      <c r="BJ44" s="4"/>
      <c r="BK44" s="4"/>
      <c r="BL44" s="4"/>
      <c r="BM44" s="4"/>
      <c r="BN44" s="4">
        <f>12.29*0.5</f>
        <v>6.1449999999999996</v>
      </c>
      <c r="BO44" s="4">
        <f>70.53*0.5</f>
        <v>35.265000000000001</v>
      </c>
      <c r="BP44" s="4">
        <f>SUM(BM44:BO44)</f>
        <v>41.41</v>
      </c>
      <c r="BQ44" s="4"/>
      <c r="BR44" s="4"/>
      <c r="BS44" s="4"/>
      <c r="BT44" s="4"/>
      <c r="BU44" s="4"/>
      <c r="BV44" s="4"/>
      <c r="BW44" s="4"/>
      <c r="BX44" s="4"/>
      <c r="BY44" s="4"/>
      <c r="BZ44" s="4"/>
      <c r="CA44" s="4"/>
      <c r="CB44" s="4">
        <f>2.49*0.5</f>
        <v>1.2450000000000001</v>
      </c>
      <c r="CC44" s="4">
        <f>9.65*0.5</f>
        <v>4.8250000000000002</v>
      </c>
      <c r="CD44" s="4"/>
      <c r="CE44" s="4"/>
      <c r="CF44" s="4">
        <f>SUM(CA44:CD44)</f>
        <v>6.07</v>
      </c>
      <c r="CG44" s="4"/>
      <c r="CH44" s="4"/>
      <c r="CI44" s="4"/>
      <c r="CJ44" s="4"/>
      <c r="CK44" s="4"/>
      <c r="CL44" s="4"/>
      <c r="CM44" s="4"/>
      <c r="CN44" s="4"/>
      <c r="CO44" s="4"/>
      <c r="CP44" s="2" t="s">
        <v>411</v>
      </c>
      <c r="CQ44" s="2" t="s">
        <v>254</v>
      </c>
      <c r="CR44" s="10" t="s">
        <v>412</v>
      </c>
      <c r="CS44" s="9" t="s">
        <v>256</v>
      </c>
    </row>
    <row r="45" spans="1:97" s="2" customFormat="1" ht="12.75">
      <c r="A45" s="2">
        <v>42</v>
      </c>
      <c r="B45" s="2" t="s">
        <v>374</v>
      </c>
      <c r="C45" s="2" t="s">
        <v>413</v>
      </c>
      <c r="D45" s="4" t="s">
        <v>250</v>
      </c>
      <c r="E45" s="2" t="s">
        <v>416</v>
      </c>
      <c r="F45" s="2" t="s">
        <v>417</v>
      </c>
      <c r="G45" s="2">
        <v>2009</v>
      </c>
      <c r="H45" s="2">
        <v>2009</v>
      </c>
      <c r="I45" s="2">
        <v>0</v>
      </c>
      <c r="J45" s="2">
        <v>0</v>
      </c>
      <c r="K45" s="2">
        <v>0</v>
      </c>
      <c r="L45" s="2">
        <v>0</v>
      </c>
      <c r="M45" s="2">
        <v>0</v>
      </c>
      <c r="N45" s="2">
        <v>0</v>
      </c>
      <c r="O45" s="4">
        <v>17.633333333333333</v>
      </c>
      <c r="P45" s="4">
        <f>(O45-5)*12</f>
        <v>151.6</v>
      </c>
      <c r="Q45" s="4">
        <v>2057.3000000000002</v>
      </c>
      <c r="R45" s="4">
        <v>5</v>
      </c>
      <c r="S45" s="4">
        <f>(125+125+125)/3</f>
        <v>125</v>
      </c>
      <c r="T45" s="4">
        <v>75.833333333333329</v>
      </c>
      <c r="U45" s="4">
        <v>1974.0000000000002</v>
      </c>
      <c r="V45" s="4">
        <v>3.2250000000000001</v>
      </c>
      <c r="W45" s="4"/>
      <c r="X45" s="4"/>
      <c r="Y45" s="4"/>
      <c r="Z45" s="4"/>
      <c r="AA45" s="4"/>
      <c r="AB45" s="4"/>
      <c r="AC45" s="4"/>
      <c r="AD45" s="4"/>
      <c r="AE45" s="4"/>
      <c r="AF45" s="4"/>
      <c r="AG45" s="4"/>
      <c r="AH45" s="4"/>
      <c r="AI45" s="4"/>
      <c r="AJ45" s="4"/>
      <c r="AK45" s="4"/>
      <c r="AL45" s="4"/>
      <c r="AM45" s="4"/>
      <c r="AN45" s="4"/>
      <c r="AO45" s="4"/>
      <c r="AP45" s="4"/>
      <c r="AQ45" s="4"/>
      <c r="AR45" s="4"/>
      <c r="AS45" s="4"/>
      <c r="AT45" s="4"/>
      <c r="AV45" s="4"/>
      <c r="AW45" s="4">
        <f>(5550+5200+5130)/3</f>
        <v>5293.333333333333</v>
      </c>
      <c r="AX45" s="4">
        <f>(12.5+12.8+11.7)/3</f>
        <v>12.333333333333334</v>
      </c>
      <c r="AY45" s="4">
        <f>(17+17.5+16.3)/3</f>
        <v>16.933333333333334</v>
      </c>
      <c r="AZ45" s="4">
        <f>(69.5+67.4+59.1)/3</f>
        <v>65.333333333333329</v>
      </c>
      <c r="BA45" s="4"/>
      <c r="BB45" s="4"/>
      <c r="BC45" s="4"/>
      <c r="BD45" s="4"/>
      <c r="BE45" s="4"/>
      <c r="BF45" s="4"/>
      <c r="BG45" s="4"/>
      <c r="BH45" s="4"/>
      <c r="BI45" s="4"/>
      <c r="BJ45" s="4"/>
      <c r="BK45" s="4"/>
      <c r="BL45" s="4"/>
      <c r="BM45" s="4"/>
      <c r="BN45" s="4">
        <f>(13.09+16.52+15.96)/3*0.5</f>
        <v>7.5949999999999998</v>
      </c>
      <c r="BO45" s="4">
        <f>(108.8+104.54+72.27)/3*0.5</f>
        <v>47.601666666666667</v>
      </c>
      <c r="BP45" s="4">
        <f>SUM(BM45:BO45)</f>
        <v>55.196666666666665</v>
      </c>
      <c r="BQ45" s="4"/>
      <c r="BR45" s="4"/>
      <c r="BS45" s="4"/>
      <c r="BT45" s="4"/>
      <c r="BU45" s="4"/>
      <c r="BV45" s="4"/>
      <c r="BW45" s="4"/>
      <c r="BX45" s="4"/>
      <c r="BY45" s="4"/>
      <c r="BZ45" s="4"/>
      <c r="CA45" s="4"/>
      <c r="CB45" s="4">
        <f>(0.39+0.07+0.22)/3*0.5</f>
        <v>0.11333333333333334</v>
      </c>
      <c r="CC45" s="4">
        <f>(1.67+0.22+0.71)/3*0.5</f>
        <v>0.43333333333333329</v>
      </c>
      <c r="CD45" s="4"/>
      <c r="CE45" s="4"/>
      <c r="CF45" s="4">
        <f>SUM(CA45:CD45)</f>
        <v>0.54666666666666663</v>
      </c>
      <c r="CG45" s="4"/>
      <c r="CH45" s="4"/>
      <c r="CI45" s="4"/>
      <c r="CJ45" s="4"/>
      <c r="CK45" s="4"/>
      <c r="CL45" s="4"/>
      <c r="CM45" s="4"/>
      <c r="CN45" s="4"/>
      <c r="CO45" s="4"/>
      <c r="CP45" s="2" t="s">
        <v>411</v>
      </c>
      <c r="CQ45" s="2" t="s">
        <v>254</v>
      </c>
      <c r="CR45" s="10" t="s">
        <v>412</v>
      </c>
      <c r="CS45" s="9" t="s">
        <v>256</v>
      </c>
    </row>
    <row r="46" spans="1:97" s="2" customFormat="1" ht="12.75">
      <c r="A46" s="2">
        <v>43</v>
      </c>
      <c r="B46" s="2" t="s">
        <v>374</v>
      </c>
      <c r="C46" s="2" t="s">
        <v>418</v>
      </c>
      <c r="D46" s="4" t="s">
        <v>250</v>
      </c>
      <c r="E46" s="2" t="s">
        <v>419</v>
      </c>
      <c r="F46" s="2" t="s">
        <v>420</v>
      </c>
      <c r="G46" s="2">
        <v>2013</v>
      </c>
      <c r="H46" s="2">
        <v>2016</v>
      </c>
      <c r="I46" s="2">
        <v>1</v>
      </c>
      <c r="J46" s="2">
        <v>0</v>
      </c>
      <c r="K46" s="2">
        <v>0</v>
      </c>
      <c r="L46" s="2">
        <v>1</v>
      </c>
      <c r="M46" s="2">
        <v>0</v>
      </c>
      <c r="N46" s="2">
        <v>0</v>
      </c>
      <c r="O46" s="4">
        <v>15.9</v>
      </c>
      <c r="P46" s="4">
        <f>(O46-5)*12</f>
        <v>130.80000000000001</v>
      </c>
      <c r="Q46" s="4">
        <v>1833</v>
      </c>
      <c r="R46" s="4">
        <v>2.25</v>
      </c>
      <c r="S46" s="4">
        <v>84</v>
      </c>
      <c r="T46" s="4">
        <v>70.104166666666671</v>
      </c>
      <c r="U46" s="4">
        <v>2523.9333333333334</v>
      </c>
      <c r="V46" s="4">
        <v>2.8458333333333337</v>
      </c>
      <c r="W46" s="4"/>
      <c r="X46" s="4"/>
      <c r="Y46" s="4"/>
      <c r="Z46" s="4"/>
      <c r="AA46" s="4"/>
      <c r="AB46" s="4"/>
      <c r="AC46" s="4"/>
      <c r="AD46" s="4"/>
      <c r="AE46" s="4"/>
      <c r="AF46" s="4"/>
      <c r="AG46" s="4"/>
      <c r="AH46" s="4"/>
      <c r="AI46" s="4"/>
      <c r="AJ46" s="4"/>
      <c r="AK46" s="4"/>
      <c r="AL46" s="4"/>
      <c r="AM46" s="4"/>
      <c r="AN46" s="4"/>
      <c r="AO46" s="4"/>
      <c r="AP46" s="4"/>
      <c r="AQ46" s="4"/>
      <c r="AR46" s="4"/>
      <c r="AS46" s="4"/>
      <c r="AT46" s="4"/>
      <c r="AV46" s="4"/>
      <c r="AW46" s="4">
        <f>(10500+9900)/2</f>
        <v>10200</v>
      </c>
      <c r="AX46" s="4">
        <f>(9.3+9.3)/2</f>
        <v>9.3000000000000007</v>
      </c>
      <c r="AY46" s="4"/>
      <c r="AZ46" s="4">
        <f>(72.6+76.4)/2</f>
        <v>74.5</v>
      </c>
      <c r="BA46" s="4"/>
      <c r="BB46" s="4"/>
      <c r="BC46" s="4"/>
      <c r="BD46" s="4"/>
      <c r="BE46" s="4"/>
      <c r="BF46" s="4"/>
      <c r="BG46" s="4"/>
      <c r="BH46" s="4"/>
      <c r="BI46" s="4"/>
      <c r="BJ46" s="4"/>
      <c r="BK46" s="4"/>
      <c r="BL46" s="4"/>
      <c r="BM46" s="4"/>
      <c r="BN46" s="4"/>
      <c r="BO46" s="4"/>
      <c r="BP46" s="4">
        <f>(181+190.3)/2*0.5</f>
        <v>92.825000000000003</v>
      </c>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2" t="s">
        <v>421</v>
      </c>
      <c r="CQ46" s="2" t="s">
        <v>254</v>
      </c>
      <c r="CR46" s="10" t="s">
        <v>422</v>
      </c>
      <c r="CS46" s="9" t="s">
        <v>256</v>
      </c>
    </row>
    <row r="47" spans="1:97" s="2" customFormat="1" ht="12.75">
      <c r="A47" s="2">
        <v>44</v>
      </c>
      <c r="B47" s="2" t="s">
        <v>374</v>
      </c>
      <c r="C47" s="2" t="s">
        <v>423</v>
      </c>
      <c r="D47" s="4" t="s">
        <v>250</v>
      </c>
      <c r="E47" s="2" t="s">
        <v>424</v>
      </c>
      <c r="F47" s="2" t="s">
        <v>425</v>
      </c>
      <c r="G47" s="2">
        <v>2013</v>
      </c>
      <c r="H47" s="2">
        <v>2016</v>
      </c>
      <c r="I47" s="2">
        <v>0</v>
      </c>
      <c r="J47" s="2">
        <v>0</v>
      </c>
      <c r="K47" s="2">
        <v>0</v>
      </c>
      <c r="L47" s="2">
        <v>0</v>
      </c>
      <c r="M47" s="2">
        <v>0</v>
      </c>
      <c r="N47" s="2">
        <v>0</v>
      </c>
      <c r="O47" s="4">
        <v>15.9</v>
      </c>
      <c r="P47" s="4">
        <f>(O47-5)*12</f>
        <v>130.80000000000001</v>
      </c>
      <c r="Q47" s="4">
        <v>1833</v>
      </c>
      <c r="R47" s="4">
        <v>2.25</v>
      </c>
      <c r="S47" s="4">
        <v>84</v>
      </c>
      <c r="T47" s="4">
        <v>70.104166666666671</v>
      </c>
      <c r="U47" s="4">
        <v>2523.9333333333334</v>
      </c>
      <c r="V47" s="4">
        <v>2.8458333333333337</v>
      </c>
      <c r="W47" s="4"/>
      <c r="X47" s="4"/>
      <c r="Y47" s="4"/>
      <c r="Z47" s="4"/>
      <c r="AA47" s="4"/>
      <c r="AB47" s="4"/>
      <c r="AC47" s="4"/>
      <c r="AD47" s="4"/>
      <c r="AE47" s="4"/>
      <c r="AF47" s="4"/>
      <c r="AG47" s="4"/>
      <c r="AH47" s="4"/>
      <c r="AI47" s="4"/>
      <c r="AJ47" s="4"/>
      <c r="AK47" s="4"/>
      <c r="AL47" s="4"/>
      <c r="AM47" s="4"/>
      <c r="AN47" s="4"/>
      <c r="AO47" s="4"/>
      <c r="AP47" s="4"/>
      <c r="AQ47" s="4"/>
      <c r="AR47" s="4"/>
      <c r="AS47" s="4"/>
      <c r="AT47" s="4"/>
      <c r="AV47" s="4"/>
      <c r="AW47" s="4">
        <f>(8000+8500)/2</f>
        <v>8250</v>
      </c>
      <c r="AX47" s="4">
        <f>(11.1+11.6)/2</f>
        <v>11.35</v>
      </c>
      <c r="AY47" s="4"/>
      <c r="AZ47" s="4">
        <f>(86.5+85.9)/2</f>
        <v>86.2</v>
      </c>
      <c r="BA47" s="4"/>
      <c r="BB47" s="4"/>
      <c r="BC47" s="4"/>
      <c r="BD47" s="4"/>
      <c r="BE47" s="4"/>
      <c r="BF47" s="4"/>
      <c r="BG47" s="4"/>
      <c r="BH47" s="4"/>
      <c r="BI47" s="4"/>
      <c r="BJ47" s="4"/>
      <c r="BK47" s="4"/>
      <c r="BL47" s="4"/>
      <c r="BM47" s="4"/>
      <c r="BN47" s="4"/>
      <c r="BO47" s="4"/>
      <c r="BP47" s="4">
        <f>(222.6+220.1)/2*0.5</f>
        <v>110.675</v>
      </c>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2" t="s">
        <v>421</v>
      </c>
      <c r="CQ47" s="2" t="s">
        <v>254</v>
      </c>
      <c r="CR47" s="10" t="s">
        <v>426</v>
      </c>
      <c r="CS47" s="9" t="s">
        <v>256</v>
      </c>
    </row>
    <row r="48" spans="1:97" s="2" customFormat="1" ht="12.75">
      <c r="A48" s="2">
        <v>45</v>
      </c>
      <c r="B48" s="2" t="s">
        <v>374</v>
      </c>
      <c r="C48" s="2" t="s">
        <v>427</v>
      </c>
      <c r="D48" s="4" t="s">
        <v>365</v>
      </c>
      <c r="E48" s="2" t="s">
        <v>428</v>
      </c>
      <c r="F48" s="2" t="s">
        <v>429</v>
      </c>
      <c r="G48" s="2">
        <v>1983</v>
      </c>
      <c r="H48" s="2">
        <v>1987</v>
      </c>
      <c r="I48" s="2">
        <v>1</v>
      </c>
      <c r="J48" s="2">
        <v>0</v>
      </c>
      <c r="K48" s="2">
        <v>0</v>
      </c>
      <c r="L48" s="2">
        <v>0</v>
      </c>
      <c r="M48" s="2">
        <v>1</v>
      </c>
      <c r="N48" s="2">
        <v>0</v>
      </c>
      <c r="O48" s="4">
        <v>15.375</v>
      </c>
      <c r="P48" s="4">
        <v>127.08</v>
      </c>
      <c r="Q48" s="4">
        <v>1487.6</v>
      </c>
      <c r="R48" s="4">
        <v>27.2</v>
      </c>
      <c r="S48" s="4">
        <v>65</v>
      </c>
      <c r="T48" s="4">
        <v>65.75</v>
      </c>
      <c r="U48" s="4">
        <v>1989.38</v>
      </c>
      <c r="V48" s="4">
        <v>1.691667</v>
      </c>
      <c r="W48" s="4"/>
      <c r="X48" s="4"/>
      <c r="Y48" s="4"/>
      <c r="Z48" s="4"/>
      <c r="AA48" s="4"/>
      <c r="AB48" s="4"/>
      <c r="AC48" s="4"/>
      <c r="AD48" s="4"/>
      <c r="AE48" s="4"/>
      <c r="AF48" s="4"/>
      <c r="AG48" s="4"/>
      <c r="AH48" s="4"/>
      <c r="AI48" s="4"/>
      <c r="AJ48" s="4"/>
      <c r="AK48" s="4"/>
      <c r="AL48" s="4"/>
      <c r="AM48" s="4"/>
      <c r="AN48" s="4"/>
      <c r="AO48" s="4"/>
      <c r="AP48" s="4"/>
      <c r="AQ48" s="4"/>
      <c r="AR48" s="4"/>
      <c r="AS48" s="4"/>
      <c r="AT48" s="4"/>
      <c r="AV48" s="4"/>
      <c r="AW48" s="4">
        <v>3000</v>
      </c>
      <c r="AX48" s="4"/>
      <c r="AY48" s="4"/>
      <c r="AZ48" s="4"/>
      <c r="BA48" s="4"/>
      <c r="BB48" s="4"/>
      <c r="BC48" s="4"/>
      <c r="BD48" s="4"/>
      <c r="BE48" s="4"/>
      <c r="BF48" s="4"/>
      <c r="BG48" s="4"/>
      <c r="BH48" s="4"/>
      <c r="BI48" s="4"/>
      <c r="BJ48" s="4"/>
      <c r="BK48" s="4"/>
      <c r="BL48" s="4"/>
      <c r="BM48" s="4">
        <f>22.8*50%</f>
        <v>11.4</v>
      </c>
      <c r="BN48" s="4">
        <f>15.5*50%</f>
        <v>7.75</v>
      </c>
      <c r="BO48" s="4">
        <f>30.2*50%</f>
        <v>15.1</v>
      </c>
      <c r="BP48" s="4">
        <f>80.3*50%</f>
        <v>40.15</v>
      </c>
      <c r="BQ48" s="4"/>
      <c r="BR48" s="4"/>
      <c r="BS48" s="4"/>
      <c r="BT48" s="4"/>
      <c r="BU48" s="4"/>
      <c r="BV48" s="4"/>
      <c r="BW48" s="4"/>
      <c r="BX48" s="4"/>
      <c r="BY48" s="4"/>
      <c r="BZ48" s="4"/>
      <c r="CA48" s="4">
        <f>22.8/5*50%</f>
        <v>2.2800000000000002</v>
      </c>
      <c r="CB48" s="4">
        <f>15.5/5*50%</f>
        <v>1.55</v>
      </c>
      <c r="CC48" s="4">
        <f>30.2/5*50%</f>
        <v>3.02</v>
      </c>
      <c r="CD48" s="4">
        <f>(589.9+652.3)/2*100*100/1000/1000*50%</f>
        <v>3.1054999999999997</v>
      </c>
      <c r="CE48" s="4"/>
      <c r="CF48" s="4">
        <f>80.3/5*50%</f>
        <v>8.0299999999999994</v>
      </c>
      <c r="CG48" s="4"/>
      <c r="CH48" s="4"/>
      <c r="CI48" s="4"/>
      <c r="CJ48" s="4"/>
      <c r="CK48" s="4"/>
      <c r="CL48" s="4"/>
      <c r="CM48" s="4"/>
      <c r="CN48" s="4"/>
      <c r="CO48" s="4"/>
      <c r="CP48" s="2" t="s">
        <v>430</v>
      </c>
      <c r="CQ48" s="2" t="s">
        <v>254</v>
      </c>
      <c r="CR48" s="10" t="s">
        <v>431</v>
      </c>
      <c r="CS48" s="9" t="s">
        <v>256</v>
      </c>
    </row>
    <row r="49" spans="1:97" s="2" customFormat="1" ht="12.75">
      <c r="A49" s="2">
        <v>46</v>
      </c>
      <c r="B49" s="2" t="s">
        <v>374</v>
      </c>
      <c r="C49" s="2" t="s">
        <v>427</v>
      </c>
      <c r="D49" s="4" t="s">
        <v>365</v>
      </c>
      <c r="E49" s="2" t="s">
        <v>432</v>
      </c>
      <c r="F49" s="2" t="s">
        <v>433</v>
      </c>
      <c r="G49" s="2">
        <v>1984</v>
      </c>
      <c r="H49" s="2">
        <v>1985</v>
      </c>
      <c r="I49" s="2">
        <v>0</v>
      </c>
      <c r="J49" s="2">
        <v>0</v>
      </c>
      <c r="K49" s="2">
        <v>0</v>
      </c>
      <c r="L49" s="2">
        <v>0</v>
      </c>
      <c r="M49" s="2">
        <v>0</v>
      </c>
      <c r="N49" s="2">
        <v>0</v>
      </c>
      <c r="O49" s="4">
        <v>15.304169999999999</v>
      </c>
      <c r="P49" s="4">
        <v>127.35</v>
      </c>
      <c r="Q49" s="4">
        <v>1380.5</v>
      </c>
      <c r="R49" s="4">
        <v>42.5</v>
      </c>
      <c r="S49" s="4">
        <v>65</v>
      </c>
      <c r="T49" s="4">
        <v>66.166669999999996</v>
      </c>
      <c r="U49" s="4">
        <v>1959.95</v>
      </c>
      <c r="V49" s="4">
        <v>1.745833</v>
      </c>
      <c r="W49" s="4"/>
      <c r="X49" s="4"/>
      <c r="Y49" s="4"/>
      <c r="Z49" s="4"/>
      <c r="AA49" s="4"/>
      <c r="AB49" s="4"/>
      <c r="AC49" s="4"/>
      <c r="AD49" s="4"/>
      <c r="AE49" s="4"/>
      <c r="AF49" s="4"/>
      <c r="AG49" s="4"/>
      <c r="AH49" s="4"/>
      <c r="AI49" s="4"/>
      <c r="AJ49" s="4"/>
      <c r="AK49" s="4"/>
      <c r="AL49" s="4"/>
      <c r="AM49" s="4"/>
      <c r="AN49" s="4"/>
      <c r="AO49" s="4"/>
      <c r="AP49" s="4"/>
      <c r="AQ49" s="4"/>
      <c r="AR49" s="4"/>
      <c r="AS49" s="4"/>
      <c r="AT49" s="4"/>
      <c r="AV49" s="4"/>
      <c r="AW49" s="4">
        <f>(8536+8617+4803)/3</f>
        <v>7318.666666666667</v>
      </c>
      <c r="AX49" s="4">
        <f>(8.3+12.9+10)/3</f>
        <v>10.4</v>
      </c>
      <c r="AY49" s="4"/>
      <c r="AZ49" s="4">
        <f>(31.9+108+42.1)/3</f>
        <v>60.666666666666664</v>
      </c>
      <c r="BA49" s="4"/>
      <c r="BB49" s="4"/>
      <c r="BC49" s="4"/>
      <c r="BD49" s="4"/>
      <c r="BE49" s="4"/>
      <c r="BF49" s="4"/>
      <c r="BG49" s="4"/>
      <c r="BH49" s="4"/>
      <c r="BI49" s="4"/>
      <c r="BJ49" s="4"/>
      <c r="BK49" s="4"/>
      <c r="BL49" s="4"/>
      <c r="BM49" s="4"/>
      <c r="BN49" s="4"/>
      <c r="BO49" s="4">
        <f>(80.1+218+67.1)/3*50%</f>
        <v>60.866666666666674</v>
      </c>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2" t="s">
        <v>434</v>
      </c>
      <c r="CQ49" s="2" t="s">
        <v>254</v>
      </c>
      <c r="CR49" s="10" t="s">
        <v>435</v>
      </c>
      <c r="CS49" s="9" t="s">
        <v>256</v>
      </c>
    </row>
    <row r="50" spans="1:97" s="2" customFormat="1" ht="12.75">
      <c r="A50" s="2">
        <v>47</v>
      </c>
      <c r="B50" s="2" t="s">
        <v>374</v>
      </c>
      <c r="C50" s="2" t="s">
        <v>427</v>
      </c>
      <c r="D50" s="4" t="s">
        <v>365</v>
      </c>
      <c r="E50" s="2" t="s">
        <v>436</v>
      </c>
      <c r="F50" s="2" t="s">
        <v>437</v>
      </c>
      <c r="G50" s="2">
        <v>2009</v>
      </c>
      <c r="H50" s="2">
        <v>2009</v>
      </c>
      <c r="I50" s="2">
        <v>0</v>
      </c>
      <c r="J50" s="2">
        <v>0</v>
      </c>
      <c r="K50" s="2">
        <v>0</v>
      </c>
      <c r="L50" s="2">
        <v>0</v>
      </c>
      <c r="M50" s="2">
        <v>0</v>
      </c>
      <c r="N50" s="2">
        <v>0</v>
      </c>
      <c r="O50" s="4">
        <v>16.100000000000001</v>
      </c>
      <c r="P50" s="4">
        <v>133.19999999999999</v>
      </c>
      <c r="Q50" s="4">
        <v>1457.5</v>
      </c>
      <c r="R50" s="4">
        <v>2</v>
      </c>
      <c r="S50" s="4">
        <v>132</v>
      </c>
      <c r="T50" s="4">
        <v>62</v>
      </c>
      <c r="U50" s="4">
        <v>1775</v>
      </c>
      <c r="V50" s="4">
        <v>2.0583330000000002</v>
      </c>
      <c r="W50" s="4"/>
      <c r="X50" s="4"/>
      <c r="Y50" s="4"/>
      <c r="Z50" s="4"/>
      <c r="AA50" s="4"/>
      <c r="AB50" s="4"/>
      <c r="AC50" s="4"/>
      <c r="AD50" s="4"/>
      <c r="AE50" s="4"/>
      <c r="AF50" s="4"/>
      <c r="AG50" s="4"/>
      <c r="AH50" s="4"/>
      <c r="AI50" s="4"/>
      <c r="AJ50" s="4"/>
      <c r="AK50" s="4"/>
      <c r="AL50" s="4"/>
      <c r="AM50" s="4"/>
      <c r="AN50" s="4"/>
      <c r="AO50" s="4"/>
      <c r="AP50" s="4"/>
      <c r="AQ50" s="4"/>
      <c r="AR50" s="4"/>
      <c r="AS50" s="4"/>
      <c r="AT50" s="4"/>
      <c r="AV50" s="4"/>
      <c r="AW50" s="4">
        <v>5400</v>
      </c>
      <c r="AX50" s="4">
        <v>8</v>
      </c>
      <c r="AY50" s="4">
        <v>12.1</v>
      </c>
      <c r="AZ50" s="4">
        <f>(AX50/2)^2*PI()*AW50/10000</f>
        <v>27.143360527015815</v>
      </c>
      <c r="BA50" s="4"/>
      <c r="BB50" s="4"/>
      <c r="BC50" s="4"/>
      <c r="BD50" s="4"/>
      <c r="BE50" s="4"/>
      <c r="BF50" s="4"/>
      <c r="BG50" s="4"/>
      <c r="BH50" s="4"/>
      <c r="BI50" s="4"/>
      <c r="BJ50" s="4"/>
      <c r="BK50" s="4"/>
      <c r="BL50" s="4"/>
      <c r="BM50" s="4"/>
      <c r="BN50" s="4">
        <f>2.6*5400/1000</f>
        <v>14.04</v>
      </c>
      <c r="BO50" s="4">
        <f>8.9*5400/1000</f>
        <v>48.06</v>
      </c>
      <c r="BP50" s="4">
        <f>11.6*5400/1000</f>
        <v>62.64</v>
      </c>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2" t="s">
        <v>438</v>
      </c>
      <c r="CQ50" s="2" t="s">
        <v>254</v>
      </c>
      <c r="CR50" s="10" t="s">
        <v>439</v>
      </c>
      <c r="CS50" s="9" t="s">
        <v>256</v>
      </c>
    </row>
    <row r="51" spans="1:97" s="2" customFormat="1" ht="12.75">
      <c r="A51" s="2">
        <v>48</v>
      </c>
      <c r="B51" s="2" t="s">
        <v>374</v>
      </c>
      <c r="C51" s="2" t="s">
        <v>427</v>
      </c>
      <c r="D51" s="4" t="s">
        <v>365</v>
      </c>
      <c r="E51" s="2" t="s">
        <v>440</v>
      </c>
      <c r="F51" s="2" t="s">
        <v>441</v>
      </c>
      <c r="G51" s="2">
        <v>2019</v>
      </c>
      <c r="H51" s="2">
        <v>2019</v>
      </c>
      <c r="I51" s="2">
        <v>1</v>
      </c>
      <c r="J51" s="2">
        <v>0</v>
      </c>
      <c r="K51" s="2">
        <v>1</v>
      </c>
      <c r="L51" s="2">
        <v>1</v>
      </c>
      <c r="M51" s="2">
        <v>0</v>
      </c>
      <c r="N51" s="2">
        <v>0</v>
      </c>
      <c r="O51" s="4">
        <v>16.91</v>
      </c>
      <c r="P51" s="4">
        <v>142.9</v>
      </c>
      <c r="Q51" s="4">
        <v>1407.5</v>
      </c>
      <c r="R51" s="4">
        <v>7</v>
      </c>
      <c r="S51" s="4">
        <v>65</v>
      </c>
      <c r="T51" s="4">
        <v>66.75</v>
      </c>
      <c r="U51" s="4">
        <v>1817.3</v>
      </c>
      <c r="V51" s="4">
        <v>2.1</v>
      </c>
      <c r="W51" s="4"/>
      <c r="X51" s="4"/>
      <c r="Y51" s="4"/>
      <c r="Z51" s="4"/>
      <c r="AA51" s="4"/>
      <c r="AB51" s="4"/>
      <c r="AC51" s="4"/>
      <c r="AD51" s="4"/>
      <c r="AE51" s="4"/>
      <c r="AF51" s="4"/>
      <c r="AG51" s="4"/>
      <c r="AH51" s="4"/>
      <c r="AI51" s="4"/>
      <c r="AJ51" s="4"/>
      <c r="AK51" s="4"/>
      <c r="AL51" s="4"/>
      <c r="AM51" s="4"/>
      <c r="AN51" s="4"/>
      <c r="AO51" s="4"/>
      <c r="AP51" s="4"/>
      <c r="AQ51" s="4"/>
      <c r="AR51" s="4"/>
      <c r="AS51" s="4"/>
      <c r="AT51" s="4"/>
      <c r="AV51" s="4"/>
      <c r="AW51" s="4">
        <v>9184</v>
      </c>
      <c r="AX51" s="4">
        <v>9.6999999999999993</v>
      </c>
      <c r="AY51" s="4"/>
      <c r="AZ51" s="4">
        <v>69.7</v>
      </c>
      <c r="BA51" s="4"/>
      <c r="BB51" s="4"/>
      <c r="BC51" s="4"/>
      <c r="BD51" s="4"/>
      <c r="BE51" s="4"/>
      <c r="BF51" s="4"/>
      <c r="BG51" s="4"/>
      <c r="BH51" s="4"/>
      <c r="BI51" s="4"/>
      <c r="BJ51" s="4"/>
      <c r="BK51" s="4"/>
      <c r="BL51" s="4"/>
      <c r="BM51" s="4">
        <v>1.7</v>
      </c>
      <c r="BN51" s="4">
        <v>5.8</v>
      </c>
      <c r="BO51" s="4">
        <v>60.9</v>
      </c>
      <c r="BP51" s="4">
        <v>68.400000000000006</v>
      </c>
      <c r="BQ51" s="4">
        <v>0.36</v>
      </c>
      <c r="BR51" s="4">
        <v>5.0999999999999996</v>
      </c>
      <c r="BS51" s="4">
        <v>12.8</v>
      </c>
      <c r="BT51" s="4">
        <v>6.7</v>
      </c>
      <c r="BU51" s="4">
        <v>24.6</v>
      </c>
      <c r="BV51" s="4">
        <v>93</v>
      </c>
      <c r="BW51" s="4"/>
      <c r="BX51" s="4"/>
      <c r="BY51" s="4"/>
      <c r="BZ51" s="4"/>
      <c r="CA51" s="4"/>
      <c r="CB51" s="4"/>
      <c r="CC51" s="4"/>
      <c r="CD51" s="4"/>
      <c r="CE51" s="4"/>
      <c r="CF51" s="4"/>
      <c r="CG51" s="4"/>
      <c r="CH51" s="4"/>
      <c r="CI51" s="4"/>
      <c r="CJ51" s="4"/>
      <c r="CK51" s="4"/>
      <c r="CL51" s="4"/>
      <c r="CM51" s="4"/>
      <c r="CN51" s="4"/>
      <c r="CO51" s="4"/>
      <c r="CP51" s="2" t="s">
        <v>442</v>
      </c>
      <c r="CQ51" s="2" t="s">
        <v>254</v>
      </c>
      <c r="CR51" s="10"/>
      <c r="CS51" s="9" t="s">
        <v>122</v>
      </c>
    </row>
    <row r="52" spans="1:97" s="2" customFormat="1" ht="12.75">
      <c r="A52" s="2">
        <v>49</v>
      </c>
      <c r="B52" s="2" t="s">
        <v>374</v>
      </c>
      <c r="C52" s="2" t="s">
        <v>427</v>
      </c>
      <c r="D52" s="4" t="s">
        <v>365</v>
      </c>
      <c r="E52" s="2" t="s">
        <v>443</v>
      </c>
      <c r="F52" s="2" t="s">
        <v>444</v>
      </c>
      <c r="G52" s="2">
        <v>1971</v>
      </c>
      <c r="H52" s="2">
        <v>1971</v>
      </c>
      <c r="I52" s="2">
        <v>1</v>
      </c>
      <c r="J52" s="2">
        <v>0</v>
      </c>
      <c r="K52" s="2">
        <v>1</v>
      </c>
      <c r="L52" s="2">
        <v>0</v>
      </c>
      <c r="M52" s="2">
        <v>0</v>
      </c>
      <c r="N52" s="2">
        <v>0</v>
      </c>
      <c r="O52" s="4">
        <v>15</v>
      </c>
      <c r="P52" s="4">
        <v>124.5</v>
      </c>
      <c r="Q52" s="4">
        <v>1600</v>
      </c>
      <c r="R52" s="4">
        <v>17</v>
      </c>
      <c r="S52" s="4">
        <v>65</v>
      </c>
      <c r="T52" s="4">
        <v>65.75</v>
      </c>
      <c r="U52" s="4">
        <v>1810</v>
      </c>
      <c r="V52" s="4">
        <v>1.858333</v>
      </c>
      <c r="W52" s="4"/>
      <c r="X52" s="4"/>
      <c r="Y52" s="4"/>
      <c r="Z52" s="4"/>
      <c r="AA52" s="4"/>
      <c r="AB52" s="4"/>
      <c r="AC52" s="4"/>
      <c r="AD52" s="4"/>
      <c r="AE52" s="4"/>
      <c r="AF52" s="4"/>
      <c r="AG52" s="4"/>
      <c r="AH52" s="4"/>
      <c r="AI52" s="4"/>
      <c r="AJ52" s="4"/>
      <c r="AK52" s="4"/>
      <c r="AL52" s="4"/>
      <c r="AM52" s="4"/>
      <c r="AN52" s="4"/>
      <c r="AO52" s="4"/>
      <c r="AP52" s="4"/>
      <c r="AQ52" s="4"/>
      <c r="AR52" s="4"/>
      <c r="AS52" s="4"/>
      <c r="AT52" s="4"/>
      <c r="AV52" s="4"/>
      <c r="AW52" s="4">
        <f>(4500+5100+8800)/3</f>
        <v>6133.333333333333</v>
      </c>
      <c r="AX52" s="4">
        <f>(8.3+9.3+9.2)/3</f>
        <v>8.9333333333333336</v>
      </c>
      <c r="AY52" s="4">
        <f>(12+13.2+13.3)/3</f>
        <v>12.833333333333334</v>
      </c>
      <c r="AZ52" s="4">
        <f>(AX52/2)^2*PI()*AW52/10000</f>
        <v>38.442668646540483</v>
      </c>
      <c r="BA52" s="4"/>
      <c r="BB52" s="4"/>
      <c r="BC52" s="4"/>
      <c r="BD52" s="4"/>
      <c r="BE52" s="4"/>
      <c r="BF52" s="4"/>
      <c r="BG52" s="4"/>
      <c r="BH52" s="4"/>
      <c r="BI52" s="4"/>
      <c r="BJ52" s="4"/>
      <c r="BK52" s="4"/>
      <c r="BL52" s="4"/>
      <c r="BM52" s="4">
        <f>3.1*50%</f>
        <v>1.55</v>
      </c>
      <c r="BN52" s="4">
        <f>7.3*50%</f>
        <v>3.65</v>
      </c>
      <c r="BO52" s="4">
        <f>40.6*50%</f>
        <v>20.3</v>
      </c>
      <c r="BP52" s="4">
        <f>SUM(BM52:BO52)</f>
        <v>25.5</v>
      </c>
      <c r="BQ52" s="4"/>
      <c r="BR52" s="4"/>
      <c r="BS52" s="4"/>
      <c r="BT52" s="4"/>
      <c r="BU52" s="4"/>
      <c r="BV52" s="4"/>
      <c r="BW52" s="4"/>
      <c r="BX52" s="4"/>
      <c r="BY52" s="4"/>
      <c r="BZ52" s="4"/>
      <c r="CA52" s="4">
        <f>3.1*50%</f>
        <v>1.55</v>
      </c>
      <c r="CB52" s="4">
        <f>7.3*50%</f>
        <v>3.65</v>
      </c>
      <c r="CC52" s="4">
        <f>40.6*50%</f>
        <v>20.3</v>
      </c>
      <c r="CD52" s="4">
        <f>SUM(BZ52:CB52)</f>
        <v>5.2</v>
      </c>
      <c r="CE52" s="4">
        <f>CD52+CA52</f>
        <v>6.75</v>
      </c>
      <c r="CF52" s="4">
        <f>SUM(CA52:CC52)</f>
        <v>25.5</v>
      </c>
      <c r="CG52" s="4">
        <f>(2.2+4.1+1.5)/3*50%</f>
        <v>1.3</v>
      </c>
      <c r="CH52" s="4">
        <f>(3.4+6.4+2.4)/3*50%</f>
        <v>2.0333333333333337</v>
      </c>
      <c r="CI52" s="4"/>
      <c r="CJ52" s="4">
        <f>SUM(CG52:CI52)</f>
        <v>3.3333333333333339</v>
      </c>
      <c r="CK52" s="4">
        <f>CF52+CJ52</f>
        <v>28.833333333333336</v>
      </c>
      <c r="CL52" s="4"/>
      <c r="CM52" s="4"/>
      <c r="CN52" s="4"/>
      <c r="CO52" s="4"/>
      <c r="CP52" s="2" t="s">
        <v>445</v>
      </c>
      <c r="CQ52" s="2" t="s">
        <v>254</v>
      </c>
      <c r="CR52" s="2" t="s">
        <v>446</v>
      </c>
      <c r="CS52" s="9" t="s">
        <v>256</v>
      </c>
    </row>
    <row r="53" spans="1:97" s="2" customFormat="1" ht="12.75">
      <c r="A53" s="2">
        <v>50</v>
      </c>
      <c r="B53" s="2" t="s">
        <v>374</v>
      </c>
      <c r="C53" s="2" t="s">
        <v>427</v>
      </c>
      <c r="D53" s="4" t="s">
        <v>365</v>
      </c>
      <c r="E53" s="2" t="s">
        <v>447</v>
      </c>
      <c r="F53" s="2" t="s">
        <v>448</v>
      </c>
      <c r="G53" s="2">
        <v>1983</v>
      </c>
      <c r="H53" s="2">
        <v>1987</v>
      </c>
      <c r="I53" s="2">
        <v>1</v>
      </c>
      <c r="J53" s="2">
        <v>0</v>
      </c>
      <c r="K53" s="2">
        <v>1</v>
      </c>
      <c r="L53" s="2">
        <v>0</v>
      </c>
      <c r="M53" s="2">
        <v>0</v>
      </c>
      <c r="N53" s="2">
        <v>0</v>
      </c>
      <c r="O53" s="4">
        <v>15.375</v>
      </c>
      <c r="P53" s="4">
        <v>127.08</v>
      </c>
      <c r="Q53" s="4">
        <v>1487.6</v>
      </c>
      <c r="R53" s="4">
        <v>27.2</v>
      </c>
      <c r="S53" s="4">
        <v>65</v>
      </c>
      <c r="T53" s="4">
        <v>65.75</v>
      </c>
      <c r="U53" s="4">
        <v>1989.38</v>
      </c>
      <c r="V53" s="4">
        <v>1.691667</v>
      </c>
      <c r="W53" s="4"/>
      <c r="X53" s="4"/>
      <c r="Y53" s="4"/>
      <c r="Z53" s="4"/>
      <c r="AA53" s="4"/>
      <c r="AB53" s="4"/>
      <c r="AC53" s="4"/>
      <c r="AD53" s="4"/>
      <c r="AE53" s="4"/>
      <c r="AF53" s="4"/>
      <c r="AG53" s="4"/>
      <c r="AH53" s="4"/>
      <c r="AI53" s="4"/>
      <c r="AJ53" s="4"/>
      <c r="AK53" s="4"/>
      <c r="AL53" s="4"/>
      <c r="AM53" s="4"/>
      <c r="AN53" s="4"/>
      <c r="AO53" s="4"/>
      <c r="AP53" s="4"/>
      <c r="AQ53" s="4"/>
      <c r="AR53" s="4"/>
      <c r="AS53" s="4"/>
      <c r="AT53" s="4"/>
      <c r="AV53" s="4"/>
      <c r="AW53" s="4">
        <v>7200</v>
      </c>
      <c r="AX53" s="4"/>
      <c r="AY53" s="4"/>
      <c r="AZ53" s="4"/>
      <c r="BA53" s="4"/>
      <c r="BB53" s="4"/>
      <c r="BC53" s="4"/>
      <c r="BD53" s="4"/>
      <c r="BE53" s="4"/>
      <c r="BF53" s="4"/>
      <c r="BG53" s="4"/>
      <c r="BH53" s="4"/>
      <c r="BI53" s="4"/>
      <c r="BJ53" s="4"/>
      <c r="BK53" s="4"/>
      <c r="BL53" s="4"/>
      <c r="BM53" s="4">
        <f>28.4*50%+BM55*40%</f>
        <v>14.2</v>
      </c>
      <c r="BN53" s="4">
        <f>13.1*50%+BN55*40%</f>
        <v>6.55</v>
      </c>
      <c r="BO53" s="4">
        <f>25.4*50%+BO55*40%</f>
        <v>40</v>
      </c>
      <c r="BP53" s="4">
        <f>SUM(BM53:BO53)</f>
        <v>60.75</v>
      </c>
      <c r="BQ53" s="4"/>
      <c r="BR53" s="4"/>
      <c r="BS53" s="4"/>
      <c r="BT53" s="4"/>
      <c r="BU53" s="4"/>
      <c r="BV53" s="4"/>
      <c r="BW53" s="4"/>
      <c r="BX53" s="4"/>
      <c r="BY53" s="4"/>
      <c r="BZ53" s="4"/>
      <c r="CA53" s="4">
        <f>28.4/5*50%</f>
        <v>2.84</v>
      </c>
      <c r="CB53" s="4">
        <f>13.1/5*50%</f>
        <v>1.31</v>
      </c>
      <c r="CC53" s="4">
        <f>25.4/5*50%</f>
        <v>2.54</v>
      </c>
      <c r="CD53" s="4">
        <f>(628.8+657.9)/2*100*100/1000/1000*50%</f>
        <v>3.2167499999999993</v>
      </c>
      <c r="CE53" s="4"/>
      <c r="CF53" s="4">
        <f>78.6/5*50%</f>
        <v>7.8599999999999994</v>
      </c>
      <c r="CG53" s="4"/>
      <c r="CH53" s="4"/>
      <c r="CI53" s="4"/>
      <c r="CJ53" s="4"/>
      <c r="CK53" s="4"/>
      <c r="CL53" s="4"/>
      <c r="CM53" s="4"/>
      <c r="CN53" s="4"/>
      <c r="CO53" s="4"/>
      <c r="CP53" s="2" t="s">
        <v>430</v>
      </c>
      <c r="CQ53" s="2" t="s">
        <v>254</v>
      </c>
      <c r="CR53" s="10" t="s">
        <v>431</v>
      </c>
      <c r="CS53" s="9" t="s">
        <v>256</v>
      </c>
    </row>
    <row r="54" spans="1:97" s="2" customFormat="1" ht="12.75">
      <c r="A54" s="2">
        <v>51</v>
      </c>
      <c r="B54" s="2" t="s">
        <v>374</v>
      </c>
      <c r="C54" s="2" t="s">
        <v>427</v>
      </c>
      <c r="D54" s="4" t="s">
        <v>365</v>
      </c>
      <c r="E54" s="2" t="s">
        <v>449</v>
      </c>
      <c r="F54" s="2" t="s">
        <v>450</v>
      </c>
      <c r="G54" s="2">
        <v>1984</v>
      </c>
      <c r="H54" s="2">
        <v>1985</v>
      </c>
      <c r="I54" s="2">
        <v>0</v>
      </c>
      <c r="J54" s="2">
        <v>0</v>
      </c>
      <c r="K54" s="2">
        <v>0</v>
      </c>
      <c r="L54" s="2">
        <v>0</v>
      </c>
      <c r="M54" s="2">
        <v>0</v>
      </c>
      <c r="N54" s="2">
        <v>0</v>
      </c>
      <c r="O54" s="4">
        <v>15.304169999999999</v>
      </c>
      <c r="P54" s="4">
        <v>127.35</v>
      </c>
      <c r="Q54" s="4">
        <v>1380.5</v>
      </c>
      <c r="R54" s="4">
        <v>42.5</v>
      </c>
      <c r="S54" s="4">
        <v>65</v>
      </c>
      <c r="T54" s="4">
        <v>66.166669999999996</v>
      </c>
      <c r="U54" s="4">
        <v>1959.95</v>
      </c>
      <c r="V54" s="4">
        <v>1.745833</v>
      </c>
      <c r="W54" s="4"/>
      <c r="X54" s="4"/>
      <c r="Y54" s="4"/>
      <c r="Z54" s="4"/>
      <c r="AA54" s="4"/>
      <c r="AB54" s="4"/>
      <c r="AC54" s="4"/>
      <c r="AD54" s="4"/>
      <c r="AE54" s="4"/>
      <c r="AF54" s="4"/>
      <c r="AG54" s="4"/>
      <c r="AH54" s="4"/>
      <c r="AI54" s="4"/>
      <c r="AJ54" s="4"/>
      <c r="AK54" s="4"/>
      <c r="AL54" s="4"/>
      <c r="AM54" s="4"/>
      <c r="AN54" s="4"/>
      <c r="AO54" s="4"/>
      <c r="AP54" s="4"/>
      <c r="AQ54" s="4"/>
      <c r="AR54" s="4"/>
      <c r="AS54" s="4"/>
      <c r="AT54" s="4"/>
      <c r="AV54" s="4"/>
      <c r="AW54" s="4">
        <f>(6045+6014+5488+6611+5751)/5</f>
        <v>5981.8</v>
      </c>
      <c r="AX54" s="4">
        <f>(13.5+11.5+13.2+12.8+12.3)/5</f>
        <v>12.66</v>
      </c>
      <c r="AY54" s="4"/>
      <c r="AZ54" s="4">
        <f>(71.9+53.7+60.9+77.7+66.2)/5</f>
        <v>66.08</v>
      </c>
      <c r="BA54" s="4"/>
      <c r="BB54" s="4"/>
      <c r="BC54" s="4"/>
      <c r="BD54" s="4"/>
      <c r="BE54" s="4"/>
      <c r="BF54" s="4"/>
      <c r="BG54" s="4"/>
      <c r="BH54" s="4"/>
      <c r="BI54" s="4"/>
      <c r="BJ54" s="4"/>
      <c r="BK54" s="4"/>
      <c r="BL54" s="4"/>
      <c r="BM54" s="4"/>
      <c r="BN54" s="4"/>
      <c r="BO54" s="4">
        <f>(161.7+113+139.6+118.3+132.7)/5*50%</f>
        <v>66.53</v>
      </c>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2" t="s">
        <v>451</v>
      </c>
      <c r="CQ54" s="2" t="s">
        <v>254</v>
      </c>
      <c r="CR54" s="10" t="s">
        <v>435</v>
      </c>
      <c r="CS54" s="9" t="s">
        <v>256</v>
      </c>
    </row>
    <row r="55" spans="1:97" s="2" customFormat="1" ht="12.75">
      <c r="A55" s="2">
        <v>52</v>
      </c>
      <c r="B55" s="2" t="s">
        <v>374</v>
      </c>
      <c r="C55" s="2" t="s">
        <v>427</v>
      </c>
      <c r="D55" s="4" t="s">
        <v>365</v>
      </c>
      <c r="E55" s="2" t="s">
        <v>452</v>
      </c>
      <c r="F55" s="2" t="s">
        <v>453</v>
      </c>
      <c r="G55" s="2">
        <v>1984</v>
      </c>
      <c r="H55" s="2">
        <v>1985</v>
      </c>
      <c r="I55" s="2">
        <v>0</v>
      </c>
      <c r="J55" s="2">
        <v>0</v>
      </c>
      <c r="K55" s="2">
        <v>0</v>
      </c>
      <c r="L55" s="2">
        <v>0</v>
      </c>
      <c r="M55" s="2">
        <v>0</v>
      </c>
      <c r="N55" s="2">
        <v>0</v>
      </c>
      <c r="O55" s="4">
        <v>15.304169999999999</v>
      </c>
      <c r="P55" s="4">
        <v>127.35</v>
      </c>
      <c r="Q55" s="4">
        <v>1380.5</v>
      </c>
      <c r="R55" s="4">
        <v>42.5</v>
      </c>
      <c r="S55" s="4">
        <v>65</v>
      </c>
      <c r="T55" s="4">
        <v>66.166669999999996</v>
      </c>
      <c r="U55" s="4">
        <v>1959.95</v>
      </c>
      <c r="V55" s="4">
        <v>1.745833</v>
      </c>
      <c r="W55" s="4"/>
      <c r="X55" s="4"/>
      <c r="Y55" s="4"/>
      <c r="Z55" s="4"/>
      <c r="AA55" s="4"/>
      <c r="AB55" s="4"/>
      <c r="AC55" s="4"/>
      <c r="AD55" s="4"/>
      <c r="AE55" s="4"/>
      <c r="AF55" s="4"/>
      <c r="AG55" s="4"/>
      <c r="AH55" s="4"/>
      <c r="AI55" s="4"/>
      <c r="AJ55" s="4"/>
      <c r="AK55" s="4"/>
      <c r="AL55" s="4"/>
      <c r="AM55" s="4"/>
      <c r="AN55" s="4"/>
      <c r="AO55" s="4"/>
      <c r="AP55" s="4"/>
      <c r="AQ55" s="4"/>
      <c r="AR55" s="4"/>
      <c r="AS55" s="4"/>
      <c r="AT55" s="4"/>
      <c r="AV55" s="4"/>
      <c r="AW55" s="4">
        <f>5181</f>
        <v>5181</v>
      </c>
      <c r="AX55" s="4">
        <f>12.7</f>
        <v>12.7</v>
      </c>
      <c r="AY55" s="4"/>
      <c r="AZ55" s="4">
        <v>57.6</v>
      </c>
      <c r="BA55" s="4"/>
      <c r="BB55" s="4"/>
      <c r="BC55" s="4"/>
      <c r="BD55" s="4"/>
      <c r="BE55" s="4"/>
      <c r="BF55" s="4"/>
      <c r="BG55" s="4"/>
      <c r="BH55" s="4"/>
      <c r="BI55" s="4"/>
      <c r="BJ55" s="4"/>
      <c r="BK55" s="4"/>
      <c r="BL55" s="4"/>
      <c r="BM55" s="4"/>
      <c r="BN55" s="4"/>
      <c r="BO55" s="4">
        <f>136.5*50%</f>
        <v>68.25</v>
      </c>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2" t="s">
        <v>451</v>
      </c>
      <c r="CQ55" s="2" t="s">
        <v>254</v>
      </c>
      <c r="CR55" s="10" t="s">
        <v>435</v>
      </c>
      <c r="CS55" s="9" t="s">
        <v>256</v>
      </c>
    </row>
    <row r="56" spans="1:97" s="2" customFormat="1" ht="12.75">
      <c r="A56" s="2">
        <v>53</v>
      </c>
      <c r="B56" s="2" t="s">
        <v>374</v>
      </c>
      <c r="C56" s="2" t="s">
        <v>427</v>
      </c>
      <c r="D56" s="4" t="s">
        <v>365</v>
      </c>
      <c r="E56" s="2" t="s">
        <v>454</v>
      </c>
      <c r="F56" s="2" t="s">
        <v>455</v>
      </c>
      <c r="G56" s="2">
        <v>1983</v>
      </c>
      <c r="H56" s="2">
        <v>1983</v>
      </c>
      <c r="I56" s="2">
        <v>0</v>
      </c>
      <c r="J56" s="2">
        <v>0</v>
      </c>
      <c r="K56" s="2">
        <v>0</v>
      </c>
      <c r="L56" s="2">
        <v>0</v>
      </c>
      <c r="M56" s="2">
        <v>0</v>
      </c>
      <c r="N56" s="2">
        <v>0</v>
      </c>
      <c r="O56" s="4">
        <v>15.39167</v>
      </c>
      <c r="P56" s="4">
        <v>125.4</v>
      </c>
      <c r="Q56" s="4">
        <v>1928</v>
      </c>
      <c r="R56" s="4">
        <v>12</v>
      </c>
      <c r="S56" s="4">
        <v>65</v>
      </c>
      <c r="T56" s="4">
        <v>65.75</v>
      </c>
      <c r="U56" s="4">
        <v>2046.8</v>
      </c>
      <c r="V56" s="4">
        <v>1.558333</v>
      </c>
      <c r="W56" s="4"/>
      <c r="X56" s="4"/>
      <c r="Y56" s="4"/>
      <c r="Z56" s="4"/>
      <c r="AA56" s="4"/>
      <c r="AB56" s="4"/>
      <c r="AC56" s="4"/>
      <c r="AD56" s="4"/>
      <c r="AE56" s="4"/>
      <c r="AF56" s="4"/>
      <c r="AG56" s="4"/>
      <c r="AH56" s="4"/>
      <c r="AI56" s="4"/>
      <c r="AJ56" s="4"/>
      <c r="AK56" s="4"/>
      <c r="AL56" s="4"/>
      <c r="AM56" s="4"/>
      <c r="AN56" s="4"/>
      <c r="AO56" s="4"/>
      <c r="AP56" s="4"/>
      <c r="AQ56" s="4"/>
      <c r="AR56" s="4"/>
      <c r="AS56" s="4"/>
      <c r="AT56" s="4"/>
      <c r="AV56" s="4"/>
      <c r="AW56" s="4">
        <v>7200</v>
      </c>
      <c r="AX56" s="4">
        <v>9.6</v>
      </c>
      <c r="AY56" s="4">
        <v>13.6</v>
      </c>
      <c r="AZ56" s="4">
        <v>53.9</v>
      </c>
      <c r="BA56" s="4"/>
      <c r="BB56" s="4">
        <v>11.9</v>
      </c>
      <c r="BC56" s="4"/>
      <c r="BD56" s="4"/>
      <c r="BE56" s="4"/>
      <c r="BF56" s="4"/>
      <c r="BG56" s="4"/>
      <c r="BH56" s="4"/>
      <c r="BI56" s="4"/>
      <c r="BJ56" s="4"/>
      <c r="BK56" s="4"/>
      <c r="BL56" s="4"/>
      <c r="BM56" s="2">
        <f>5.3*50%</f>
        <v>2.65</v>
      </c>
      <c r="BN56" s="2">
        <f>13.2*50%</f>
        <v>6.6</v>
      </c>
      <c r="BO56" s="2">
        <f>76.6*50%</f>
        <v>38.299999999999997</v>
      </c>
      <c r="BP56" s="2">
        <f t="shared" ref="BP56:BP64" si="5">SUM(BM56:BO56)</f>
        <v>47.55</v>
      </c>
      <c r="BQ56" s="4"/>
      <c r="BR56" s="4"/>
      <c r="BS56" s="4"/>
      <c r="BT56" s="4"/>
      <c r="BU56" s="4"/>
      <c r="BV56" s="4"/>
      <c r="BW56" s="4"/>
      <c r="BX56" s="4"/>
      <c r="BY56" s="4"/>
      <c r="BZ56" s="4"/>
      <c r="CG56" s="4"/>
      <c r="CH56" s="4"/>
      <c r="CI56" s="4"/>
      <c r="CJ56" s="4"/>
      <c r="CK56" s="4"/>
      <c r="CL56" s="4"/>
      <c r="CM56" s="4"/>
      <c r="CN56" s="4"/>
      <c r="CO56" s="4"/>
      <c r="CP56" s="2" t="s">
        <v>456</v>
      </c>
      <c r="CQ56" s="2" t="s">
        <v>254</v>
      </c>
      <c r="CR56" s="10" t="s">
        <v>431</v>
      </c>
      <c r="CS56" s="9" t="s">
        <v>256</v>
      </c>
    </row>
    <row r="57" spans="1:97" s="2" customFormat="1" ht="12.75">
      <c r="A57" s="2">
        <v>54</v>
      </c>
      <c r="B57" s="2" t="s">
        <v>374</v>
      </c>
      <c r="C57" s="2" t="s">
        <v>427</v>
      </c>
      <c r="D57" s="4" t="s">
        <v>365</v>
      </c>
      <c r="E57" s="2" t="s">
        <v>457</v>
      </c>
      <c r="F57" s="2" t="s">
        <v>458</v>
      </c>
      <c r="G57" s="2">
        <v>1983</v>
      </c>
      <c r="H57" s="2">
        <v>1987</v>
      </c>
      <c r="I57" s="2">
        <v>0</v>
      </c>
      <c r="J57" s="2">
        <v>0</v>
      </c>
      <c r="K57" s="2">
        <v>0</v>
      </c>
      <c r="L57" s="2">
        <v>0</v>
      </c>
      <c r="M57" s="2">
        <v>0</v>
      </c>
      <c r="N57" s="2">
        <v>0</v>
      </c>
      <c r="O57" s="4">
        <v>15.375</v>
      </c>
      <c r="P57" s="4">
        <v>127.08</v>
      </c>
      <c r="Q57" s="4">
        <v>1487.6</v>
      </c>
      <c r="R57" s="4">
        <v>27.2</v>
      </c>
      <c r="S57" s="4">
        <v>65</v>
      </c>
      <c r="T57" s="4">
        <v>65.75</v>
      </c>
      <c r="U57" s="4">
        <v>1989.38</v>
      </c>
      <c r="V57" s="4">
        <v>1.691667</v>
      </c>
      <c r="W57" s="4"/>
      <c r="X57" s="4"/>
      <c r="Y57" s="4"/>
      <c r="Z57" s="4"/>
      <c r="AA57" s="4"/>
      <c r="AB57" s="4"/>
      <c r="AC57" s="4"/>
      <c r="AD57" s="4"/>
      <c r="AE57" s="4"/>
      <c r="AF57" s="4"/>
      <c r="AG57" s="4"/>
      <c r="AH57" s="4"/>
      <c r="AI57" s="4"/>
      <c r="AJ57" s="4"/>
      <c r="AK57" s="4"/>
      <c r="AL57" s="4"/>
      <c r="AM57" s="4"/>
      <c r="AN57" s="4"/>
      <c r="AO57" s="4"/>
      <c r="AP57" s="4"/>
      <c r="AQ57" s="4"/>
      <c r="AR57" s="4"/>
      <c r="AS57" s="4"/>
      <c r="AT57" s="4"/>
      <c r="AV57" s="4"/>
      <c r="AW57" s="4">
        <v>8000</v>
      </c>
      <c r="AX57" s="4"/>
      <c r="AY57" s="4"/>
      <c r="AZ57" s="4"/>
      <c r="BA57" s="4"/>
      <c r="BB57" s="4"/>
      <c r="BC57" s="4"/>
      <c r="BD57" s="4"/>
      <c r="BE57" s="4"/>
      <c r="BF57" s="4"/>
      <c r="BG57" s="4"/>
      <c r="BH57" s="4"/>
      <c r="BI57" s="4"/>
      <c r="BJ57" s="4"/>
      <c r="BK57" s="4"/>
      <c r="BL57" s="4"/>
      <c r="BM57" s="4">
        <f>37.6*50%+BM58</f>
        <v>21.5258</v>
      </c>
      <c r="BN57" s="4">
        <f>14.3*50%+BN58</f>
        <v>14.651999999999999</v>
      </c>
      <c r="BO57" s="4">
        <f>27.4*50%+BO58</f>
        <v>69.154000000000011</v>
      </c>
      <c r="BP57" s="4">
        <f t="shared" si="5"/>
        <v>105.33180000000002</v>
      </c>
      <c r="BQ57" s="4"/>
      <c r="BR57" s="4"/>
      <c r="BS57" s="4"/>
      <c r="BT57" s="4"/>
      <c r="BU57" s="4"/>
      <c r="BV57" s="4"/>
      <c r="BW57" s="4"/>
      <c r="BX57" s="4"/>
      <c r="BY57" s="4"/>
      <c r="BZ57" s="4"/>
      <c r="CA57" s="4">
        <f>37.6/5*50%</f>
        <v>3.7600000000000002</v>
      </c>
      <c r="CB57" s="4">
        <f>14.3/5*50%</f>
        <v>1.4300000000000002</v>
      </c>
      <c r="CC57" s="4">
        <f>27.4/5*50%</f>
        <v>2.7399999999999998</v>
      </c>
      <c r="CD57" s="4">
        <f>(753+717)*100*100/1000/1000*50%</f>
        <v>7.35</v>
      </c>
      <c r="CE57" s="4"/>
      <c r="CF57" s="4">
        <f>91.1/5*50%</f>
        <v>9.11</v>
      </c>
      <c r="CG57" s="4"/>
      <c r="CH57" s="4"/>
      <c r="CI57" s="4"/>
      <c r="CJ57" s="4"/>
      <c r="CK57" s="4"/>
      <c r="CL57" s="4"/>
      <c r="CM57" s="4"/>
      <c r="CN57" s="4"/>
      <c r="CO57" s="4"/>
      <c r="CP57" s="2" t="s">
        <v>456</v>
      </c>
      <c r="CQ57" s="2" t="s">
        <v>254</v>
      </c>
      <c r="CR57" s="10" t="s">
        <v>431</v>
      </c>
      <c r="CS57" s="9" t="s">
        <v>256</v>
      </c>
    </row>
    <row r="58" spans="1:97" s="2" customFormat="1" ht="12.75">
      <c r="A58" s="2">
        <v>55</v>
      </c>
      <c r="B58" s="2" t="s">
        <v>374</v>
      </c>
      <c r="C58" s="2" t="s">
        <v>459</v>
      </c>
      <c r="D58" s="4" t="s">
        <v>365</v>
      </c>
      <c r="E58" s="2" t="s">
        <v>460</v>
      </c>
      <c r="F58" s="2" t="s">
        <v>461</v>
      </c>
      <c r="G58" s="2">
        <v>1982</v>
      </c>
      <c r="H58" s="2">
        <v>1991</v>
      </c>
      <c r="I58" s="2">
        <v>0</v>
      </c>
      <c r="J58" s="2">
        <v>0</v>
      </c>
      <c r="K58" s="2">
        <v>0</v>
      </c>
      <c r="L58" s="2">
        <v>0</v>
      </c>
      <c r="M58" s="2">
        <v>0</v>
      </c>
      <c r="N58" s="2">
        <v>0</v>
      </c>
      <c r="O58" s="4">
        <v>15.3</v>
      </c>
      <c r="P58" s="4">
        <f>(O58-5)*12</f>
        <v>123.60000000000001</v>
      </c>
      <c r="Q58" s="4">
        <v>1581</v>
      </c>
      <c r="R58" s="4">
        <v>20.5</v>
      </c>
      <c r="S58" s="4">
        <v>65</v>
      </c>
      <c r="T58" s="4">
        <v>67.00833333333334</v>
      </c>
      <c r="U58" s="4">
        <v>1872.7599999999998</v>
      </c>
      <c r="V58" s="4">
        <v>1.6700000000000008</v>
      </c>
      <c r="W58" s="4"/>
      <c r="X58" s="4"/>
      <c r="Y58" s="4"/>
      <c r="Z58" s="4"/>
      <c r="AA58" s="4"/>
      <c r="AB58" s="4"/>
      <c r="AC58" s="4"/>
      <c r="AD58" s="4"/>
      <c r="AE58" s="4"/>
      <c r="AF58" s="4"/>
      <c r="AG58" s="4"/>
      <c r="AH58" s="4"/>
      <c r="AI58" s="4"/>
      <c r="AJ58" s="4"/>
      <c r="AK58" s="4"/>
      <c r="AL58" s="4"/>
      <c r="AM58" s="4"/>
      <c r="AN58" s="4"/>
      <c r="AO58" s="4"/>
      <c r="AP58" s="4"/>
      <c r="AQ58" s="4"/>
      <c r="AR58" s="4"/>
      <c r="AS58" s="4"/>
      <c r="AT58" s="4"/>
      <c r="AV58" s="4"/>
      <c r="AW58" s="4">
        <v>7100</v>
      </c>
      <c r="AX58" s="4">
        <v>11.3</v>
      </c>
      <c r="AY58" s="4"/>
      <c r="AZ58" s="4">
        <f>(AX58/2)^2*PI()*AW58/10000</f>
        <v>71.204118953796325</v>
      </c>
      <c r="BA58" s="4"/>
      <c r="BB58" s="4"/>
      <c r="BC58" s="4"/>
      <c r="BD58" s="4">
        <v>46.2</v>
      </c>
      <c r="BE58" s="4">
        <v>48.4</v>
      </c>
      <c r="BF58" s="4">
        <v>47.6</v>
      </c>
      <c r="BG58" s="4">
        <v>40.1</v>
      </c>
      <c r="BH58" s="4"/>
      <c r="BI58" s="4">
        <v>44.8</v>
      </c>
      <c r="BJ58" s="4"/>
      <c r="BK58" s="4"/>
      <c r="BL58" s="4"/>
      <c r="BM58" s="4">
        <f>5.9*BD58/100</f>
        <v>2.7258000000000004</v>
      </c>
      <c r="BN58" s="4">
        <f>15.5*BE58/100</f>
        <v>7.5019999999999989</v>
      </c>
      <c r="BO58" s="4">
        <f>116.5*BF58/100</f>
        <v>55.454000000000008</v>
      </c>
      <c r="BP58" s="4">
        <f t="shared" si="5"/>
        <v>65.68180000000001</v>
      </c>
      <c r="BQ58" s="4">
        <f>BU58/BP58</f>
        <v>0.2842416011741456</v>
      </c>
      <c r="BR58" s="4">
        <f>27.9*BG58/100</f>
        <v>11.187899999999999</v>
      </c>
      <c r="BS58" s="4">
        <f>16.7*BI58/100</f>
        <v>7.4815999999999994</v>
      </c>
      <c r="BT58" s="4"/>
      <c r="BU58" s="4">
        <f>SUM(BR58:BT58)</f>
        <v>18.669499999999999</v>
      </c>
      <c r="BV58" s="4">
        <f>BU58+BP58</f>
        <v>84.351300000000009</v>
      </c>
      <c r="BW58" s="4"/>
      <c r="BX58" s="4">
        <f>7+94.2</f>
        <v>101.2</v>
      </c>
      <c r="BY58" s="4"/>
      <c r="BZ58" s="4">
        <f>BV58+BX58</f>
        <v>185.55130000000003</v>
      </c>
      <c r="CA58" s="4">
        <f>2.06+0.99</f>
        <v>3.05</v>
      </c>
      <c r="CB58" s="4">
        <v>0.79</v>
      </c>
      <c r="CC58" s="4">
        <v>4.66</v>
      </c>
      <c r="CD58" s="4">
        <f>2+0.3+1</f>
        <v>3.3</v>
      </c>
      <c r="CE58" s="4">
        <f>CD58+CA58</f>
        <v>6.35</v>
      </c>
      <c r="CF58" s="4">
        <f>SUM(CA58:CD58)</f>
        <v>11.8</v>
      </c>
      <c r="CG58" s="4">
        <v>11</v>
      </c>
      <c r="CH58" s="4"/>
      <c r="CI58" s="4"/>
      <c r="CJ58" s="4">
        <f>SUM(CG58:CI58)</f>
        <v>11</v>
      </c>
      <c r="CK58" s="4">
        <f>CJ58+CF58</f>
        <v>22.8</v>
      </c>
      <c r="CL58" s="4">
        <f>52.3*12/44</f>
        <v>14.263636363636362</v>
      </c>
      <c r="CM58" s="4">
        <f>10.7+2.6</f>
        <v>13.299999999999999</v>
      </c>
      <c r="CN58" s="4">
        <f>CL58-CM58</f>
        <v>0.96363636363636296</v>
      </c>
      <c r="CO58" s="4">
        <f>CK58-CM58</f>
        <v>9.5000000000000018</v>
      </c>
      <c r="CP58" s="2" t="s">
        <v>462</v>
      </c>
      <c r="CQ58" s="2" t="s">
        <v>254</v>
      </c>
      <c r="CR58" s="10" t="s">
        <v>463</v>
      </c>
      <c r="CS58" s="9" t="s">
        <v>256</v>
      </c>
    </row>
    <row r="59" spans="1:97" s="2" customFormat="1" ht="12.75">
      <c r="A59" s="2">
        <v>56</v>
      </c>
      <c r="B59" s="2" t="s">
        <v>374</v>
      </c>
      <c r="C59" s="2" t="s">
        <v>464</v>
      </c>
      <c r="D59" s="4" t="s">
        <v>465</v>
      </c>
      <c r="E59" s="2" t="s">
        <v>466</v>
      </c>
      <c r="F59" s="2" t="s">
        <v>467</v>
      </c>
      <c r="G59" s="2">
        <v>2005</v>
      </c>
      <c r="H59" s="2">
        <v>2005</v>
      </c>
      <c r="I59" s="2">
        <v>0</v>
      </c>
      <c r="J59" s="2">
        <v>0</v>
      </c>
      <c r="K59" s="2">
        <v>0</v>
      </c>
      <c r="L59" s="2">
        <v>0</v>
      </c>
      <c r="M59" s="2">
        <v>0</v>
      </c>
      <c r="N59" s="2">
        <v>0</v>
      </c>
      <c r="O59" s="4">
        <v>16.058330000000002</v>
      </c>
      <c r="P59" s="4">
        <v>133.30000000000001</v>
      </c>
      <c r="Q59" s="4">
        <v>953</v>
      </c>
      <c r="R59" s="4">
        <v>21</v>
      </c>
      <c r="S59" s="4">
        <v>270</v>
      </c>
      <c r="T59" s="4">
        <v>62</v>
      </c>
      <c r="U59" s="4">
        <v>1667.3</v>
      </c>
      <c r="V59" s="4">
        <v>1.433333</v>
      </c>
      <c r="W59" s="4"/>
      <c r="X59" s="4"/>
      <c r="Y59" s="4"/>
      <c r="Z59" s="4"/>
      <c r="AA59" s="4"/>
      <c r="AB59" s="4"/>
      <c r="AC59" s="4"/>
      <c r="AD59" s="4"/>
      <c r="AE59" s="4"/>
      <c r="AF59" s="4"/>
      <c r="AG59" s="4"/>
      <c r="AH59" s="4"/>
      <c r="AI59" s="4"/>
      <c r="AJ59" s="4"/>
      <c r="AK59" s="4"/>
      <c r="AL59" s="4"/>
      <c r="AM59" s="4"/>
      <c r="AN59" s="4"/>
      <c r="AO59" s="4"/>
      <c r="AP59" s="4"/>
      <c r="AQ59" s="4"/>
      <c r="AR59" s="4"/>
      <c r="AS59" s="4"/>
      <c r="AT59" s="4"/>
      <c r="AV59" s="4"/>
      <c r="AW59" s="4">
        <v>8133</v>
      </c>
      <c r="AX59" s="4">
        <f>(12.2*1033+12.8*7100)/8133</f>
        <v>12.723791958686832</v>
      </c>
      <c r="AY59" s="4">
        <f>(18*1033+18.5*7100)/8133</f>
        <v>18.436493298905692</v>
      </c>
      <c r="AZ59" s="4">
        <f>(AX59/2)^2*PI()*AW59/10000</f>
        <v>103.41267510803563</v>
      </c>
      <c r="BA59" s="4"/>
      <c r="BB59" s="4"/>
      <c r="BC59" s="4"/>
      <c r="BD59" s="4"/>
      <c r="BE59" s="4"/>
      <c r="BF59" s="4"/>
      <c r="BG59" s="4"/>
      <c r="BH59" s="4"/>
      <c r="BI59" s="4"/>
      <c r="BJ59" s="4"/>
      <c r="BK59" s="4"/>
      <c r="BL59" s="4"/>
      <c r="BM59" s="4">
        <f>5.8*50%</f>
        <v>2.9</v>
      </c>
      <c r="BN59" s="4">
        <f>16.6*50%</f>
        <v>8.3000000000000007</v>
      </c>
      <c r="BO59" s="4">
        <f>194.8*50%</f>
        <v>97.4</v>
      </c>
      <c r="BP59" s="4">
        <f t="shared" si="5"/>
        <v>108.60000000000001</v>
      </c>
      <c r="BQ59" s="4"/>
      <c r="BR59" s="4"/>
      <c r="BS59" s="4"/>
      <c r="BT59" s="4"/>
      <c r="BU59" s="4"/>
      <c r="BV59" s="4"/>
      <c r="BW59" s="4"/>
      <c r="BX59" s="4"/>
      <c r="BY59" s="4"/>
      <c r="BZ59" s="4"/>
      <c r="CA59" s="4"/>
      <c r="CB59" s="4"/>
      <c r="CC59" s="4"/>
      <c r="CD59" s="4"/>
      <c r="CE59" s="4"/>
      <c r="CF59" s="4"/>
      <c r="CG59" s="4"/>
      <c r="CH59" s="4"/>
      <c r="CI59" s="4"/>
      <c r="CJ59" s="4"/>
      <c r="CK59" s="4"/>
      <c r="CL59" s="4"/>
      <c r="CM59" s="4"/>
      <c r="CN59" s="4"/>
      <c r="CP59" s="2" t="s">
        <v>468</v>
      </c>
      <c r="CQ59" s="2" t="s">
        <v>254</v>
      </c>
      <c r="CR59" s="10" t="s">
        <v>469</v>
      </c>
      <c r="CS59" s="9" t="s">
        <v>256</v>
      </c>
    </row>
    <row r="60" spans="1:97" s="2" customFormat="1" ht="12.75">
      <c r="A60" s="2">
        <v>57</v>
      </c>
      <c r="B60" s="2" t="s">
        <v>374</v>
      </c>
      <c r="C60" s="2" t="s">
        <v>464</v>
      </c>
      <c r="D60" s="4" t="s">
        <v>465</v>
      </c>
      <c r="E60" s="2" t="s">
        <v>470</v>
      </c>
      <c r="F60" s="2" t="s">
        <v>471</v>
      </c>
      <c r="G60" s="2">
        <v>2006</v>
      </c>
      <c r="H60" s="2">
        <v>2006</v>
      </c>
      <c r="I60" s="2">
        <v>1</v>
      </c>
      <c r="J60" s="2">
        <v>0</v>
      </c>
      <c r="K60" s="2">
        <v>0</v>
      </c>
      <c r="L60" s="2">
        <v>0</v>
      </c>
      <c r="M60" s="2">
        <v>0</v>
      </c>
      <c r="N60" s="2">
        <v>0</v>
      </c>
      <c r="O60" s="4">
        <v>16.175000000000001</v>
      </c>
      <c r="P60" s="4">
        <v>134.80000000000001</v>
      </c>
      <c r="Q60" s="4">
        <v>1568</v>
      </c>
      <c r="R60" s="4">
        <v>6</v>
      </c>
      <c r="S60" s="4">
        <v>270</v>
      </c>
      <c r="T60" s="4">
        <v>64.083330000000004</v>
      </c>
      <c r="U60" s="4">
        <v>1480.5</v>
      </c>
      <c r="V60" s="4">
        <v>1.5833330000000001</v>
      </c>
      <c r="W60" s="4"/>
      <c r="X60" s="4"/>
      <c r="Y60" s="4"/>
      <c r="Z60" s="4"/>
      <c r="AA60" s="4"/>
      <c r="AB60" s="4"/>
      <c r="AC60" s="4"/>
      <c r="AD60" s="4"/>
      <c r="AE60" s="4"/>
      <c r="AF60" s="4"/>
      <c r="AG60" s="4"/>
      <c r="AH60" s="4"/>
      <c r="AI60" s="4"/>
      <c r="AJ60" s="4"/>
      <c r="AK60" s="4"/>
      <c r="AL60" s="4"/>
      <c r="AM60" s="4"/>
      <c r="AN60" s="4"/>
      <c r="AO60" s="4"/>
      <c r="AP60" s="4"/>
      <c r="AQ60" s="4"/>
      <c r="AR60" s="4"/>
      <c r="AS60" s="4"/>
      <c r="AT60" s="4"/>
      <c r="AV60" s="4"/>
      <c r="AW60" s="4">
        <v>7967</v>
      </c>
      <c r="AX60" s="4">
        <f>(12.9*167+12.7*7800)/7967</f>
        <v>12.70419229320949</v>
      </c>
      <c r="AY60" s="4">
        <f>(18.6*167+18.4*7800)/7967</f>
        <v>18.404192293209491</v>
      </c>
      <c r="AZ60" s="4">
        <f>(AX60/2)^2*PI()*AW60/10000</f>
        <v>100.99010318518286</v>
      </c>
      <c r="BA60" s="4"/>
      <c r="BB60" s="4"/>
      <c r="BC60" s="4"/>
      <c r="BD60" s="4"/>
      <c r="BE60" s="4"/>
      <c r="BF60" s="4"/>
      <c r="BG60" s="4"/>
      <c r="BH60" s="4"/>
      <c r="BI60" s="4"/>
      <c r="BJ60" s="4"/>
      <c r="BK60" s="4"/>
      <c r="BL60" s="4"/>
      <c r="BM60" s="4">
        <f>5.9*50%</f>
        <v>2.95</v>
      </c>
      <c r="BN60" s="4">
        <f>16.2*50%</f>
        <v>8.1</v>
      </c>
      <c r="BO60" s="4">
        <f>50%*195.2</f>
        <v>97.6</v>
      </c>
      <c r="BP60" s="4">
        <f t="shared" si="5"/>
        <v>108.64999999999999</v>
      </c>
      <c r="BQ60" s="4"/>
      <c r="BR60" s="4"/>
      <c r="BS60" s="4"/>
      <c r="BT60" s="4"/>
      <c r="BU60" s="4"/>
      <c r="BV60" s="4"/>
      <c r="BW60" s="4"/>
      <c r="BX60" s="4"/>
      <c r="BY60" s="4"/>
      <c r="BZ60" s="4"/>
      <c r="CA60" s="4"/>
      <c r="CB60" s="4"/>
      <c r="CC60" s="4"/>
      <c r="CD60" s="4"/>
      <c r="CE60" s="4"/>
      <c r="CF60" s="4"/>
      <c r="CG60" s="4"/>
      <c r="CH60" s="4"/>
      <c r="CI60" s="4"/>
      <c r="CJ60" s="4"/>
      <c r="CK60" s="4"/>
      <c r="CL60" s="4"/>
      <c r="CM60" s="4"/>
      <c r="CN60" s="4"/>
      <c r="CP60" s="2" t="s">
        <v>472</v>
      </c>
      <c r="CQ60" s="2" t="s">
        <v>254</v>
      </c>
      <c r="CR60" s="10" t="s">
        <v>469</v>
      </c>
      <c r="CS60" s="9" t="s">
        <v>256</v>
      </c>
    </row>
    <row r="61" spans="1:97" s="2" customFormat="1" ht="12.75">
      <c r="A61" s="2">
        <v>58</v>
      </c>
      <c r="B61" s="2" t="s">
        <v>374</v>
      </c>
      <c r="C61" s="2" t="s">
        <v>464</v>
      </c>
      <c r="D61" s="4" t="s">
        <v>465</v>
      </c>
      <c r="E61" s="2" t="s">
        <v>473</v>
      </c>
      <c r="F61" s="2" t="s">
        <v>474</v>
      </c>
      <c r="G61" s="2">
        <v>2007</v>
      </c>
      <c r="H61" s="2">
        <v>2007</v>
      </c>
      <c r="I61" s="2">
        <v>0</v>
      </c>
      <c r="J61" s="2">
        <v>0</v>
      </c>
      <c r="K61" s="2">
        <v>0</v>
      </c>
      <c r="L61" s="2">
        <v>0</v>
      </c>
      <c r="M61" s="2">
        <v>0</v>
      </c>
      <c r="N61" s="2">
        <v>0</v>
      </c>
      <c r="O61" s="4">
        <v>16.516670000000001</v>
      </c>
      <c r="P61" s="4">
        <v>138.19999999999999</v>
      </c>
      <c r="Q61" s="4">
        <v>1234</v>
      </c>
      <c r="R61" s="4">
        <v>0</v>
      </c>
      <c r="S61" s="4">
        <v>270</v>
      </c>
      <c r="T61" s="4">
        <v>61.833329999999997</v>
      </c>
      <c r="U61" s="4">
        <v>1997</v>
      </c>
      <c r="V61" s="4">
        <v>1.4583330000000001</v>
      </c>
      <c r="W61" s="4"/>
      <c r="X61" s="4"/>
      <c r="Y61" s="4"/>
      <c r="Z61" s="4"/>
      <c r="AA61" s="4"/>
      <c r="AB61" s="4"/>
      <c r="AC61" s="4"/>
      <c r="AD61" s="4"/>
      <c r="AE61" s="4"/>
      <c r="AF61" s="4"/>
      <c r="AG61" s="4"/>
      <c r="AH61" s="4"/>
      <c r="AI61" s="4"/>
      <c r="AJ61" s="4"/>
      <c r="AK61" s="4"/>
      <c r="AL61" s="4"/>
      <c r="AM61" s="4"/>
      <c r="AN61" s="4"/>
      <c r="AO61" s="4"/>
      <c r="AP61" s="4"/>
      <c r="AQ61" s="4"/>
      <c r="AR61" s="4"/>
      <c r="AS61" s="4"/>
      <c r="AT61" s="4"/>
      <c r="AV61" s="4"/>
      <c r="AW61" s="4">
        <v>8133</v>
      </c>
      <c r="AX61" s="4">
        <f>(12.7*333+12.7*7800)/8133</f>
        <v>12.700000000000001</v>
      </c>
      <c r="AY61" s="4">
        <f>(18.5*333+18.4*7800)/8133</f>
        <v>18.404094430099594</v>
      </c>
      <c r="AZ61" s="4">
        <f>(AX61/2)^2*PI()*AW61/10000</f>
        <v>103.02629818749874</v>
      </c>
      <c r="BA61" s="4"/>
      <c r="BB61" s="4"/>
      <c r="BC61" s="4"/>
      <c r="BD61" s="4"/>
      <c r="BE61" s="4"/>
      <c r="BF61" s="4"/>
      <c r="BG61" s="4"/>
      <c r="BH61" s="4"/>
      <c r="BI61" s="4"/>
      <c r="BJ61" s="4"/>
      <c r="BK61" s="4"/>
      <c r="BL61" s="4"/>
      <c r="BM61" s="4">
        <f>5.9*50%</f>
        <v>2.95</v>
      </c>
      <c r="BN61" s="4">
        <f>16.5*50%</f>
        <v>8.25</v>
      </c>
      <c r="BO61" s="4">
        <f>50%*197.4</f>
        <v>98.7</v>
      </c>
      <c r="BP61" s="4">
        <f t="shared" si="5"/>
        <v>109.9</v>
      </c>
      <c r="BQ61" s="4"/>
      <c r="BR61" s="4"/>
      <c r="BS61" s="4"/>
      <c r="BT61" s="4"/>
      <c r="BU61" s="4"/>
      <c r="BV61" s="4"/>
      <c r="BW61" s="4"/>
      <c r="BX61" s="4"/>
      <c r="BY61" s="4"/>
      <c r="BZ61" s="4"/>
      <c r="CA61" s="4">
        <f t="shared" ref="CA61:CC62" si="6">BM61-BM60</f>
        <v>0</v>
      </c>
      <c r="CB61" s="4">
        <f t="shared" si="6"/>
        <v>0.15000000000000036</v>
      </c>
      <c r="CC61" s="4">
        <f t="shared" si="6"/>
        <v>1.1000000000000085</v>
      </c>
      <c r="CF61" s="4">
        <f>BP61-BP60</f>
        <v>1.2500000000000142</v>
      </c>
      <c r="CG61" s="4"/>
      <c r="CH61" s="4"/>
      <c r="CI61" s="4"/>
      <c r="CJ61" s="4"/>
      <c r="CK61" s="4"/>
      <c r="CL61" s="4"/>
      <c r="CM61" s="4"/>
      <c r="CN61" s="4"/>
      <c r="CP61" s="2" t="s">
        <v>472</v>
      </c>
      <c r="CQ61" s="2" t="s">
        <v>254</v>
      </c>
      <c r="CR61" s="10" t="s">
        <v>469</v>
      </c>
      <c r="CS61" s="9" t="s">
        <v>256</v>
      </c>
    </row>
    <row r="62" spans="1:97" s="2" customFormat="1" ht="12.75">
      <c r="A62" s="2">
        <v>59</v>
      </c>
      <c r="B62" s="2" t="s">
        <v>374</v>
      </c>
      <c r="C62" s="2" t="s">
        <v>464</v>
      </c>
      <c r="D62" s="4" t="s">
        <v>465</v>
      </c>
      <c r="E62" s="2" t="s">
        <v>475</v>
      </c>
      <c r="F62" s="2" t="s">
        <v>476</v>
      </c>
      <c r="G62" s="2">
        <v>2008</v>
      </c>
      <c r="H62" s="2">
        <v>2008</v>
      </c>
      <c r="I62" s="2">
        <v>0</v>
      </c>
      <c r="J62" s="2">
        <v>0</v>
      </c>
      <c r="K62" s="2">
        <v>0</v>
      </c>
      <c r="L62" s="2">
        <v>0</v>
      </c>
      <c r="M62" s="2">
        <v>0</v>
      </c>
      <c r="N62" s="11">
        <v>0</v>
      </c>
      <c r="O62" s="4">
        <v>16.033329999999999</v>
      </c>
      <c r="P62" s="4">
        <v>134</v>
      </c>
      <c r="Q62" s="4">
        <v>1606</v>
      </c>
      <c r="R62" s="4">
        <v>13</v>
      </c>
      <c r="S62" s="4">
        <v>270</v>
      </c>
      <c r="T62" s="4">
        <v>63.166670000000003</v>
      </c>
      <c r="U62" s="4">
        <v>1897.6</v>
      </c>
      <c r="V62" s="4">
        <v>1.375</v>
      </c>
      <c r="W62" s="4"/>
      <c r="X62" s="4"/>
      <c r="Y62" s="4"/>
      <c r="Z62" s="4"/>
      <c r="AA62" s="4"/>
      <c r="AB62" s="4"/>
      <c r="AC62" s="4"/>
      <c r="AD62" s="4"/>
      <c r="AE62" s="4"/>
      <c r="AF62" s="4"/>
      <c r="AG62" s="4"/>
      <c r="AH62" s="4"/>
      <c r="AI62" s="4"/>
      <c r="AJ62" s="4"/>
      <c r="AK62" s="4"/>
      <c r="AL62" s="4"/>
      <c r="AM62" s="4"/>
      <c r="AN62" s="4"/>
      <c r="AO62" s="4"/>
      <c r="AP62" s="4"/>
      <c r="AQ62" s="4"/>
      <c r="AR62" s="4"/>
      <c r="AS62" s="4"/>
      <c r="AT62" s="4"/>
      <c r="AV62" s="4"/>
      <c r="AW62" s="4">
        <v>8300</v>
      </c>
      <c r="AX62" s="4">
        <f>(11.6*367+12.7*7933)/8300</f>
        <v>12.651361445783131</v>
      </c>
      <c r="AY62" s="4">
        <f>(17.4*367+18.5*7933)/8300</f>
        <v>18.451361445783132</v>
      </c>
      <c r="AZ62" s="4">
        <f>(AX62/2)^2*PI()*AW62/10000</f>
        <v>104.33799836625894</v>
      </c>
      <c r="BA62" s="4"/>
      <c r="BB62" s="4"/>
      <c r="BC62" s="4"/>
      <c r="BD62" s="4"/>
      <c r="BE62" s="4"/>
      <c r="BF62" s="4"/>
      <c r="BG62" s="4"/>
      <c r="BH62" s="4"/>
      <c r="BI62" s="4"/>
      <c r="BJ62" s="4"/>
      <c r="BK62" s="4"/>
      <c r="BL62" s="4"/>
      <c r="BM62" s="4">
        <f>6.1*50%</f>
        <v>3.05</v>
      </c>
      <c r="BN62" s="4">
        <f>(16.6+16.2+16.5+16.9)/4*50%</f>
        <v>8.2749999999999986</v>
      </c>
      <c r="BO62" s="4">
        <f>50%*201.4</f>
        <v>100.7</v>
      </c>
      <c r="BP62" s="4">
        <f t="shared" si="5"/>
        <v>112.02500000000001</v>
      </c>
      <c r="BQ62" s="4"/>
      <c r="BR62" s="4"/>
      <c r="BS62" s="4"/>
      <c r="BT62" s="4"/>
      <c r="BU62" s="4"/>
      <c r="BV62" s="4"/>
      <c r="BW62" s="4"/>
      <c r="BX62" s="4"/>
      <c r="BY62" s="4"/>
      <c r="BZ62" s="4"/>
      <c r="CA62" s="4">
        <f t="shared" si="6"/>
        <v>9.9999999999999645E-2</v>
      </c>
      <c r="CB62" s="4">
        <f t="shared" si="6"/>
        <v>2.4999999999998579E-2</v>
      </c>
      <c r="CC62" s="4">
        <f t="shared" si="6"/>
        <v>2</v>
      </c>
      <c r="CF62" s="4">
        <f>BP62-BP61</f>
        <v>2.125</v>
      </c>
      <c r="CG62" s="4"/>
      <c r="CH62" s="4"/>
      <c r="CI62" s="4"/>
      <c r="CJ62" s="4"/>
      <c r="CK62" s="4"/>
      <c r="CL62" s="4"/>
      <c r="CM62" s="4"/>
      <c r="CN62" s="4"/>
      <c r="CP62" s="2" t="s">
        <v>472</v>
      </c>
      <c r="CQ62" s="2" t="s">
        <v>254</v>
      </c>
      <c r="CR62" s="10" t="s">
        <v>469</v>
      </c>
      <c r="CS62" s="9" t="s">
        <v>256</v>
      </c>
    </row>
    <row r="63" spans="1:97" s="2" customFormat="1" ht="12.75">
      <c r="A63" s="2">
        <v>60</v>
      </c>
      <c r="B63" s="2" t="s">
        <v>374</v>
      </c>
      <c r="C63" s="2" t="s">
        <v>464</v>
      </c>
      <c r="D63" s="4" t="s">
        <v>465</v>
      </c>
      <c r="E63" s="2" t="s">
        <v>477</v>
      </c>
      <c r="F63" s="2" t="s">
        <v>478</v>
      </c>
      <c r="G63" s="2">
        <v>2006</v>
      </c>
      <c r="H63" s="2">
        <v>2006</v>
      </c>
      <c r="I63" s="2">
        <v>0</v>
      </c>
      <c r="J63" s="2">
        <v>0</v>
      </c>
      <c r="K63" s="2">
        <v>0</v>
      </c>
      <c r="L63" s="2">
        <v>0</v>
      </c>
      <c r="M63" s="2">
        <v>0</v>
      </c>
      <c r="N63" s="2">
        <v>0</v>
      </c>
      <c r="O63" s="4">
        <v>15.3</v>
      </c>
      <c r="P63" s="4">
        <f>(O63-5)*12</f>
        <v>123.60000000000001</v>
      </c>
      <c r="Q63" s="4">
        <v>1459</v>
      </c>
      <c r="R63" s="4">
        <v>6</v>
      </c>
      <c r="S63" s="4">
        <v>280</v>
      </c>
      <c r="T63" s="4">
        <v>64.083330000000004</v>
      </c>
      <c r="U63" s="4">
        <v>1480.5</v>
      </c>
      <c r="V63" s="4">
        <v>1.5833330000000001</v>
      </c>
      <c r="W63" s="4"/>
      <c r="X63" s="4"/>
      <c r="Y63" s="4"/>
      <c r="Z63" s="4"/>
      <c r="AA63" s="4"/>
      <c r="AB63" s="4"/>
      <c r="AC63" s="4"/>
      <c r="AD63" s="4"/>
      <c r="AE63" s="4"/>
      <c r="AF63" s="4"/>
      <c r="AG63" s="4"/>
      <c r="AH63" s="4"/>
      <c r="AI63" s="4"/>
      <c r="AJ63" s="4"/>
      <c r="AK63" s="4"/>
      <c r="AL63" s="4"/>
      <c r="AM63" s="4"/>
      <c r="AN63" s="4"/>
      <c r="AO63" s="4"/>
      <c r="AP63" s="4"/>
      <c r="AQ63" s="4"/>
      <c r="AR63" s="4"/>
      <c r="AS63" s="4"/>
      <c r="AT63" s="4"/>
      <c r="AV63" s="4"/>
      <c r="AW63" s="4">
        <v>9675</v>
      </c>
      <c r="AX63" s="4">
        <v>10.52</v>
      </c>
      <c r="AY63" s="4"/>
      <c r="AZ63" s="4">
        <v>88.3</v>
      </c>
      <c r="BA63" s="4"/>
      <c r="BB63" s="4"/>
      <c r="BC63" s="4"/>
      <c r="BD63" s="4">
        <v>41.9</v>
      </c>
      <c r="BE63" s="4">
        <v>46.4</v>
      </c>
      <c r="BF63" s="4">
        <v>46.3</v>
      </c>
      <c r="BG63" s="4">
        <v>43.2</v>
      </c>
      <c r="BH63" s="4">
        <v>44.2</v>
      </c>
      <c r="BI63" s="4">
        <v>44.3</v>
      </c>
      <c r="BJ63" s="4"/>
      <c r="BK63" s="4">
        <v>3.34</v>
      </c>
      <c r="BL63" s="4">
        <v>2.11</v>
      </c>
      <c r="BM63" s="4">
        <v>2.1</v>
      </c>
      <c r="BN63" s="4">
        <v>6.9</v>
      </c>
      <c r="BO63" s="4">
        <v>75.900000000000006</v>
      </c>
      <c r="BP63" s="4">
        <f t="shared" si="5"/>
        <v>84.9</v>
      </c>
      <c r="BQ63" s="4">
        <f>BU63/BP63</f>
        <v>0.65842167255594808</v>
      </c>
      <c r="BR63" s="4">
        <f>10.9+16.9</f>
        <v>27.799999999999997</v>
      </c>
      <c r="BS63" s="4">
        <f>18.2</f>
        <v>18.2</v>
      </c>
      <c r="BT63" s="4">
        <v>9.9</v>
      </c>
      <c r="BU63" s="4">
        <f>SUM(BR63:BT63)</f>
        <v>55.9</v>
      </c>
      <c r="BV63" s="4">
        <f>BU63+BP63</f>
        <v>140.80000000000001</v>
      </c>
      <c r="BW63" s="4"/>
      <c r="BX63" s="4">
        <f>1.4+0.5+4.4+16.9+30.9</f>
        <v>54.099999999999994</v>
      </c>
      <c r="BY63" s="4"/>
      <c r="BZ63" s="4">
        <f>BV63+BX63</f>
        <v>194.9</v>
      </c>
      <c r="CA63" s="4"/>
      <c r="CB63" s="4"/>
      <c r="CC63" s="4"/>
      <c r="CD63" s="4"/>
      <c r="CE63" s="4"/>
      <c r="CF63" s="4"/>
      <c r="CG63" s="4"/>
      <c r="CH63" s="4"/>
      <c r="CI63" s="4"/>
      <c r="CJ63" s="4"/>
      <c r="CK63" s="4"/>
      <c r="CL63" s="4"/>
      <c r="CM63" s="4"/>
      <c r="CN63" s="4"/>
      <c r="CO63" s="4"/>
      <c r="CP63" s="2" t="s">
        <v>479</v>
      </c>
      <c r="CQ63" s="2" t="s">
        <v>254</v>
      </c>
      <c r="CR63" s="10" t="s">
        <v>480</v>
      </c>
      <c r="CS63" s="9" t="s">
        <v>256</v>
      </c>
    </row>
    <row r="64" spans="1:97" s="2" customFormat="1" ht="12.75">
      <c r="A64" s="2">
        <v>61</v>
      </c>
      <c r="B64" s="2" t="s">
        <v>363</v>
      </c>
      <c r="C64" s="2" t="s">
        <v>481</v>
      </c>
      <c r="D64" s="4" t="s">
        <v>465</v>
      </c>
      <c r="E64" s="2" t="s">
        <v>482</v>
      </c>
      <c r="F64" s="2" t="s">
        <v>483</v>
      </c>
      <c r="G64" s="2">
        <v>2004</v>
      </c>
      <c r="H64" s="2">
        <v>2005</v>
      </c>
      <c r="I64" s="2">
        <v>0</v>
      </c>
      <c r="J64" s="2">
        <v>0</v>
      </c>
      <c r="K64" s="2">
        <v>0</v>
      </c>
      <c r="L64" s="2">
        <v>0</v>
      </c>
      <c r="M64" s="2">
        <v>0</v>
      </c>
      <c r="N64" s="12">
        <v>1</v>
      </c>
      <c r="O64" s="4">
        <v>15.446149999999999</v>
      </c>
      <c r="P64" s="4">
        <v>127.8</v>
      </c>
      <c r="Q64" s="4">
        <v>2075</v>
      </c>
      <c r="R64" s="4">
        <v>66</v>
      </c>
      <c r="S64" s="4">
        <v>30</v>
      </c>
      <c r="T64" s="4">
        <v>73</v>
      </c>
      <c r="U64" s="4">
        <v>1949.9</v>
      </c>
      <c r="V64" s="4">
        <v>3.4461539999999999</v>
      </c>
      <c r="W64" s="4"/>
      <c r="X64" s="4">
        <v>3.5</v>
      </c>
      <c r="Y64" s="4">
        <v>4.7</v>
      </c>
      <c r="Z64" s="4"/>
      <c r="AA64" s="4"/>
      <c r="AB64" s="4"/>
      <c r="AC64" s="4"/>
      <c r="AD64" s="4"/>
      <c r="AE64" s="4"/>
      <c r="AF64" s="4"/>
      <c r="AG64" s="4"/>
      <c r="AH64" s="4"/>
      <c r="AI64" s="4"/>
      <c r="AJ64" s="4"/>
      <c r="AK64" s="4"/>
      <c r="AL64" s="4"/>
      <c r="AM64" s="4"/>
      <c r="AN64" s="4"/>
      <c r="AO64" s="4"/>
      <c r="AP64" s="4"/>
      <c r="AQ64" s="4">
        <v>534</v>
      </c>
      <c r="AR64" s="4"/>
      <c r="AS64" s="4">
        <v>91.3</v>
      </c>
      <c r="AT64" s="4">
        <v>432</v>
      </c>
      <c r="AU64" s="4">
        <f>AT64-AV64</f>
        <v>50</v>
      </c>
      <c r="AV64" s="4">
        <v>382</v>
      </c>
      <c r="AW64" s="4">
        <v>14867</v>
      </c>
      <c r="AX64" s="4">
        <v>5.9</v>
      </c>
      <c r="AY64" s="4">
        <v>9.5</v>
      </c>
      <c r="AZ64" s="4">
        <v>46.4</v>
      </c>
      <c r="BA64" s="4"/>
      <c r="BB64" s="4"/>
      <c r="BC64" s="4"/>
      <c r="BD64" s="4"/>
      <c r="BE64" s="4"/>
      <c r="BF64" s="4"/>
      <c r="BG64" s="4"/>
      <c r="BH64" s="4"/>
      <c r="BI64" s="4"/>
      <c r="BJ64" s="4"/>
      <c r="BK64" s="4"/>
      <c r="BL64" s="4"/>
      <c r="BM64" s="4">
        <f>4.56*50%</f>
        <v>2.2799999999999998</v>
      </c>
      <c r="BN64" s="4">
        <f>11.9*50%</f>
        <v>5.95</v>
      </c>
      <c r="BO64" s="4">
        <f>71.4*50%</f>
        <v>35.700000000000003</v>
      </c>
      <c r="BP64" s="4">
        <f t="shared" si="5"/>
        <v>43.930000000000007</v>
      </c>
      <c r="BQ64" s="4"/>
      <c r="BR64" s="4"/>
      <c r="BS64" s="4"/>
      <c r="BT64" s="4"/>
      <c r="BU64" s="4"/>
      <c r="BV64" s="4"/>
      <c r="BW64" s="4"/>
      <c r="BX64" s="4"/>
      <c r="BY64" s="4"/>
      <c r="BZ64" s="4"/>
      <c r="CA64" s="4">
        <f>(4.8+0.87)*50%</f>
        <v>2.835</v>
      </c>
      <c r="CB64" s="4">
        <f>3.07*50%</f>
        <v>1.5349999999999999</v>
      </c>
      <c r="CC64" s="4">
        <f>10*50%</f>
        <v>5</v>
      </c>
      <c r="CD64" s="4">
        <f>7.45*50%</f>
        <v>3.7250000000000001</v>
      </c>
      <c r="CE64" s="4"/>
      <c r="CF64" s="4">
        <f>SUM(CA64:CC64)</f>
        <v>9.370000000000001</v>
      </c>
      <c r="CG64" s="4"/>
      <c r="CH64" s="4"/>
      <c r="CI64" s="4"/>
      <c r="CJ64" s="4"/>
      <c r="CK64" s="4"/>
      <c r="CL64" s="4"/>
      <c r="CM64" s="4"/>
      <c r="CN64" s="4"/>
      <c r="CP64" s="2" t="s">
        <v>484</v>
      </c>
      <c r="CQ64" s="2" t="s">
        <v>254</v>
      </c>
      <c r="CR64" s="10" t="s">
        <v>485</v>
      </c>
      <c r="CS64" s="9" t="s">
        <v>256</v>
      </c>
    </row>
    <row r="65" spans="1:97" s="2" customFormat="1" ht="12.75">
      <c r="A65" s="2">
        <v>62</v>
      </c>
      <c r="B65" s="2" t="s">
        <v>486</v>
      </c>
      <c r="C65" s="2" t="s">
        <v>487</v>
      </c>
      <c r="D65" s="4" t="s">
        <v>488</v>
      </c>
      <c r="E65" s="2" t="s">
        <v>489</v>
      </c>
      <c r="F65" s="2" t="s">
        <v>490</v>
      </c>
      <c r="G65" s="2">
        <v>2005</v>
      </c>
      <c r="H65" s="2">
        <v>2005</v>
      </c>
      <c r="I65" s="2">
        <v>1</v>
      </c>
      <c r="J65" s="2">
        <v>1</v>
      </c>
      <c r="K65" s="2">
        <v>1</v>
      </c>
      <c r="L65" s="2">
        <v>1</v>
      </c>
      <c r="M65" s="2">
        <v>0</v>
      </c>
      <c r="N65" s="2">
        <v>0</v>
      </c>
      <c r="O65" s="4">
        <f>(0.3+26)/2</f>
        <v>13.15</v>
      </c>
      <c r="P65" s="4">
        <f>(O65-5)*12</f>
        <v>97.800000000000011</v>
      </c>
      <c r="Q65" s="4">
        <v>1503</v>
      </c>
      <c r="R65" s="4"/>
      <c r="S65" s="4">
        <v>33</v>
      </c>
      <c r="T65" s="4"/>
      <c r="U65" s="4"/>
      <c r="V65" s="4"/>
      <c r="W65" s="4"/>
      <c r="X65" s="4"/>
      <c r="Y65" s="4">
        <v>4.45</v>
      </c>
      <c r="Z65" s="4">
        <v>0.97</v>
      </c>
      <c r="AA65" s="4"/>
      <c r="AB65" s="4"/>
      <c r="AC65" s="4">
        <v>382.85</v>
      </c>
      <c r="AD65" s="4"/>
      <c r="AE65" s="4">
        <v>6.1</v>
      </c>
      <c r="AF65" s="4">
        <v>0.28999999999999998</v>
      </c>
      <c r="AG65" s="4">
        <v>2</v>
      </c>
      <c r="AH65" s="4">
        <v>0.53</v>
      </c>
      <c r="AI65" s="4"/>
      <c r="AJ65" s="4"/>
      <c r="AK65" s="4"/>
      <c r="AL65" s="4">
        <v>45.1</v>
      </c>
      <c r="AM65" s="4">
        <v>17.3</v>
      </c>
      <c r="AN65" s="4">
        <v>6.1</v>
      </c>
      <c r="AO65" s="4">
        <v>3.6</v>
      </c>
      <c r="AP65" s="4">
        <v>3.5</v>
      </c>
      <c r="AQ65" s="4"/>
      <c r="AR65" s="4"/>
      <c r="AS65" s="4"/>
      <c r="AT65" s="4"/>
      <c r="AV65" s="4"/>
      <c r="AW65" s="4">
        <v>6133</v>
      </c>
      <c r="AX65" s="4">
        <v>8.3000000000000007</v>
      </c>
      <c r="AY65" s="4">
        <v>12</v>
      </c>
      <c r="AZ65" s="4">
        <f>(AX65/2)^2*PI()*AW65/10000</f>
        <v>33.183258542906927</v>
      </c>
      <c r="BA65" s="4"/>
      <c r="BB65" s="4"/>
      <c r="BC65" s="4"/>
      <c r="BD65" s="4"/>
      <c r="BE65" s="4"/>
      <c r="BF65" s="4"/>
      <c r="BG65" s="4"/>
      <c r="BH65" s="4"/>
      <c r="BI65" s="4"/>
      <c r="BJ65" s="4"/>
      <c r="BK65" s="4"/>
      <c r="BL65" s="4"/>
      <c r="BM65" s="4">
        <f>16.29/2</f>
        <v>8.1449999999999996</v>
      </c>
      <c r="BN65" s="4">
        <f>11.17/2</f>
        <v>5.585</v>
      </c>
      <c r="BO65" s="4">
        <f>40.98/2</f>
        <v>20.49</v>
      </c>
      <c r="BP65" s="4">
        <f>69.65/2</f>
        <v>34.825000000000003</v>
      </c>
      <c r="BQ65" s="4">
        <f>BU65/BP65</f>
        <v>0.3043790380473797</v>
      </c>
      <c r="BR65" s="4">
        <f>7.45/2</f>
        <v>3.7250000000000001</v>
      </c>
      <c r="BS65" s="4">
        <f>13.72/2</f>
        <v>6.86</v>
      </c>
      <c r="BT65" s="4"/>
      <c r="BU65" s="4">
        <f>(13.7+7.5)/2</f>
        <v>10.6</v>
      </c>
      <c r="BV65" s="4">
        <f>BU65+BP65</f>
        <v>45.425000000000004</v>
      </c>
      <c r="BW65" s="4"/>
      <c r="BX65" s="4"/>
      <c r="BY65" s="4"/>
      <c r="BZ65" s="4"/>
      <c r="CA65" s="4"/>
      <c r="CB65" s="4"/>
      <c r="CC65" s="4"/>
      <c r="CD65" s="4"/>
      <c r="CE65" s="4"/>
      <c r="CF65" s="4"/>
      <c r="CG65" s="4"/>
      <c r="CH65" s="4"/>
      <c r="CI65" s="4"/>
      <c r="CJ65" s="4"/>
      <c r="CK65" s="4"/>
      <c r="CL65" s="4"/>
      <c r="CM65" s="4"/>
      <c r="CN65" s="4"/>
      <c r="CO65" s="4"/>
      <c r="CP65" s="2" t="s">
        <v>491</v>
      </c>
      <c r="CQ65" s="2" t="s">
        <v>254</v>
      </c>
      <c r="CR65" s="10" t="s">
        <v>492</v>
      </c>
      <c r="CS65" s="9" t="s">
        <v>256</v>
      </c>
    </row>
    <row r="66" spans="1:97" s="2" customFormat="1" ht="12.75">
      <c r="A66" s="2">
        <v>63</v>
      </c>
      <c r="B66" s="2" t="s">
        <v>486</v>
      </c>
      <c r="C66" s="2" t="s">
        <v>487</v>
      </c>
      <c r="D66" s="4" t="s">
        <v>488</v>
      </c>
      <c r="E66" s="2" t="s">
        <v>493</v>
      </c>
      <c r="F66" s="2" t="s">
        <v>494</v>
      </c>
      <c r="G66" s="2">
        <v>2011</v>
      </c>
      <c r="H66" s="2">
        <v>2011</v>
      </c>
      <c r="I66" s="2">
        <v>0</v>
      </c>
      <c r="J66" s="2">
        <v>0</v>
      </c>
      <c r="K66" s="2">
        <v>0</v>
      </c>
      <c r="L66" s="2">
        <v>0</v>
      </c>
      <c r="M66" s="2">
        <v>0</v>
      </c>
      <c r="N66" s="2">
        <v>0</v>
      </c>
      <c r="O66" s="4">
        <f>(0.3+26)/2</f>
        <v>13.15</v>
      </c>
      <c r="P66" s="4">
        <f>(O66-5)*12</f>
        <v>97.800000000000011</v>
      </c>
      <c r="Q66" s="4">
        <v>1503</v>
      </c>
      <c r="R66" s="4"/>
      <c r="S66" s="4">
        <v>33</v>
      </c>
      <c r="T66" s="4"/>
      <c r="U66" s="4"/>
      <c r="V66" s="4"/>
      <c r="W66" s="4"/>
      <c r="X66" s="4"/>
      <c r="Y66" s="4">
        <v>4.45</v>
      </c>
      <c r="Z66" s="4">
        <v>0.97</v>
      </c>
      <c r="AA66" s="4"/>
      <c r="AB66" s="4"/>
      <c r="AC66" s="4">
        <v>382.85</v>
      </c>
      <c r="AD66" s="4"/>
      <c r="AE66" s="4">
        <v>6.1</v>
      </c>
      <c r="AF66" s="4">
        <v>0.28999999999999998</v>
      </c>
      <c r="AG66" s="4">
        <v>2</v>
      </c>
      <c r="AH66" s="4">
        <v>0.53</v>
      </c>
      <c r="AI66" s="4"/>
      <c r="AJ66" s="4"/>
      <c r="AK66" s="4"/>
      <c r="AL66" s="4">
        <v>45.1</v>
      </c>
      <c r="AM66" s="4">
        <v>17.3</v>
      </c>
      <c r="AN66" s="4">
        <v>6.1</v>
      </c>
      <c r="AO66" s="4">
        <v>3.6</v>
      </c>
      <c r="AP66" s="4">
        <v>3.5</v>
      </c>
      <c r="AQ66" s="4"/>
      <c r="AR66" s="4"/>
      <c r="AS66" s="4"/>
      <c r="AT66" s="4"/>
      <c r="AV66" s="4"/>
      <c r="AW66" s="4">
        <v>3050</v>
      </c>
      <c r="AX66" s="4">
        <v>8.9</v>
      </c>
      <c r="AY66" s="4">
        <v>13.2</v>
      </c>
      <c r="AZ66" s="4">
        <f>(AX66/2)^2*PI()*AW66/10000</f>
        <v>18.974473499427123</v>
      </c>
      <c r="BA66" s="4"/>
      <c r="BB66" s="4"/>
      <c r="BC66" s="4"/>
      <c r="BD66" s="4"/>
      <c r="BE66" s="4"/>
      <c r="BF66" s="4"/>
      <c r="BG66" s="4"/>
      <c r="BH66" s="4"/>
      <c r="BI66" s="4"/>
      <c r="BJ66" s="4"/>
      <c r="BK66" s="4"/>
      <c r="BL66" s="4"/>
      <c r="BM66" s="4">
        <f>8.01/2</f>
        <v>4.0049999999999999</v>
      </c>
      <c r="BN66" s="4">
        <f>9.29/2</f>
        <v>4.6449999999999996</v>
      </c>
      <c r="BO66" s="4">
        <f>40.47/2</f>
        <v>20.234999999999999</v>
      </c>
      <c r="BP66" s="4">
        <f>57.77/2</f>
        <v>28.885000000000002</v>
      </c>
      <c r="BQ66" s="4">
        <f>BU66/BP66</f>
        <v>0.92348970053661072</v>
      </c>
      <c r="BR66" s="4">
        <f>9.93/2</f>
        <v>4.9649999999999999</v>
      </c>
      <c r="BS66" s="4">
        <f>43.43/2</f>
        <v>21.715</v>
      </c>
      <c r="BT66" s="4"/>
      <c r="BU66" s="4">
        <f>53.35/2</f>
        <v>26.675000000000001</v>
      </c>
      <c r="BV66" s="4">
        <f>BU66+BP66</f>
        <v>55.56</v>
      </c>
      <c r="BW66" s="4"/>
      <c r="BX66" s="4"/>
      <c r="BY66" s="4"/>
      <c r="BZ66" s="4"/>
      <c r="CA66" s="4"/>
      <c r="CB66" s="4"/>
      <c r="CC66" s="4"/>
      <c r="CD66" s="4"/>
      <c r="CE66" s="4"/>
      <c r="CF66" s="4"/>
      <c r="CG66" s="4"/>
      <c r="CH66" s="4"/>
      <c r="CI66" s="4"/>
      <c r="CJ66" s="4"/>
      <c r="CK66" s="4"/>
      <c r="CL66" s="4"/>
      <c r="CM66" s="4"/>
      <c r="CN66" s="4"/>
      <c r="CO66" s="4"/>
      <c r="CP66" s="2" t="s">
        <v>495</v>
      </c>
      <c r="CQ66" s="2" t="s">
        <v>254</v>
      </c>
      <c r="CR66" s="10" t="s">
        <v>496</v>
      </c>
      <c r="CS66" s="9" t="s">
        <v>256</v>
      </c>
    </row>
    <row r="67" spans="1:97" s="2" customFormat="1" ht="12.75">
      <c r="A67" s="2">
        <v>64</v>
      </c>
      <c r="B67" s="2" t="s">
        <v>486</v>
      </c>
      <c r="C67" s="2" t="s">
        <v>497</v>
      </c>
      <c r="D67" s="4" t="s">
        <v>488</v>
      </c>
      <c r="E67" s="2" t="s">
        <v>493</v>
      </c>
      <c r="F67" s="2" t="s">
        <v>498</v>
      </c>
      <c r="G67" s="2">
        <v>1996</v>
      </c>
      <c r="H67" s="2">
        <v>1996</v>
      </c>
      <c r="I67" s="2">
        <v>0</v>
      </c>
      <c r="J67" s="2">
        <v>0</v>
      </c>
      <c r="K67" s="2">
        <v>0</v>
      </c>
      <c r="L67" s="2">
        <v>0</v>
      </c>
      <c r="M67" s="2">
        <v>0</v>
      </c>
      <c r="O67" s="4">
        <f>(5+15)/2</f>
        <v>10</v>
      </c>
      <c r="P67" s="4">
        <f>(O67-5)*12</f>
        <v>60</v>
      </c>
      <c r="Q67" s="4"/>
      <c r="R67" s="4"/>
      <c r="S67" s="4">
        <v>150</v>
      </c>
      <c r="T67" s="4"/>
      <c r="U67" s="4"/>
      <c r="V67" s="4"/>
      <c r="W67" s="4"/>
      <c r="X67" s="4"/>
      <c r="Y67" s="4">
        <v>4.8</v>
      </c>
      <c r="Z67" s="4">
        <v>0.34200000000000003</v>
      </c>
      <c r="AA67" s="4"/>
      <c r="AB67" s="4"/>
      <c r="AC67" s="4">
        <v>281.10000000000002</v>
      </c>
      <c r="AD67" s="4"/>
      <c r="AE67" s="4"/>
      <c r="AF67" s="4">
        <v>0.35</v>
      </c>
      <c r="AG67" s="4">
        <v>1.48</v>
      </c>
      <c r="AH67" s="4">
        <v>0.2</v>
      </c>
      <c r="AI67" s="4"/>
      <c r="AJ67" s="4"/>
      <c r="AK67" s="4"/>
      <c r="AL67" s="4"/>
      <c r="AM67" s="4"/>
      <c r="AN67" s="4"/>
      <c r="AO67" s="4"/>
      <c r="AP67" s="4"/>
      <c r="AQ67" s="4"/>
      <c r="AR67" s="4"/>
      <c r="AS67" s="4"/>
      <c r="AT67" s="4"/>
      <c r="AV67" s="4"/>
      <c r="AW67" s="4">
        <v>7500</v>
      </c>
      <c r="AX67" s="4">
        <v>8.1999999999999993</v>
      </c>
      <c r="AY67" s="4">
        <v>11.9</v>
      </c>
      <c r="AZ67" s="4">
        <v>40.5</v>
      </c>
      <c r="BA67" s="4"/>
      <c r="BB67" s="4"/>
      <c r="BC67" s="4"/>
      <c r="BD67" s="4"/>
      <c r="BE67" s="4"/>
      <c r="BF67" s="4"/>
      <c r="BG67" s="4"/>
      <c r="BH67" s="4"/>
      <c r="BI67" s="4"/>
      <c r="BJ67" s="4"/>
      <c r="BK67" s="4"/>
      <c r="BL67" s="4"/>
      <c r="BM67" s="4">
        <f>3.849/2</f>
        <v>1.9245000000000001</v>
      </c>
      <c r="BN67" s="4">
        <f>6.499/2</f>
        <v>3.2494999999999998</v>
      </c>
      <c r="BO67" s="4">
        <f>61.428/2</f>
        <v>30.713999999999999</v>
      </c>
      <c r="BP67" s="4">
        <f>71.76/2</f>
        <v>35.880000000000003</v>
      </c>
      <c r="BQ67" s="4">
        <f>BU67/BP67</f>
        <v>0.44377090301003341</v>
      </c>
      <c r="BR67" s="4">
        <f>9.928/2</f>
        <v>4.9640000000000004</v>
      </c>
      <c r="BS67" s="4">
        <f>21.917/2</f>
        <v>10.958500000000001</v>
      </c>
      <c r="BT67" s="4"/>
      <c r="BU67" s="4">
        <f>31.845/2</f>
        <v>15.922499999999999</v>
      </c>
      <c r="BV67" s="4">
        <f>BU67+BP67</f>
        <v>51.802500000000002</v>
      </c>
      <c r="BW67" s="4"/>
      <c r="BX67" s="4"/>
      <c r="BY67" s="4"/>
      <c r="BZ67" s="4"/>
      <c r="CA67" s="4">
        <f>1.366/2</f>
        <v>0.68300000000000005</v>
      </c>
      <c r="CB67" s="4">
        <f>0.69/2</f>
        <v>0.34499999999999997</v>
      </c>
      <c r="CC67" s="4">
        <f>6.115/2</f>
        <v>3.0575000000000001</v>
      </c>
      <c r="CD67" s="4"/>
      <c r="CE67" s="4"/>
      <c r="CF67" s="4">
        <f>8.171/2</f>
        <v>4.0854999999999997</v>
      </c>
      <c r="CG67" s="4">
        <f>1.027/2</f>
        <v>0.51349999999999996</v>
      </c>
      <c r="CH67" s="4">
        <f>2.266/2</f>
        <v>1.133</v>
      </c>
      <c r="CI67" s="4"/>
      <c r="CJ67" s="4">
        <f>3.293/2</f>
        <v>1.6465000000000001</v>
      </c>
      <c r="CK67" s="4">
        <f>CF67+CJ67</f>
        <v>5.7319999999999993</v>
      </c>
      <c r="CL67" s="4"/>
      <c r="CM67" s="4"/>
      <c r="CN67" s="4"/>
      <c r="CO67" s="4"/>
      <c r="CP67" s="2" t="s">
        <v>499</v>
      </c>
      <c r="CQ67" s="2" t="s">
        <v>254</v>
      </c>
      <c r="CR67" s="10" t="s">
        <v>500</v>
      </c>
      <c r="CS67" s="9" t="s">
        <v>256</v>
      </c>
    </row>
    <row r="68" spans="1:97" s="2" customFormat="1" ht="14.25">
      <c r="A68" s="2">
        <v>65</v>
      </c>
      <c r="B68" s="2" t="s">
        <v>114</v>
      </c>
      <c r="C68" s="2" t="s">
        <v>501</v>
      </c>
      <c r="D68" s="4" t="s">
        <v>261</v>
      </c>
      <c r="E68" s="2" t="s">
        <v>502</v>
      </c>
      <c r="F68" s="2" t="s">
        <v>503</v>
      </c>
      <c r="G68" s="2">
        <v>2007</v>
      </c>
      <c r="H68" s="2">
        <v>2007</v>
      </c>
      <c r="I68" s="2">
        <v>0</v>
      </c>
      <c r="J68" s="2">
        <v>0</v>
      </c>
      <c r="K68" s="2">
        <v>0</v>
      </c>
      <c r="L68" s="2">
        <v>1</v>
      </c>
      <c r="M68" s="2">
        <v>0</v>
      </c>
      <c r="N68" s="2">
        <v>0</v>
      </c>
      <c r="O68" s="4">
        <v>15.3</v>
      </c>
      <c r="P68" s="4">
        <v>123.60000000000001</v>
      </c>
      <c r="Q68" s="4">
        <v>4618</v>
      </c>
      <c r="R68" s="4">
        <v>0</v>
      </c>
      <c r="S68" s="4">
        <v>1300</v>
      </c>
      <c r="T68" s="4">
        <v>87.9</v>
      </c>
      <c r="U68" s="4">
        <v>1449.4</v>
      </c>
      <c r="V68" s="4">
        <v>1.233333</v>
      </c>
      <c r="W68" s="4"/>
      <c r="X68" s="4">
        <f>(3.8+4.04)/2</f>
        <v>3.92</v>
      </c>
      <c r="Y68" s="4">
        <f>(4.6+5.1)/2</f>
        <v>4.8499999999999996</v>
      </c>
      <c r="Z68" s="4">
        <f>(0.68+0.56)/2</f>
        <v>0.62000000000000011</v>
      </c>
      <c r="AA68" s="4"/>
      <c r="AB68" s="4"/>
      <c r="AC68" s="4">
        <f>1.96*(16*5+30*2)/30</f>
        <v>9.1466666666666665</v>
      </c>
      <c r="AD68" s="4"/>
      <c r="AE68" s="4">
        <f>(2.93+2.52)/2</f>
        <v>2.7250000000000001</v>
      </c>
      <c r="AF68" s="4">
        <f>(0.3415+0.4335)/2</f>
        <v>0.38750000000000001</v>
      </c>
      <c r="AG68" s="4">
        <f>(0.5951+0.7592)/2</f>
        <v>0.67714999999999992</v>
      </c>
      <c r="AH68" s="4">
        <f>(0.1174+0.1507)/2</f>
        <v>0.13405</v>
      </c>
      <c r="AI68" s="4">
        <f>(28+33.4)/2</f>
        <v>30.7</v>
      </c>
      <c r="AJ68" s="4">
        <f>(34.8+24.6)/2</f>
        <v>29.7</v>
      </c>
      <c r="AK68" s="4">
        <f>(37.2+42)/2</f>
        <v>39.6</v>
      </c>
      <c r="AL68" s="4"/>
      <c r="AM68" s="4"/>
      <c r="AN68" s="4"/>
      <c r="AO68" s="4"/>
      <c r="AP68" s="4"/>
      <c r="AQ68" s="4"/>
      <c r="AR68" s="4"/>
      <c r="AS68" s="4"/>
      <c r="AT68" s="4"/>
      <c r="AV68" s="4"/>
      <c r="AW68" s="4">
        <v>8344</v>
      </c>
      <c r="AX68" s="4">
        <v>10.6</v>
      </c>
      <c r="AY68" s="4">
        <v>21.4</v>
      </c>
      <c r="AZ68" s="4">
        <f t="shared" ref="AZ68:AZ82" si="7">(AX68/2)^2*PI()*AW68/10000</f>
        <v>73.633578526263037</v>
      </c>
      <c r="BA68" s="4"/>
      <c r="BB68" s="4"/>
      <c r="BC68" s="4"/>
      <c r="BD68" s="4">
        <v>45.67</v>
      </c>
      <c r="BE68" s="4">
        <v>48.27</v>
      </c>
      <c r="BF68" s="4">
        <v>48.34</v>
      </c>
      <c r="BG68" s="4"/>
      <c r="BH68" s="4"/>
      <c r="BI68" s="4"/>
      <c r="BJ68" s="4"/>
      <c r="BK68" s="4">
        <v>5.74</v>
      </c>
      <c r="BL68" s="4">
        <v>4</v>
      </c>
      <c r="BM68" s="4">
        <f>4.4*BD68/100</f>
        <v>2.0094800000000004</v>
      </c>
      <c r="BN68" s="4">
        <f>12*BE68/100</f>
        <v>5.7923999999999998</v>
      </c>
      <c r="BO68" s="4">
        <f>151.7*BF68/100</f>
        <v>73.331779999999995</v>
      </c>
      <c r="BP68" s="4">
        <f>BM68+BN68+BO68</f>
        <v>81.133659999999992</v>
      </c>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2" t="s">
        <v>504</v>
      </c>
      <c r="CQ68" s="2" t="s">
        <v>254</v>
      </c>
      <c r="CR68" s="10" t="s">
        <v>505</v>
      </c>
      <c r="CS68" s="9" t="s">
        <v>256</v>
      </c>
    </row>
    <row r="69" spans="1:97" s="2" customFormat="1" ht="12.75">
      <c r="A69" s="2">
        <v>66</v>
      </c>
      <c r="B69" s="2" t="s">
        <v>114</v>
      </c>
      <c r="C69" s="2" t="s">
        <v>506</v>
      </c>
      <c r="D69" s="4" t="s">
        <v>507</v>
      </c>
      <c r="E69" s="2" t="s">
        <v>508</v>
      </c>
      <c r="F69" s="2" t="s">
        <v>509</v>
      </c>
      <c r="G69" s="2">
        <v>2008</v>
      </c>
      <c r="H69" s="2">
        <v>2009</v>
      </c>
      <c r="I69" s="2">
        <v>1</v>
      </c>
      <c r="J69" s="2">
        <v>0</v>
      </c>
      <c r="K69" s="2">
        <v>0</v>
      </c>
      <c r="L69" s="2">
        <v>1</v>
      </c>
      <c r="M69" s="2">
        <v>0</v>
      </c>
      <c r="N69" s="2">
        <v>1</v>
      </c>
      <c r="O69" s="4">
        <v>23</v>
      </c>
      <c r="P69" s="4">
        <f>(O69-5)*12</f>
        <v>216</v>
      </c>
      <c r="Q69" s="4">
        <v>2600</v>
      </c>
      <c r="R69" s="4">
        <v>0</v>
      </c>
      <c r="S69" s="4">
        <v>1135</v>
      </c>
      <c r="T69" s="4">
        <v>81.458330000000004</v>
      </c>
      <c r="U69" s="4">
        <v>1222</v>
      </c>
      <c r="V69" s="4">
        <v>0.65833299999999995</v>
      </c>
      <c r="W69" s="4"/>
      <c r="X69" s="4"/>
      <c r="Y69" s="4"/>
      <c r="Z69" s="4"/>
      <c r="AA69" s="4"/>
      <c r="AB69" s="4"/>
      <c r="AC69" s="4"/>
      <c r="AD69" s="4"/>
      <c r="AE69" s="4"/>
      <c r="AF69" s="4"/>
      <c r="AG69" s="4"/>
      <c r="AH69" s="4"/>
      <c r="AI69" s="4"/>
      <c r="AJ69" s="4"/>
      <c r="AK69" s="4"/>
      <c r="AL69" s="4"/>
      <c r="AM69" s="4"/>
      <c r="AN69" s="4"/>
      <c r="AO69" s="4"/>
      <c r="AP69" s="4"/>
      <c r="AQ69" s="4"/>
      <c r="AR69" s="4"/>
      <c r="AS69" s="4"/>
      <c r="AT69" s="4"/>
      <c r="AV69" s="4"/>
      <c r="AW69" s="4">
        <v>3767</v>
      </c>
      <c r="AX69" s="4">
        <v>9.9</v>
      </c>
      <c r="AY69" s="4">
        <v>13.4</v>
      </c>
      <c r="AZ69" s="4">
        <f t="shared" si="7"/>
        <v>28.99718843375976</v>
      </c>
      <c r="BA69" s="4">
        <v>25.1</v>
      </c>
      <c r="BB69" s="4">
        <v>6.1</v>
      </c>
      <c r="BC69" s="4">
        <v>4.5999999999999996</v>
      </c>
      <c r="BD69" s="4"/>
      <c r="BE69" s="4"/>
      <c r="BF69" s="4"/>
      <c r="BG69" s="4"/>
      <c r="BH69" s="4"/>
      <c r="BI69" s="4"/>
      <c r="BJ69" s="4"/>
      <c r="BK69" s="4"/>
      <c r="BL69" s="4"/>
      <c r="BM69" s="4">
        <f>3.2*0.5</f>
        <v>1.6</v>
      </c>
      <c r="BN69" s="4">
        <f>10.1*0.5</f>
        <v>5.05</v>
      </c>
      <c r="BO69" s="4">
        <f>60.6*0.5</f>
        <v>30.3</v>
      </c>
      <c r="BP69" s="4">
        <f>SUM(BM69:BO69)</f>
        <v>36.950000000000003</v>
      </c>
      <c r="BQ69" s="4">
        <f>BU69/BP69</f>
        <v>1.23680649526387</v>
      </c>
      <c r="BR69" s="4">
        <f>6.4*0.5</f>
        <v>3.2</v>
      </c>
      <c r="BS69" s="4">
        <f>67.1*0.5</f>
        <v>33.549999999999997</v>
      </c>
      <c r="BT69" s="4">
        <f>17.9*0.5</f>
        <v>8.9499999999999993</v>
      </c>
      <c r="BU69" s="4">
        <f>SUM(BR69:BT69)</f>
        <v>45.7</v>
      </c>
      <c r="BV69" s="4">
        <f>BU69+BP69</f>
        <v>82.65</v>
      </c>
      <c r="BW69" s="4"/>
      <c r="BX69" s="4"/>
      <c r="BY69" s="4"/>
      <c r="BZ69" s="4"/>
      <c r="CA69" s="4">
        <f>0.3*0.5</f>
        <v>0.15</v>
      </c>
      <c r="CB69" s="4">
        <f>1.1*0.5</f>
        <v>0.55000000000000004</v>
      </c>
      <c r="CC69" s="4">
        <f>6.9*0.5</f>
        <v>3.45</v>
      </c>
      <c r="CD69" s="4"/>
      <c r="CE69" s="4"/>
      <c r="CF69" s="4">
        <f>SUM(CA69:CD69)</f>
        <v>4.1500000000000004</v>
      </c>
      <c r="CG69" s="4"/>
      <c r="CH69" s="4"/>
      <c r="CI69" s="4"/>
      <c r="CJ69" s="4"/>
      <c r="CK69" s="4"/>
      <c r="CL69" s="4"/>
      <c r="CM69" s="4"/>
      <c r="CN69" s="4"/>
      <c r="CO69" s="4"/>
      <c r="CP69" s="2" t="s">
        <v>510</v>
      </c>
      <c r="CQ69" s="2" t="s">
        <v>254</v>
      </c>
      <c r="CR69" s="10" t="s">
        <v>511</v>
      </c>
      <c r="CS69" s="9" t="s">
        <v>256</v>
      </c>
    </row>
    <row r="70" spans="1:97" s="2" customFormat="1" ht="12.75">
      <c r="A70" s="2">
        <v>67</v>
      </c>
      <c r="B70" s="2" t="s">
        <v>114</v>
      </c>
      <c r="C70" s="2" t="s">
        <v>506</v>
      </c>
      <c r="D70" s="4" t="s">
        <v>507</v>
      </c>
      <c r="E70" s="2" t="s">
        <v>512</v>
      </c>
      <c r="F70" s="14" t="s">
        <v>513</v>
      </c>
      <c r="G70" s="2">
        <v>2008</v>
      </c>
      <c r="H70" s="2">
        <v>2009</v>
      </c>
      <c r="I70" s="2">
        <v>0</v>
      </c>
      <c r="J70" s="2">
        <v>0</v>
      </c>
      <c r="K70" s="2">
        <v>0</v>
      </c>
      <c r="L70" s="2">
        <v>0</v>
      </c>
      <c r="M70" s="2">
        <v>0</v>
      </c>
      <c r="N70" s="2">
        <v>0</v>
      </c>
      <c r="O70" s="4">
        <v>23</v>
      </c>
      <c r="P70" s="4">
        <f>(O70-5)*12</f>
        <v>216</v>
      </c>
      <c r="Q70" s="4">
        <v>2600</v>
      </c>
      <c r="R70" s="4">
        <v>0</v>
      </c>
      <c r="S70" s="4">
        <v>1135</v>
      </c>
      <c r="T70" s="4">
        <v>81.458330000000004</v>
      </c>
      <c r="U70" s="4">
        <v>1222</v>
      </c>
      <c r="V70" s="4">
        <v>0.65833299999999995</v>
      </c>
      <c r="W70" s="4"/>
      <c r="X70" s="4"/>
      <c r="Y70" s="4"/>
      <c r="Z70" s="4"/>
      <c r="AA70" s="4"/>
      <c r="AB70" s="4"/>
      <c r="AC70" s="4"/>
      <c r="AD70" s="4"/>
      <c r="AE70" s="4"/>
      <c r="AF70" s="4"/>
      <c r="AG70" s="4"/>
      <c r="AH70" s="4"/>
      <c r="AI70" s="4"/>
      <c r="AJ70" s="4"/>
      <c r="AK70" s="4"/>
      <c r="AL70" s="4"/>
      <c r="AM70" s="4"/>
      <c r="AN70" s="4"/>
      <c r="AO70" s="4"/>
      <c r="AP70" s="4"/>
      <c r="AQ70" s="4"/>
      <c r="AR70" s="4"/>
      <c r="AS70" s="4"/>
      <c r="AT70" s="4"/>
      <c r="AV70" s="4"/>
      <c r="AW70" s="4">
        <v>5000</v>
      </c>
      <c r="AX70" s="4">
        <v>9.6999999999999993</v>
      </c>
      <c r="AY70" s="4">
        <v>13.6</v>
      </c>
      <c r="AZ70" s="4">
        <f t="shared" si="7"/>
        <v>36.94905659703295</v>
      </c>
      <c r="BA70" s="4">
        <v>24.6</v>
      </c>
      <c r="BB70" s="4">
        <v>5.4</v>
      </c>
      <c r="BC70" s="4">
        <v>5.6</v>
      </c>
      <c r="BD70" s="4"/>
      <c r="BE70" s="4"/>
      <c r="BF70" s="4"/>
      <c r="BG70" s="4"/>
      <c r="BH70" s="4"/>
      <c r="BI70" s="4"/>
      <c r="BJ70" s="4"/>
      <c r="BK70" s="4"/>
      <c r="BL70" s="4"/>
      <c r="BM70" s="4">
        <f>3.8*0.5</f>
        <v>1.9</v>
      </c>
      <c r="BN70" s="4">
        <f>12.4*0.5</f>
        <v>6.2</v>
      </c>
      <c r="BO70" s="4">
        <f>75.7*0.5</f>
        <v>37.85</v>
      </c>
      <c r="BP70" s="4">
        <f>SUM(BM70:BO70)</f>
        <v>45.95</v>
      </c>
      <c r="BQ70" s="4">
        <f>BU70/BP70</f>
        <v>1.0228509249183895</v>
      </c>
      <c r="BR70" s="4">
        <f>6.2*0.5</f>
        <v>3.1</v>
      </c>
      <c r="BS70" s="4">
        <f>64.8*0.5</f>
        <v>32.4</v>
      </c>
      <c r="BT70" s="4">
        <f>23*0.5</f>
        <v>11.5</v>
      </c>
      <c r="BU70" s="4">
        <f>SUM(BR70:BT70)</f>
        <v>47</v>
      </c>
      <c r="BV70" s="4">
        <f>BU70+BP70</f>
        <v>92.95</v>
      </c>
      <c r="BW70" s="4"/>
      <c r="BX70" s="4"/>
      <c r="BY70" s="4"/>
      <c r="BZ70" s="4"/>
      <c r="CA70" s="4">
        <f>0.4*0.5</f>
        <v>0.2</v>
      </c>
      <c r="CB70" s="4">
        <f>1.6*0.5</f>
        <v>0.8</v>
      </c>
      <c r="CC70" s="4">
        <f>9.2*0.5</f>
        <v>4.5999999999999996</v>
      </c>
      <c r="CD70" s="4"/>
      <c r="CE70" s="4"/>
      <c r="CF70" s="4">
        <f>SUM(CA70:CD70)</f>
        <v>5.6</v>
      </c>
      <c r="CG70" s="4"/>
      <c r="CH70" s="4"/>
      <c r="CI70" s="4"/>
      <c r="CJ70" s="4"/>
      <c r="CK70" s="4"/>
      <c r="CL70" s="4"/>
      <c r="CM70" s="4"/>
      <c r="CN70" s="4"/>
      <c r="CO70" s="4"/>
      <c r="CP70" s="2" t="s">
        <v>510</v>
      </c>
      <c r="CQ70" s="2" t="s">
        <v>254</v>
      </c>
      <c r="CR70" s="10" t="s">
        <v>511</v>
      </c>
      <c r="CS70" s="9" t="s">
        <v>256</v>
      </c>
    </row>
    <row r="71" spans="1:97" s="2" customFormat="1" ht="12.75">
      <c r="A71" s="2">
        <v>68</v>
      </c>
      <c r="B71" s="2" t="s">
        <v>114</v>
      </c>
      <c r="C71" s="2" t="s">
        <v>506</v>
      </c>
      <c r="D71" s="4" t="s">
        <v>507</v>
      </c>
      <c r="E71" s="14" t="s">
        <v>514</v>
      </c>
      <c r="F71" s="14" t="s">
        <v>515</v>
      </c>
      <c r="G71" s="2">
        <v>2008</v>
      </c>
      <c r="H71" s="2">
        <v>2009</v>
      </c>
      <c r="I71" s="2">
        <v>0</v>
      </c>
      <c r="J71" s="2">
        <v>0</v>
      </c>
      <c r="K71" s="2">
        <v>0</v>
      </c>
      <c r="L71" s="2">
        <v>0</v>
      </c>
      <c r="M71" s="2">
        <v>0</v>
      </c>
      <c r="N71" s="2">
        <v>0</v>
      </c>
      <c r="O71" s="4">
        <v>23</v>
      </c>
      <c r="P71" s="4">
        <f>(O71-5)*12</f>
        <v>216</v>
      </c>
      <c r="Q71" s="4">
        <v>2600</v>
      </c>
      <c r="R71" s="4">
        <v>0</v>
      </c>
      <c r="S71" s="4">
        <v>1135</v>
      </c>
      <c r="T71" s="4">
        <v>81.458330000000004</v>
      </c>
      <c r="U71" s="4">
        <v>1222</v>
      </c>
      <c r="V71" s="4">
        <v>0.65833299999999995</v>
      </c>
      <c r="W71" s="4"/>
      <c r="X71" s="4"/>
      <c r="Y71" s="4"/>
      <c r="Z71" s="4"/>
      <c r="AA71" s="4"/>
      <c r="AB71" s="4"/>
      <c r="AC71" s="4"/>
      <c r="AD71" s="4"/>
      <c r="AE71" s="4"/>
      <c r="AF71" s="4"/>
      <c r="AG71" s="4"/>
      <c r="AH71" s="4"/>
      <c r="AI71" s="4"/>
      <c r="AJ71" s="4"/>
      <c r="AK71" s="4"/>
      <c r="AL71" s="4"/>
      <c r="AM71" s="4"/>
      <c r="AN71" s="4"/>
      <c r="AO71" s="4"/>
      <c r="AP71" s="4"/>
      <c r="AQ71" s="4"/>
      <c r="AR71" s="4"/>
      <c r="AS71" s="4"/>
      <c r="AT71" s="4"/>
      <c r="AV71" s="4"/>
      <c r="AW71" s="4">
        <v>5167</v>
      </c>
      <c r="AX71" s="4">
        <v>7.6</v>
      </c>
      <c r="AY71" s="4">
        <v>12.3</v>
      </c>
      <c r="AZ71" s="4">
        <f t="shared" si="7"/>
        <v>23.439887744146176</v>
      </c>
      <c r="BA71" s="4">
        <v>37.1</v>
      </c>
      <c r="BB71" s="4">
        <v>4.9000000000000004</v>
      </c>
      <c r="BC71" s="4">
        <v>1.9</v>
      </c>
      <c r="BD71" s="4"/>
      <c r="BE71" s="4"/>
      <c r="BF71" s="4"/>
      <c r="BG71" s="4"/>
      <c r="BH71" s="4"/>
      <c r="BI71" s="4"/>
      <c r="BJ71" s="4"/>
      <c r="BK71" s="4"/>
      <c r="BL71" s="4"/>
      <c r="BM71" s="4">
        <f>1.3*0.5</f>
        <v>0.65</v>
      </c>
      <c r="BN71" s="4">
        <f>5.5*0.5</f>
        <v>2.75</v>
      </c>
      <c r="BO71" s="4">
        <f>36.5*0.5</f>
        <v>18.25</v>
      </c>
      <c r="BP71" s="4">
        <f>SUM(BM71:BO71)</f>
        <v>21.65</v>
      </c>
      <c r="BQ71" s="4">
        <f>BU71/BP71</f>
        <v>1.9769053117782913</v>
      </c>
      <c r="BR71" s="4">
        <f>6.2*0.5</f>
        <v>3.1</v>
      </c>
      <c r="BS71" s="4">
        <f>64.5*0.5</f>
        <v>32.25</v>
      </c>
      <c r="BT71" s="4">
        <f>14.9*0.5</f>
        <v>7.45</v>
      </c>
      <c r="BU71" s="4">
        <f>SUM(BR71:BT71)</f>
        <v>42.800000000000004</v>
      </c>
      <c r="BV71" s="4">
        <f>BU71+BP71</f>
        <v>64.45</v>
      </c>
      <c r="BW71" s="4"/>
      <c r="BX71" s="4"/>
      <c r="BY71" s="4"/>
      <c r="BZ71" s="4"/>
      <c r="CA71" s="4">
        <f>0.2*0.5</f>
        <v>0.1</v>
      </c>
      <c r="CB71" s="4">
        <f>0.9*0.5</f>
        <v>0.45</v>
      </c>
      <c r="CC71" s="4">
        <f>6.4*0.5</f>
        <v>3.2</v>
      </c>
      <c r="CD71" s="4"/>
      <c r="CE71" s="4"/>
      <c r="CF71" s="4">
        <f>SUM(CA71:CD71)</f>
        <v>3.75</v>
      </c>
      <c r="CG71" s="4"/>
      <c r="CH71" s="4"/>
      <c r="CI71" s="4"/>
      <c r="CJ71" s="4"/>
      <c r="CK71" s="4"/>
      <c r="CL71" s="4"/>
      <c r="CM71" s="4"/>
      <c r="CN71" s="4"/>
      <c r="CO71" s="4"/>
      <c r="CP71" s="2" t="s">
        <v>510</v>
      </c>
      <c r="CQ71" s="2" t="s">
        <v>254</v>
      </c>
      <c r="CR71" s="10" t="s">
        <v>511</v>
      </c>
      <c r="CS71" s="9" t="s">
        <v>256</v>
      </c>
    </row>
    <row r="72" spans="1:97" s="2" customFormat="1" ht="12.75">
      <c r="A72" s="2">
        <v>69</v>
      </c>
      <c r="B72" s="2" t="s">
        <v>114</v>
      </c>
      <c r="C72" s="2" t="s">
        <v>516</v>
      </c>
      <c r="D72" s="4" t="s">
        <v>507</v>
      </c>
      <c r="E72" s="2" t="s">
        <v>517</v>
      </c>
      <c r="F72" s="2" t="s">
        <v>518</v>
      </c>
      <c r="G72" s="2">
        <v>2004</v>
      </c>
      <c r="H72" s="2">
        <v>2007</v>
      </c>
      <c r="I72" s="2">
        <v>1</v>
      </c>
      <c r="J72" s="2">
        <v>1</v>
      </c>
      <c r="K72" s="2">
        <v>1</v>
      </c>
      <c r="L72" s="2">
        <v>1</v>
      </c>
      <c r="M72" s="2">
        <v>0</v>
      </c>
      <c r="N72" s="2">
        <v>0</v>
      </c>
      <c r="O72" s="4">
        <f>(11+22)/2</f>
        <v>16.5</v>
      </c>
      <c r="P72" s="4">
        <f>(O72-5)*12</f>
        <v>138</v>
      </c>
      <c r="Q72" s="4">
        <f>(1900+2500)/2</f>
        <v>2200</v>
      </c>
      <c r="R72" s="4">
        <v>0</v>
      </c>
      <c r="S72" s="4">
        <f>(1200+1500)/2</f>
        <v>1350</v>
      </c>
      <c r="T72" s="4">
        <v>82.666669999999996</v>
      </c>
      <c r="U72" s="4">
        <v>1561.7</v>
      </c>
      <c r="V72" s="4">
        <v>1.2250000000000001</v>
      </c>
      <c r="W72" s="4"/>
      <c r="X72" s="4"/>
      <c r="Y72" s="4"/>
      <c r="Z72" s="4"/>
      <c r="AA72" s="4"/>
      <c r="AB72" s="4"/>
      <c r="AC72" s="4"/>
      <c r="AD72" s="4"/>
      <c r="AE72" s="4"/>
      <c r="AF72" s="4"/>
      <c r="AG72" s="4"/>
      <c r="AH72" s="4"/>
      <c r="AI72" s="4"/>
      <c r="AJ72" s="4"/>
      <c r="AK72" s="4"/>
      <c r="AL72" s="4"/>
      <c r="AM72" s="4"/>
      <c r="AN72" s="4"/>
      <c r="AO72" s="4"/>
      <c r="AP72" s="4"/>
      <c r="AQ72" s="4"/>
      <c r="AR72" s="4"/>
      <c r="AS72" s="4"/>
      <c r="AT72" s="4"/>
      <c r="AV72" s="4"/>
      <c r="AW72" s="4">
        <v>7050</v>
      </c>
      <c r="AX72" s="4">
        <v>8.66</v>
      </c>
      <c r="AY72" s="4"/>
      <c r="AZ72" s="4">
        <f t="shared" si="7"/>
        <v>41.525491584537221</v>
      </c>
      <c r="BA72" s="4"/>
      <c r="BB72" s="4"/>
      <c r="BC72" s="4"/>
      <c r="BD72" s="4">
        <v>45.44</v>
      </c>
      <c r="BE72" s="4">
        <v>48.15</v>
      </c>
      <c r="BF72" s="4">
        <v>46.28</v>
      </c>
      <c r="BG72" s="4"/>
      <c r="BH72" s="4"/>
      <c r="BI72" s="4"/>
      <c r="BJ72" s="4"/>
      <c r="BK72" s="4"/>
      <c r="BL72" s="4"/>
      <c r="BM72" s="4">
        <f>3.19*BD72/100</f>
        <v>1.4495359999999999</v>
      </c>
      <c r="BN72" s="4">
        <f>10.19*BE72/100</f>
        <v>4.906485</v>
      </c>
      <c r="BO72" s="4">
        <f>71.94*BF72/100</f>
        <v>33.293831999999995</v>
      </c>
      <c r="BP72" s="4">
        <f>BM72+BN72+BO72</f>
        <v>39.649852999999993</v>
      </c>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2" t="s">
        <v>519</v>
      </c>
      <c r="CQ72" s="2" t="s">
        <v>254</v>
      </c>
      <c r="CR72" s="10" t="s">
        <v>520</v>
      </c>
      <c r="CS72" s="9" t="s">
        <v>256</v>
      </c>
    </row>
    <row r="73" spans="1:97" s="2" customFormat="1" ht="14.25">
      <c r="A73" s="2">
        <v>70</v>
      </c>
      <c r="B73" s="2" t="s">
        <v>114</v>
      </c>
      <c r="C73" s="2" t="s">
        <v>521</v>
      </c>
      <c r="D73" s="4" t="s">
        <v>116</v>
      </c>
      <c r="E73" s="2" t="s">
        <v>522</v>
      </c>
      <c r="F73" s="2" t="s">
        <v>523</v>
      </c>
      <c r="G73" s="2">
        <v>2007</v>
      </c>
      <c r="H73" s="2">
        <v>2007</v>
      </c>
      <c r="I73" s="2">
        <v>0</v>
      </c>
      <c r="J73" s="2">
        <v>0</v>
      </c>
      <c r="K73" s="2">
        <v>0</v>
      </c>
      <c r="L73" s="2">
        <v>0</v>
      </c>
      <c r="M73" s="2">
        <v>0</v>
      </c>
      <c r="N73" s="2">
        <v>0</v>
      </c>
      <c r="O73" s="4">
        <v>20.3</v>
      </c>
      <c r="P73" s="4">
        <v>183.60000000000002</v>
      </c>
      <c r="Q73" s="4">
        <v>3389</v>
      </c>
      <c r="R73" s="4">
        <v>0</v>
      </c>
      <c r="S73" s="4">
        <v>667</v>
      </c>
      <c r="T73" s="4">
        <v>85.2</v>
      </c>
      <c r="U73" s="4">
        <v>1599.1</v>
      </c>
      <c r="V73" s="4">
        <v>1.26</v>
      </c>
      <c r="W73" s="4"/>
      <c r="X73" s="4">
        <f>(3.75+3.8)/2</f>
        <v>3.7749999999999999</v>
      </c>
      <c r="Y73" s="4">
        <f>(4.6+4.6)/2</f>
        <v>4.5999999999999996</v>
      </c>
      <c r="Z73" s="4">
        <f>(0.55+0.4)/2</f>
        <v>0.47500000000000003</v>
      </c>
      <c r="AA73" s="4"/>
      <c r="AB73" s="4"/>
      <c r="AC73" s="4">
        <f>0.4*(16*5+30*2)/30</f>
        <v>1.8666666666666667</v>
      </c>
      <c r="AD73" s="4"/>
      <c r="AE73" s="4">
        <f>(2.42+2.34)/2</f>
        <v>2.38</v>
      </c>
      <c r="AF73" s="4">
        <f>(0.5877+0.4611)/2</f>
        <v>0.52439999999999998</v>
      </c>
      <c r="AG73" s="4">
        <f>(1.2162+1.2237)/2</f>
        <v>1.2199499999999999</v>
      </c>
      <c r="AH73" s="4">
        <f>(0.7169+0.8386)/2</f>
        <v>0.77774999999999994</v>
      </c>
      <c r="AI73" s="4">
        <f>(36+38)/2</f>
        <v>37</v>
      </c>
      <c r="AJ73" s="4">
        <f>(36.8+33)/2</f>
        <v>34.9</v>
      </c>
      <c r="AK73" s="4">
        <f>(27.2+37.2)/2</f>
        <v>32.200000000000003</v>
      </c>
      <c r="AL73" s="4"/>
      <c r="AM73" s="4"/>
      <c r="AN73" s="4"/>
      <c r="AO73" s="4"/>
      <c r="AP73" s="4"/>
      <c r="AQ73" s="4"/>
      <c r="AR73" s="4"/>
      <c r="AS73" s="4"/>
      <c r="AT73" s="4"/>
      <c r="AV73" s="4"/>
      <c r="AW73" s="4">
        <v>7933</v>
      </c>
      <c r="AX73" s="4">
        <v>6.8</v>
      </c>
      <c r="AY73" s="4">
        <v>10.3</v>
      </c>
      <c r="AZ73" s="4">
        <f t="shared" si="7"/>
        <v>28.810126226192569</v>
      </c>
      <c r="BA73" s="4"/>
      <c r="BB73" s="4"/>
      <c r="BC73" s="4"/>
      <c r="BD73" s="4">
        <v>45.44</v>
      </c>
      <c r="BE73" s="4">
        <v>48.15</v>
      </c>
      <c r="BF73" s="4">
        <v>46.28</v>
      </c>
      <c r="BG73" s="4">
        <v>44.87</v>
      </c>
      <c r="BH73" s="4">
        <v>44.87</v>
      </c>
      <c r="BI73" s="4">
        <v>43.54</v>
      </c>
      <c r="BJ73" s="4"/>
      <c r="BK73" s="4">
        <v>3.52</v>
      </c>
      <c r="BL73" s="4">
        <v>2.27</v>
      </c>
      <c r="BM73" s="4">
        <f>3.6*BD73/100</f>
        <v>1.63584</v>
      </c>
      <c r="BN73" s="4">
        <f>9.7*BE73/100</f>
        <v>4.6705499999999995</v>
      </c>
      <c r="BO73" s="4">
        <f>43.1*BF73/100</f>
        <v>19.946680000000001</v>
      </c>
      <c r="BP73" s="4">
        <f>BM73+BN73+BO73</f>
        <v>26.253070000000001</v>
      </c>
      <c r="BQ73" s="4">
        <f>BU73/BP73</f>
        <v>0.133317741506041</v>
      </c>
      <c r="BR73" s="4">
        <v>0.9</v>
      </c>
      <c r="BS73" s="4">
        <v>0.5</v>
      </c>
      <c r="BT73" s="4">
        <v>2.1</v>
      </c>
      <c r="BU73" s="4">
        <f>SUM(BR73:BT73)</f>
        <v>3.5</v>
      </c>
      <c r="BV73" s="4">
        <f>BU73+BP73</f>
        <v>29.753070000000001</v>
      </c>
      <c r="BW73" s="4"/>
      <c r="BX73" s="4">
        <v>172.8</v>
      </c>
      <c r="BY73" s="4"/>
      <c r="BZ73" s="4">
        <f>BV73+BX73</f>
        <v>202.55307000000002</v>
      </c>
      <c r="CA73" s="4"/>
      <c r="CB73" s="4"/>
      <c r="CC73" s="4"/>
      <c r="CD73" s="4"/>
      <c r="CE73" s="4"/>
      <c r="CF73" s="4">
        <f>CF75</f>
        <v>4</v>
      </c>
      <c r="CG73" s="4"/>
      <c r="CH73" s="4"/>
      <c r="CI73" s="4"/>
      <c r="CJ73" s="4"/>
      <c r="CK73" s="4"/>
      <c r="CL73" s="4"/>
      <c r="CM73" s="4"/>
      <c r="CN73" s="4"/>
      <c r="CO73" s="4"/>
      <c r="CP73" s="2" t="s">
        <v>504</v>
      </c>
      <c r="CQ73" s="2" t="s">
        <v>254</v>
      </c>
      <c r="CR73" s="10" t="s">
        <v>505</v>
      </c>
      <c r="CS73" s="9" t="s">
        <v>256</v>
      </c>
    </row>
    <row r="74" spans="1:97" s="2" customFormat="1" ht="12.75">
      <c r="A74" s="2">
        <v>71</v>
      </c>
      <c r="B74" s="2" t="s">
        <v>114</v>
      </c>
      <c r="C74" s="2" t="s">
        <v>521</v>
      </c>
      <c r="D74" s="4" t="s">
        <v>116</v>
      </c>
      <c r="E74" s="2" t="s">
        <v>524</v>
      </c>
      <c r="F74" s="2" t="s">
        <v>525</v>
      </c>
      <c r="G74" s="2">
        <v>2007</v>
      </c>
      <c r="H74" s="2">
        <v>2009</v>
      </c>
      <c r="I74" s="2">
        <v>0</v>
      </c>
      <c r="J74" s="2">
        <v>0</v>
      </c>
      <c r="K74" s="2">
        <v>0</v>
      </c>
      <c r="L74" s="2">
        <v>0</v>
      </c>
      <c r="M74" s="2">
        <v>0</v>
      </c>
      <c r="N74" s="2">
        <v>0</v>
      </c>
      <c r="O74" s="4">
        <v>20.3</v>
      </c>
      <c r="P74" s="4">
        <v>183.60000000000002</v>
      </c>
      <c r="Q74" s="4">
        <v>3389</v>
      </c>
      <c r="R74" s="4">
        <v>0</v>
      </c>
      <c r="S74" s="4">
        <v>667</v>
      </c>
      <c r="T74" s="4">
        <v>85.2</v>
      </c>
      <c r="U74" s="4">
        <v>1657.133</v>
      </c>
      <c r="V74" s="4">
        <v>1.2944439999999999</v>
      </c>
      <c r="W74" s="4"/>
      <c r="X74" s="4"/>
      <c r="Y74" s="4"/>
      <c r="Z74" s="4"/>
      <c r="AA74" s="4"/>
      <c r="AB74" s="4"/>
      <c r="AC74" s="4"/>
      <c r="AD74" s="4"/>
      <c r="AE74" s="4"/>
      <c r="AF74" s="4"/>
      <c r="AG74" s="4"/>
      <c r="AH74" s="4"/>
      <c r="AI74" s="4"/>
      <c r="AJ74" s="4"/>
      <c r="AK74" s="4"/>
      <c r="AL74" s="4"/>
      <c r="AM74" s="4"/>
      <c r="AN74" s="4"/>
      <c r="AO74" s="4"/>
      <c r="AP74" s="4"/>
      <c r="AQ74" s="4"/>
      <c r="AR74" s="4"/>
      <c r="AS74" s="4"/>
      <c r="AT74" s="4"/>
      <c r="AV74" s="4"/>
      <c r="AW74" s="4">
        <v>11467</v>
      </c>
      <c r="AX74" s="4">
        <v>5.9</v>
      </c>
      <c r="AY74" s="4">
        <v>9.5</v>
      </c>
      <c r="AZ74" s="4">
        <f>(AX74/2)^2*PI()*AW74/10000</f>
        <v>31.350445534820999</v>
      </c>
      <c r="BA74" s="4"/>
      <c r="BB74" s="4"/>
      <c r="BC74" s="4"/>
      <c r="BD74" s="4">
        <v>45.44</v>
      </c>
      <c r="BE74" s="4">
        <v>48.15</v>
      </c>
      <c r="BF74" s="4">
        <v>46.28</v>
      </c>
      <c r="BG74" s="4"/>
      <c r="BH74" s="4"/>
      <c r="BI74" s="4"/>
      <c r="BJ74" s="4"/>
      <c r="BK74" s="4"/>
      <c r="BL74" s="4"/>
      <c r="BM74" s="4"/>
      <c r="BN74" s="4"/>
      <c r="BO74" s="4"/>
      <c r="BP74" s="4">
        <v>29.5</v>
      </c>
      <c r="BQ74" s="4"/>
      <c r="BR74" s="4"/>
      <c r="BS74" s="4"/>
      <c r="BT74" s="4"/>
      <c r="BU74" s="4"/>
      <c r="BV74" s="4"/>
      <c r="BW74" s="4"/>
      <c r="BX74" s="4"/>
      <c r="BY74" s="4"/>
      <c r="BZ74" s="4"/>
      <c r="CA74" s="4"/>
      <c r="CB74" s="4"/>
      <c r="CC74" s="4"/>
      <c r="CD74" s="4"/>
      <c r="CE74" s="4"/>
      <c r="CF74" s="4">
        <f>(4.1+1.7)/2</f>
        <v>2.9</v>
      </c>
      <c r="CG74" s="4"/>
      <c r="CH74" s="4"/>
      <c r="CI74" s="4"/>
      <c r="CJ74" s="4"/>
      <c r="CK74" s="4"/>
      <c r="CL74" s="4"/>
      <c r="CM74" s="4"/>
      <c r="CN74" s="4"/>
      <c r="CO74" s="4"/>
      <c r="CP74" s="2" t="s">
        <v>526</v>
      </c>
      <c r="CQ74" s="2" t="s">
        <v>254</v>
      </c>
      <c r="CR74" s="10" t="s">
        <v>527</v>
      </c>
      <c r="CS74" s="9" t="s">
        <v>256</v>
      </c>
    </row>
    <row r="75" spans="1:97" s="2" customFormat="1" ht="12.75">
      <c r="A75" s="2">
        <v>72</v>
      </c>
      <c r="B75" s="2" t="s">
        <v>114</v>
      </c>
      <c r="C75" s="2" t="s">
        <v>521</v>
      </c>
      <c r="D75" s="4" t="s">
        <v>250</v>
      </c>
      <c r="E75" s="2" t="s">
        <v>528</v>
      </c>
      <c r="F75" s="2" t="s">
        <v>529</v>
      </c>
      <c r="G75" s="2">
        <v>2007</v>
      </c>
      <c r="H75" s="2">
        <v>2009</v>
      </c>
      <c r="I75" s="2">
        <v>1</v>
      </c>
      <c r="J75" s="2">
        <v>0</v>
      </c>
      <c r="K75" s="2">
        <v>1</v>
      </c>
      <c r="L75" s="2">
        <v>0</v>
      </c>
      <c r="M75" s="2">
        <v>1</v>
      </c>
      <c r="N75" s="2">
        <v>0</v>
      </c>
      <c r="O75" s="4">
        <v>20.3</v>
      </c>
      <c r="P75" s="4">
        <v>183.60000000000002</v>
      </c>
      <c r="Q75" s="4">
        <v>3389</v>
      </c>
      <c r="R75" s="4">
        <v>0</v>
      </c>
      <c r="S75" s="4">
        <v>667</v>
      </c>
      <c r="T75" s="4">
        <v>85.2</v>
      </c>
      <c r="U75" s="4">
        <v>1657.133</v>
      </c>
      <c r="V75" s="4">
        <v>1.2944439999999999</v>
      </c>
      <c r="W75" s="4"/>
      <c r="X75" s="4"/>
      <c r="Y75" s="4"/>
      <c r="Z75" s="4"/>
      <c r="AA75" s="4"/>
      <c r="AB75" s="4"/>
      <c r="AC75" s="4"/>
      <c r="AD75" s="4"/>
      <c r="AE75" s="4"/>
      <c r="AF75" s="4"/>
      <c r="AG75" s="4"/>
      <c r="AH75" s="4"/>
      <c r="AI75" s="4"/>
      <c r="AJ75" s="4"/>
      <c r="AK75" s="4"/>
      <c r="AL75" s="4"/>
      <c r="AM75" s="4"/>
      <c r="AN75" s="4"/>
      <c r="AO75" s="4"/>
      <c r="AP75" s="4"/>
      <c r="AQ75" s="4"/>
      <c r="AR75" s="4"/>
      <c r="AS75" s="4"/>
      <c r="AT75" s="4"/>
      <c r="AV75" s="4"/>
      <c r="AW75" s="4">
        <v>5567</v>
      </c>
      <c r="AX75" s="4">
        <v>4.8</v>
      </c>
      <c r="AY75" s="4">
        <v>8</v>
      </c>
      <c r="AZ75" s="4">
        <f t="shared" si="7"/>
        <v>10.073805870259802</v>
      </c>
      <c r="BA75" s="4"/>
      <c r="BB75" s="4"/>
      <c r="BC75" s="4"/>
      <c r="BD75" s="4">
        <v>45.44</v>
      </c>
      <c r="BE75" s="4">
        <v>48.15</v>
      </c>
      <c r="BF75" s="4">
        <v>46.28</v>
      </c>
      <c r="BG75" s="4"/>
      <c r="BH75" s="4"/>
      <c r="BI75" s="4"/>
      <c r="BJ75" s="4"/>
      <c r="BK75" s="4"/>
      <c r="BL75" s="4"/>
      <c r="BM75" s="4"/>
      <c r="BN75" s="4"/>
      <c r="BO75" s="4"/>
      <c r="BP75" s="4">
        <v>8</v>
      </c>
      <c r="BQ75" s="4"/>
      <c r="BR75" s="4"/>
      <c r="BS75" s="4"/>
      <c r="BT75" s="4"/>
      <c r="BU75" s="4"/>
      <c r="BV75" s="4"/>
      <c r="BW75" s="4"/>
      <c r="BX75" s="4"/>
      <c r="BY75" s="4"/>
      <c r="BZ75" s="4"/>
      <c r="CA75" s="4"/>
      <c r="CB75" s="4"/>
      <c r="CC75" s="4"/>
      <c r="CD75" s="4"/>
      <c r="CE75" s="4"/>
      <c r="CF75" s="4">
        <f>(2.2+5.8)/2</f>
        <v>4</v>
      </c>
      <c r="CG75" s="4"/>
      <c r="CH75" s="4"/>
      <c r="CI75" s="4"/>
      <c r="CJ75" s="4"/>
      <c r="CK75" s="4"/>
      <c r="CL75" s="4"/>
      <c r="CM75" s="4"/>
      <c r="CN75" s="4"/>
      <c r="CO75" s="4"/>
      <c r="CP75" s="2" t="s">
        <v>526</v>
      </c>
      <c r="CQ75" s="2" t="s">
        <v>254</v>
      </c>
      <c r="CR75" s="10" t="s">
        <v>527</v>
      </c>
      <c r="CS75" s="9" t="s">
        <v>256</v>
      </c>
    </row>
    <row r="76" spans="1:97" s="2" customFormat="1" ht="12.75">
      <c r="A76" s="2">
        <v>73</v>
      </c>
      <c r="B76" s="2" t="s">
        <v>114</v>
      </c>
      <c r="C76" s="2" t="s">
        <v>521</v>
      </c>
      <c r="D76" s="4" t="s">
        <v>116</v>
      </c>
      <c r="E76" s="2" t="s">
        <v>530</v>
      </c>
      <c r="F76" s="2" t="s">
        <v>531</v>
      </c>
      <c r="G76" s="2">
        <v>2007</v>
      </c>
      <c r="H76" s="2">
        <v>2009</v>
      </c>
      <c r="I76" s="2">
        <v>1</v>
      </c>
      <c r="J76" s="2">
        <v>0</v>
      </c>
      <c r="K76" s="2">
        <v>1</v>
      </c>
      <c r="L76" s="2">
        <v>0</v>
      </c>
      <c r="M76" s="2">
        <v>0</v>
      </c>
      <c r="N76" s="2">
        <v>0</v>
      </c>
      <c r="O76" s="4">
        <v>20.3</v>
      </c>
      <c r="P76" s="4">
        <v>183.60000000000002</v>
      </c>
      <c r="Q76" s="4">
        <v>3389</v>
      </c>
      <c r="R76" s="4">
        <v>0</v>
      </c>
      <c r="S76" s="4">
        <v>667</v>
      </c>
      <c r="T76" s="4">
        <v>85.2</v>
      </c>
      <c r="U76" s="4">
        <v>1657.133</v>
      </c>
      <c r="V76" s="4">
        <v>1.2944439999999999</v>
      </c>
      <c r="W76" s="4"/>
      <c r="X76" s="4"/>
      <c r="Y76" s="4"/>
      <c r="Z76" s="4"/>
      <c r="AA76" s="4"/>
      <c r="AB76" s="4"/>
      <c r="AC76" s="4"/>
      <c r="AD76" s="4"/>
      <c r="AE76" s="4"/>
      <c r="AF76" s="4"/>
      <c r="AG76" s="4"/>
      <c r="AH76" s="4"/>
      <c r="AI76" s="4"/>
      <c r="AJ76" s="4"/>
      <c r="AK76" s="4"/>
      <c r="AL76" s="4"/>
      <c r="AM76" s="4"/>
      <c r="AN76" s="4"/>
      <c r="AO76" s="4"/>
      <c r="AP76" s="4"/>
      <c r="AQ76" s="4"/>
      <c r="AR76" s="4"/>
      <c r="AS76" s="4"/>
      <c r="AT76" s="4"/>
      <c r="AV76" s="4"/>
      <c r="AW76" s="4">
        <v>10633</v>
      </c>
      <c r="AX76" s="4">
        <v>5.9</v>
      </c>
      <c r="AY76" s="4">
        <v>9.5</v>
      </c>
      <c r="AZ76" s="4">
        <f t="shared" si="7"/>
        <v>29.070313715161038</v>
      </c>
      <c r="BA76" s="4"/>
      <c r="BB76" s="4"/>
      <c r="BC76" s="4"/>
      <c r="BD76" s="4">
        <v>45.44</v>
      </c>
      <c r="BE76" s="4">
        <v>48.15</v>
      </c>
      <c r="BF76" s="4">
        <v>46.28</v>
      </c>
      <c r="BG76" s="4"/>
      <c r="BH76" s="4"/>
      <c r="BI76" s="4"/>
      <c r="BJ76" s="4"/>
      <c r="BK76" s="4"/>
      <c r="BL76" s="4"/>
      <c r="BM76" s="4"/>
      <c r="BN76" s="4"/>
      <c r="BO76" s="4"/>
      <c r="BP76" s="4">
        <v>28.4</v>
      </c>
      <c r="BQ76" s="4"/>
      <c r="BR76" s="4"/>
      <c r="BS76" s="4"/>
      <c r="BT76" s="4"/>
      <c r="BU76" s="4"/>
      <c r="BV76" s="4"/>
      <c r="BW76" s="4"/>
      <c r="BX76" s="4"/>
      <c r="BY76" s="4"/>
      <c r="BZ76" s="4"/>
      <c r="CA76" s="4"/>
      <c r="CB76" s="4"/>
      <c r="CC76" s="4"/>
      <c r="CD76" s="4"/>
      <c r="CE76" s="4"/>
      <c r="CF76" s="4">
        <f>(6.7+1.5)/2</f>
        <v>4.0999999999999996</v>
      </c>
      <c r="CG76" s="4"/>
      <c r="CH76" s="4"/>
      <c r="CI76" s="4"/>
      <c r="CJ76" s="4"/>
      <c r="CK76" s="4"/>
      <c r="CL76" s="4"/>
      <c r="CM76" s="4"/>
      <c r="CN76" s="4"/>
      <c r="CO76" s="4"/>
      <c r="CP76" s="2" t="s">
        <v>526</v>
      </c>
      <c r="CQ76" s="2" t="s">
        <v>254</v>
      </c>
      <c r="CR76" s="10" t="s">
        <v>527</v>
      </c>
      <c r="CS76" s="9" t="s">
        <v>256</v>
      </c>
    </row>
    <row r="77" spans="1:97" s="2" customFormat="1" ht="12.75">
      <c r="A77" s="2">
        <v>74</v>
      </c>
      <c r="B77" s="2" t="s">
        <v>114</v>
      </c>
      <c r="C77" s="2" t="s">
        <v>532</v>
      </c>
      <c r="D77" s="4" t="s">
        <v>116</v>
      </c>
      <c r="E77" s="2" t="s">
        <v>533</v>
      </c>
      <c r="F77" s="2" t="s">
        <v>534</v>
      </c>
      <c r="G77" s="2">
        <v>2004</v>
      </c>
      <c r="H77" s="2">
        <v>2007</v>
      </c>
      <c r="I77" s="2">
        <v>1</v>
      </c>
      <c r="J77" s="2">
        <v>1</v>
      </c>
      <c r="K77" s="2">
        <v>1</v>
      </c>
      <c r="L77" s="2">
        <v>1</v>
      </c>
      <c r="M77" s="2">
        <v>0</v>
      </c>
      <c r="N77" s="2">
        <v>0</v>
      </c>
      <c r="O77" s="4">
        <f>(11+22)/2</f>
        <v>16.5</v>
      </c>
      <c r="P77" s="4">
        <f t="shared" ref="P77:P101" si="8">(O77-5)*12</f>
        <v>138</v>
      </c>
      <c r="Q77" s="4">
        <f>(1900+2500)/2</f>
        <v>2200</v>
      </c>
      <c r="R77" s="4">
        <v>0</v>
      </c>
      <c r="S77" s="4">
        <f>(600+900)/2</f>
        <v>750</v>
      </c>
      <c r="T77" s="4">
        <v>82.666669999999996</v>
      </c>
      <c r="U77" s="4">
        <v>1561.7</v>
      </c>
      <c r="V77" s="4">
        <v>1.2250000000000001</v>
      </c>
      <c r="W77" s="4"/>
      <c r="X77" s="4"/>
      <c r="Y77" s="4"/>
      <c r="Z77" s="4"/>
      <c r="AA77" s="4"/>
      <c r="AB77" s="4"/>
      <c r="AC77" s="4"/>
      <c r="AD77" s="4"/>
      <c r="AE77" s="4"/>
      <c r="AF77" s="4"/>
      <c r="AG77" s="4"/>
      <c r="AH77" s="4"/>
      <c r="AI77" s="4"/>
      <c r="AJ77" s="4"/>
      <c r="AK77" s="4"/>
      <c r="AL77" s="4"/>
      <c r="AM77" s="4"/>
      <c r="AN77" s="4"/>
      <c r="AO77" s="4"/>
      <c r="AP77" s="4"/>
      <c r="AQ77" s="4"/>
      <c r="AR77" s="4"/>
      <c r="AS77" s="4"/>
      <c r="AT77" s="4"/>
      <c r="AV77" s="4"/>
      <c r="AW77" s="4">
        <v>6996</v>
      </c>
      <c r="AX77" s="4">
        <v>8.73</v>
      </c>
      <c r="AY77" s="4"/>
      <c r="AZ77" s="4">
        <f t="shared" si="7"/>
        <v>41.876287192360493</v>
      </c>
      <c r="BA77" s="4"/>
      <c r="BB77" s="4"/>
      <c r="BC77" s="4"/>
      <c r="BD77" s="4">
        <v>45.44</v>
      </c>
      <c r="BE77" s="4">
        <v>48.15</v>
      </c>
      <c r="BF77" s="4">
        <v>46.28</v>
      </c>
      <c r="BG77" s="4"/>
      <c r="BH77" s="4"/>
      <c r="BI77" s="4"/>
      <c r="BJ77" s="4"/>
      <c r="BK77" s="4"/>
      <c r="BL77" s="4"/>
      <c r="BM77" s="4">
        <f>3.65*BD77/100</f>
        <v>1.65856</v>
      </c>
      <c r="BN77" s="4">
        <f>11.33*BE77/100</f>
        <v>5.4553949999999993</v>
      </c>
      <c r="BO77" s="4">
        <f>79.42*BF77/100</f>
        <v>36.755575999999998</v>
      </c>
      <c r="BP77" s="4">
        <f>BM77+BN77+BO77</f>
        <v>43.869530999999995</v>
      </c>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2" t="s">
        <v>535</v>
      </c>
      <c r="CQ77" s="2" t="s">
        <v>254</v>
      </c>
      <c r="CR77" s="10" t="s">
        <v>520</v>
      </c>
      <c r="CS77" s="9" t="s">
        <v>256</v>
      </c>
    </row>
    <row r="78" spans="1:97" s="2" customFormat="1" ht="12.75">
      <c r="A78" s="2">
        <v>75</v>
      </c>
      <c r="B78" s="2" t="s">
        <v>114</v>
      </c>
      <c r="C78" s="2" t="s">
        <v>536</v>
      </c>
      <c r="D78" s="4" t="s">
        <v>507</v>
      </c>
      <c r="E78" s="2" t="s">
        <v>537</v>
      </c>
      <c r="F78" s="2" t="s">
        <v>538</v>
      </c>
      <c r="G78" s="2">
        <v>2004</v>
      </c>
      <c r="H78" s="2">
        <v>2007</v>
      </c>
      <c r="I78" s="2">
        <v>1</v>
      </c>
      <c r="J78" s="2">
        <v>1</v>
      </c>
      <c r="K78" s="2">
        <v>1</v>
      </c>
      <c r="L78" s="2">
        <v>1</v>
      </c>
      <c r="M78" s="2">
        <v>0</v>
      </c>
      <c r="N78" s="2">
        <v>0</v>
      </c>
      <c r="O78" s="4">
        <f>(11+22)/2</f>
        <v>16.5</v>
      </c>
      <c r="P78" s="4">
        <f t="shared" si="8"/>
        <v>138</v>
      </c>
      <c r="Q78" s="4">
        <f>(1900+2500)/2</f>
        <v>2200</v>
      </c>
      <c r="R78" s="4">
        <v>0</v>
      </c>
      <c r="S78" s="4">
        <f>(900+1200)/2</f>
        <v>1050</v>
      </c>
      <c r="T78" s="4">
        <v>82.666669999999996</v>
      </c>
      <c r="U78" s="4">
        <v>1561.7</v>
      </c>
      <c r="V78" s="4">
        <v>1.2250000000000001</v>
      </c>
      <c r="W78" s="4"/>
      <c r="X78" s="4"/>
      <c r="Y78" s="4"/>
      <c r="Z78" s="4"/>
      <c r="AA78" s="4"/>
      <c r="AB78" s="4"/>
      <c r="AC78" s="4"/>
      <c r="AD78" s="4"/>
      <c r="AE78" s="4"/>
      <c r="AF78" s="4"/>
      <c r="AG78" s="4"/>
      <c r="AH78" s="4"/>
      <c r="AI78" s="4"/>
      <c r="AJ78" s="4"/>
      <c r="AK78" s="4"/>
      <c r="AL78" s="4"/>
      <c r="AM78" s="4"/>
      <c r="AN78" s="4"/>
      <c r="AO78" s="4"/>
      <c r="AP78" s="4"/>
      <c r="AQ78" s="4"/>
      <c r="AR78" s="4"/>
      <c r="AS78" s="4"/>
      <c r="AT78" s="4"/>
      <c r="AV78" s="4"/>
      <c r="AW78" s="4">
        <v>7188</v>
      </c>
      <c r="AX78" s="4">
        <v>8.8699999999999992</v>
      </c>
      <c r="AY78" s="4"/>
      <c r="AZ78" s="4">
        <f t="shared" si="7"/>
        <v>44.41658755718521</v>
      </c>
      <c r="BA78" s="4"/>
      <c r="BB78" s="4"/>
      <c r="BC78" s="4"/>
      <c r="BD78" s="4">
        <v>45.44</v>
      </c>
      <c r="BE78" s="4">
        <v>48.15</v>
      </c>
      <c r="BF78" s="4">
        <v>46.28</v>
      </c>
      <c r="BG78" s="4"/>
      <c r="BH78" s="4"/>
      <c r="BI78" s="4"/>
      <c r="BJ78" s="4"/>
      <c r="BK78" s="4"/>
      <c r="BL78" s="4"/>
      <c r="BM78" s="4">
        <f>2.89*BD78/100</f>
        <v>1.3132159999999999</v>
      </c>
      <c r="BN78" s="4">
        <f>9.91*BE78/100</f>
        <v>4.7716649999999996</v>
      </c>
      <c r="BO78" s="4">
        <f>67.23*BF78/100</f>
        <v>31.114044000000003</v>
      </c>
      <c r="BP78" s="4">
        <f>BM78+BN78+BO78</f>
        <v>37.198925000000003</v>
      </c>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2" t="s">
        <v>519</v>
      </c>
      <c r="CQ78" s="2" t="s">
        <v>254</v>
      </c>
      <c r="CR78" s="10" t="s">
        <v>520</v>
      </c>
      <c r="CS78" s="9" t="s">
        <v>256</v>
      </c>
    </row>
    <row r="79" spans="1:97" s="2" customFormat="1" ht="12.75">
      <c r="A79" s="2">
        <v>76</v>
      </c>
      <c r="B79" s="2" t="s">
        <v>114</v>
      </c>
      <c r="C79" s="2" t="s">
        <v>506</v>
      </c>
      <c r="D79" s="4" t="s">
        <v>507</v>
      </c>
      <c r="E79" s="2" t="s">
        <v>539</v>
      </c>
      <c r="F79" s="2" t="s">
        <v>540</v>
      </c>
      <c r="G79" s="2">
        <v>2008</v>
      </c>
      <c r="H79" s="2">
        <v>2009</v>
      </c>
      <c r="I79" s="2">
        <v>1</v>
      </c>
      <c r="J79" s="2">
        <v>1</v>
      </c>
      <c r="K79" s="2">
        <v>0</v>
      </c>
      <c r="L79" s="2">
        <v>1</v>
      </c>
      <c r="M79" s="2">
        <v>0</v>
      </c>
      <c r="N79" s="2">
        <v>0</v>
      </c>
      <c r="O79" s="4">
        <v>23</v>
      </c>
      <c r="P79" s="4">
        <f t="shared" si="8"/>
        <v>216</v>
      </c>
      <c r="Q79" s="4">
        <v>2600</v>
      </c>
      <c r="R79" s="4">
        <v>0</v>
      </c>
      <c r="S79" s="4">
        <v>1135</v>
      </c>
      <c r="T79" s="4">
        <v>81.458330000000004</v>
      </c>
      <c r="U79" s="4">
        <v>1222</v>
      </c>
      <c r="V79" s="4">
        <v>0.65833299999999995</v>
      </c>
      <c r="W79" s="4"/>
      <c r="X79" s="4"/>
      <c r="Y79" s="4"/>
      <c r="Z79" s="4"/>
      <c r="AA79" s="4"/>
      <c r="AB79" s="4"/>
      <c r="AC79" s="4"/>
      <c r="AD79" s="4"/>
      <c r="AE79" s="4"/>
      <c r="AF79" s="4"/>
      <c r="AG79" s="4"/>
      <c r="AH79" s="4"/>
      <c r="AI79" s="4"/>
      <c r="AJ79" s="4"/>
      <c r="AK79" s="4"/>
      <c r="AL79" s="4"/>
      <c r="AM79" s="4"/>
      <c r="AN79" s="4"/>
      <c r="AO79" s="4"/>
      <c r="AP79" s="4"/>
      <c r="AQ79" s="4"/>
      <c r="AR79" s="4"/>
      <c r="AS79" s="4"/>
      <c r="AT79" s="4"/>
      <c r="AV79" s="4"/>
      <c r="AW79" s="4">
        <v>5167</v>
      </c>
      <c r="AX79" s="4">
        <v>8.9</v>
      </c>
      <c r="AY79" s="4">
        <v>12.6</v>
      </c>
      <c r="AZ79" s="4">
        <f t="shared" si="7"/>
        <v>32.144624449685232</v>
      </c>
      <c r="BA79" s="4"/>
      <c r="BB79" s="4"/>
      <c r="BC79" s="4"/>
      <c r="BD79" s="4"/>
      <c r="BE79" s="4"/>
      <c r="BF79" s="4"/>
      <c r="BG79" s="4"/>
      <c r="BH79" s="4"/>
      <c r="BI79" s="4"/>
      <c r="BJ79" s="4"/>
      <c r="BK79" s="4"/>
      <c r="BL79" s="4"/>
      <c r="BM79" s="4">
        <f>2.8*0.5</f>
        <v>1.4</v>
      </c>
      <c r="BN79" s="4">
        <f>9.7*0.5</f>
        <v>4.8499999999999996</v>
      </c>
      <c r="BO79" s="4">
        <f>61*0.5</f>
        <v>30.5</v>
      </c>
      <c r="BP79" s="4">
        <f>SUM(BM79:BO79)</f>
        <v>36.75</v>
      </c>
      <c r="BQ79" s="4">
        <f>BU79/BP79</f>
        <v>1.2394557823129251</v>
      </c>
      <c r="BR79" s="4">
        <f>6.2*0.5</f>
        <v>3.1</v>
      </c>
      <c r="BS79" s="4">
        <f>64.5*0.5</f>
        <v>32.25</v>
      </c>
      <c r="BT79" s="4">
        <f>20.4*0.5</f>
        <v>10.199999999999999</v>
      </c>
      <c r="BU79" s="4">
        <f>SUM(BR79:BT79)</f>
        <v>45.55</v>
      </c>
      <c r="BV79" s="4">
        <f>BU79+BP79</f>
        <v>82.3</v>
      </c>
      <c r="BW79" s="4"/>
      <c r="BX79" s="4"/>
      <c r="BY79" s="4"/>
      <c r="BZ79" s="4"/>
      <c r="CA79" s="4">
        <f>0.3*0.5</f>
        <v>0.15</v>
      </c>
      <c r="CB79" s="4">
        <f>1.2*0.5</f>
        <v>0.6</v>
      </c>
      <c r="CC79" s="4">
        <f>7.8*0.5</f>
        <v>3.9</v>
      </c>
      <c r="CD79" s="4"/>
      <c r="CE79" s="4"/>
      <c r="CF79" s="4">
        <f>SUM(CA79:CD79)</f>
        <v>4.6500000000000004</v>
      </c>
      <c r="CG79" s="4"/>
      <c r="CH79" s="4"/>
      <c r="CI79" s="4"/>
      <c r="CJ79" s="4"/>
      <c r="CK79" s="4"/>
      <c r="CL79" s="4"/>
      <c r="CM79" s="4"/>
      <c r="CN79" s="4"/>
      <c r="CO79" s="4"/>
      <c r="CP79" s="2" t="s">
        <v>541</v>
      </c>
      <c r="CQ79" s="2" t="s">
        <v>254</v>
      </c>
      <c r="CR79" s="10" t="s">
        <v>511</v>
      </c>
      <c r="CS79" s="9" t="s">
        <v>256</v>
      </c>
    </row>
    <row r="80" spans="1:97" s="2" customFormat="1" ht="12.75">
      <c r="A80" s="2">
        <v>77</v>
      </c>
      <c r="B80" s="2" t="s">
        <v>114</v>
      </c>
      <c r="C80" s="2" t="s">
        <v>506</v>
      </c>
      <c r="D80" s="4" t="s">
        <v>507</v>
      </c>
      <c r="E80" s="2" t="s">
        <v>542</v>
      </c>
      <c r="F80" s="2" t="s">
        <v>543</v>
      </c>
      <c r="G80" s="2">
        <v>2008</v>
      </c>
      <c r="H80" s="2">
        <v>2009</v>
      </c>
      <c r="I80" s="2">
        <v>1</v>
      </c>
      <c r="J80" s="2">
        <v>1</v>
      </c>
      <c r="K80" s="2">
        <v>0</v>
      </c>
      <c r="L80" s="2">
        <v>1</v>
      </c>
      <c r="M80" s="2">
        <v>0</v>
      </c>
      <c r="N80" s="2">
        <v>0</v>
      </c>
      <c r="O80" s="4">
        <v>23</v>
      </c>
      <c r="P80" s="4">
        <f t="shared" si="8"/>
        <v>216</v>
      </c>
      <c r="Q80" s="4">
        <v>2600</v>
      </c>
      <c r="R80" s="4">
        <v>0</v>
      </c>
      <c r="S80" s="4">
        <v>1135</v>
      </c>
      <c r="T80" s="4">
        <v>81.458330000000004</v>
      </c>
      <c r="U80" s="4">
        <v>1222</v>
      </c>
      <c r="V80" s="4">
        <v>0.65833299999999995</v>
      </c>
      <c r="W80" s="4"/>
      <c r="X80" s="4"/>
      <c r="Y80" s="4"/>
      <c r="Z80" s="4"/>
      <c r="AA80" s="4"/>
      <c r="AB80" s="4"/>
      <c r="AC80" s="4"/>
      <c r="AD80" s="4"/>
      <c r="AE80" s="4"/>
      <c r="AF80" s="4"/>
      <c r="AG80" s="4"/>
      <c r="AH80" s="4"/>
      <c r="AI80" s="4"/>
      <c r="AJ80" s="4"/>
      <c r="AK80" s="4"/>
      <c r="AL80" s="4"/>
      <c r="AM80" s="4"/>
      <c r="AN80" s="4"/>
      <c r="AO80" s="4"/>
      <c r="AP80" s="4"/>
      <c r="AQ80" s="4"/>
      <c r="AR80" s="4"/>
      <c r="AS80" s="4"/>
      <c r="AT80" s="4"/>
      <c r="AV80" s="4"/>
      <c r="AW80" s="4">
        <v>5733</v>
      </c>
      <c r="AX80" s="4">
        <v>9.1</v>
      </c>
      <c r="AY80" s="4">
        <v>13.2</v>
      </c>
      <c r="AZ80" s="4">
        <f t="shared" si="7"/>
        <v>37.286756601543445</v>
      </c>
      <c r="BA80" s="4"/>
      <c r="BB80" s="4"/>
      <c r="BC80" s="4"/>
      <c r="BD80" s="4"/>
      <c r="BE80" s="4"/>
      <c r="BF80" s="4"/>
      <c r="BG80" s="4"/>
      <c r="BH80" s="4"/>
      <c r="BI80" s="4"/>
      <c r="BJ80" s="4"/>
      <c r="BK80" s="4"/>
      <c r="BL80" s="4"/>
      <c r="BM80" s="4">
        <f>3.2*0.5</f>
        <v>1.6</v>
      </c>
      <c r="BN80" s="4">
        <f>10.8*0.5</f>
        <v>5.4</v>
      </c>
      <c r="BO80" s="4">
        <f>69.9*0.5</f>
        <v>34.950000000000003</v>
      </c>
      <c r="BP80" s="4">
        <f>SUM(BM80:BO80)</f>
        <v>41.95</v>
      </c>
      <c r="BQ80" s="4">
        <f>BU80/BP80</f>
        <v>1.1108462455303934</v>
      </c>
      <c r="BR80" s="4">
        <f>6.1*0.5</f>
        <v>3.05</v>
      </c>
      <c r="BS80" s="4">
        <f>63.4*0.5</f>
        <v>31.7</v>
      </c>
      <c r="BT80" s="4">
        <f>23.7*0.5</f>
        <v>11.85</v>
      </c>
      <c r="BU80" s="4">
        <f>SUM(BR80:BT80)</f>
        <v>46.6</v>
      </c>
      <c r="BV80" s="4">
        <f>BU80+BP80</f>
        <v>88.550000000000011</v>
      </c>
      <c r="BW80" s="4"/>
      <c r="BX80" s="4"/>
      <c r="BY80" s="4"/>
      <c r="BZ80" s="4"/>
      <c r="CA80" s="4">
        <f>0.2*0.5</f>
        <v>0.1</v>
      </c>
      <c r="CB80" s="4">
        <f>0.9*0.5</f>
        <v>0.45</v>
      </c>
      <c r="CC80" s="4">
        <f>5.8*0.5</f>
        <v>2.9</v>
      </c>
      <c r="CD80" s="4"/>
      <c r="CE80" s="4"/>
      <c r="CF80" s="4">
        <f>SUM(CA80:CD80)</f>
        <v>3.45</v>
      </c>
      <c r="CG80" s="4"/>
      <c r="CH80" s="4"/>
      <c r="CI80" s="4"/>
      <c r="CJ80" s="4"/>
      <c r="CK80" s="4"/>
      <c r="CL80" s="4"/>
      <c r="CM80" s="4"/>
      <c r="CN80" s="4"/>
      <c r="CO80" s="4"/>
      <c r="CP80" s="2" t="s">
        <v>541</v>
      </c>
      <c r="CQ80" s="2" t="s">
        <v>254</v>
      </c>
      <c r="CR80" s="10" t="s">
        <v>511</v>
      </c>
      <c r="CS80" s="9" t="s">
        <v>256</v>
      </c>
    </row>
    <row r="81" spans="1:97" s="2" customFormat="1" ht="12.75">
      <c r="A81" s="2">
        <v>78</v>
      </c>
      <c r="B81" s="2" t="s">
        <v>114</v>
      </c>
      <c r="C81" s="2" t="s">
        <v>544</v>
      </c>
      <c r="D81" s="4" t="s">
        <v>116</v>
      </c>
      <c r="E81" s="2" t="s">
        <v>545</v>
      </c>
      <c r="F81" s="2" t="s">
        <v>546</v>
      </c>
      <c r="G81" s="2">
        <v>2008</v>
      </c>
      <c r="H81" s="2">
        <v>2008</v>
      </c>
      <c r="I81" s="2">
        <v>1</v>
      </c>
      <c r="J81" s="2">
        <v>1</v>
      </c>
      <c r="K81" s="2">
        <v>0</v>
      </c>
      <c r="L81" s="2">
        <v>1</v>
      </c>
      <c r="M81" s="2">
        <v>0</v>
      </c>
      <c r="N81" s="2">
        <v>0</v>
      </c>
      <c r="O81" s="4">
        <v>15.3</v>
      </c>
      <c r="P81" s="4">
        <f t="shared" si="8"/>
        <v>123.60000000000001</v>
      </c>
      <c r="Q81" s="4">
        <v>1558</v>
      </c>
      <c r="R81" s="4">
        <v>0</v>
      </c>
      <c r="S81" s="4">
        <v>769</v>
      </c>
      <c r="T81" s="4">
        <v>82.666669999999996</v>
      </c>
      <c r="U81" s="4">
        <v>1561.7</v>
      </c>
      <c r="V81" s="4">
        <v>1.2250000000000001</v>
      </c>
      <c r="W81" s="4"/>
      <c r="X81" s="4"/>
      <c r="Y81" s="4"/>
      <c r="Z81" s="4"/>
      <c r="AA81" s="4"/>
      <c r="AB81" s="4"/>
      <c r="AC81" s="4"/>
      <c r="AD81" s="4"/>
      <c r="AE81" s="4"/>
      <c r="AF81" s="4"/>
      <c r="AG81" s="4"/>
      <c r="AH81" s="4"/>
      <c r="AI81" s="4"/>
      <c r="AJ81" s="4"/>
      <c r="AK81" s="4"/>
      <c r="AL81" s="4"/>
      <c r="AM81" s="4"/>
      <c r="AN81" s="4"/>
      <c r="AO81" s="4"/>
      <c r="AP81" s="4"/>
      <c r="AQ81" s="4"/>
      <c r="AR81" s="4"/>
      <c r="AS81" s="4"/>
      <c r="AT81" s="4"/>
      <c r="AV81" s="4"/>
      <c r="AW81" s="4">
        <v>5733</v>
      </c>
      <c r="AX81" s="4">
        <v>6.3</v>
      </c>
      <c r="AY81" s="4"/>
      <c r="AZ81" s="4">
        <f t="shared" si="7"/>
        <v>17.871167365236797</v>
      </c>
      <c r="BA81" s="4"/>
      <c r="BB81" s="4"/>
      <c r="BC81" s="4"/>
      <c r="BD81" s="4"/>
      <c r="BE81" s="4"/>
      <c r="BF81" s="4"/>
      <c r="BG81" s="4"/>
      <c r="BH81" s="4"/>
      <c r="BI81" s="4"/>
      <c r="BJ81" s="4"/>
      <c r="BK81" s="4"/>
      <c r="BL81" s="4"/>
      <c r="BM81" s="4"/>
      <c r="BN81" s="4"/>
      <c r="BO81" s="4"/>
      <c r="BP81" s="4">
        <v>38.4</v>
      </c>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2" t="s">
        <v>547</v>
      </c>
      <c r="CQ81" s="2" t="s">
        <v>254</v>
      </c>
      <c r="CR81" s="10" t="s">
        <v>548</v>
      </c>
      <c r="CS81" s="9" t="s">
        <v>256</v>
      </c>
    </row>
    <row r="82" spans="1:97" s="2" customFormat="1" ht="12.75">
      <c r="A82" s="2">
        <v>79</v>
      </c>
      <c r="B82" s="2" t="s">
        <v>114</v>
      </c>
      <c r="C82" s="2" t="s">
        <v>544</v>
      </c>
      <c r="D82" s="4" t="s">
        <v>116</v>
      </c>
      <c r="E82" s="2" t="s">
        <v>549</v>
      </c>
      <c r="F82" s="2" t="s">
        <v>550</v>
      </c>
      <c r="G82" s="2">
        <v>2008</v>
      </c>
      <c r="H82" s="2">
        <v>2014</v>
      </c>
      <c r="I82" s="2">
        <v>0</v>
      </c>
      <c r="J82" s="2">
        <v>0</v>
      </c>
      <c r="K82" s="2">
        <v>0</v>
      </c>
      <c r="L82" s="2">
        <v>0</v>
      </c>
      <c r="M82" s="2">
        <v>0</v>
      </c>
      <c r="N82" s="2">
        <v>0</v>
      </c>
      <c r="O82" s="4">
        <v>15.3</v>
      </c>
      <c r="P82" s="4">
        <f t="shared" si="8"/>
        <v>123.60000000000001</v>
      </c>
      <c r="Q82" s="4">
        <v>1558</v>
      </c>
      <c r="R82" s="4">
        <v>0</v>
      </c>
      <c r="S82" s="4">
        <v>769</v>
      </c>
      <c r="T82" s="4">
        <v>82.666669999999996</v>
      </c>
      <c r="U82" s="4">
        <v>1561.7</v>
      </c>
      <c r="V82" s="4">
        <v>1.2250000000000001</v>
      </c>
      <c r="W82" s="4"/>
      <c r="X82" s="4"/>
      <c r="Y82" s="4"/>
      <c r="Z82" s="4"/>
      <c r="AA82" s="4"/>
      <c r="AB82" s="4"/>
      <c r="AC82" s="4"/>
      <c r="AD82" s="4"/>
      <c r="AE82" s="4"/>
      <c r="AF82" s="4"/>
      <c r="AG82" s="4"/>
      <c r="AH82" s="4"/>
      <c r="AI82" s="4"/>
      <c r="AJ82" s="4"/>
      <c r="AK82" s="4"/>
      <c r="AL82" s="4"/>
      <c r="AM82" s="4"/>
      <c r="AN82" s="4"/>
      <c r="AO82" s="4"/>
      <c r="AP82" s="4"/>
      <c r="AQ82" s="4"/>
      <c r="AR82" s="4"/>
      <c r="AS82" s="4"/>
      <c r="AT82" s="4"/>
      <c r="AV82" s="4"/>
      <c r="AW82" s="4">
        <v>13067</v>
      </c>
      <c r="AX82" s="4">
        <v>5.5</v>
      </c>
      <c r="AY82" s="4"/>
      <c r="AZ82" s="4">
        <f t="shared" si="7"/>
        <v>31.044963348371233</v>
      </c>
      <c r="BA82" s="4"/>
      <c r="BB82" s="4"/>
      <c r="BC82" s="4"/>
      <c r="BD82" s="4"/>
      <c r="BE82" s="4"/>
      <c r="BF82" s="4"/>
      <c r="BG82" s="4"/>
      <c r="BH82" s="4"/>
      <c r="BI82" s="4"/>
      <c r="BJ82" s="4"/>
      <c r="BK82" s="4"/>
      <c r="BL82" s="4"/>
      <c r="BM82" s="4"/>
      <c r="BN82" s="4"/>
      <c r="BO82" s="4"/>
      <c r="BP82" s="4">
        <v>60.4</v>
      </c>
      <c r="BQ82" s="4"/>
      <c r="BR82" s="4"/>
      <c r="BS82" s="4"/>
      <c r="BT82" s="4"/>
      <c r="BU82" s="4"/>
      <c r="BV82" s="4"/>
      <c r="BW82" s="4"/>
      <c r="BX82" s="4"/>
      <c r="BY82" s="4"/>
      <c r="BZ82" s="4"/>
      <c r="CA82" s="4"/>
      <c r="CB82" s="4"/>
      <c r="CC82" s="4"/>
      <c r="CD82" s="4"/>
      <c r="CE82" s="4"/>
      <c r="CF82" s="4">
        <f>((51.7-53.2)+(53.2-60.4)+(60.4-59.2)+(59.2-49.8)+(49.8-46.7)+(46.7-38.4))/6</f>
        <v>2.2166666666666672</v>
      </c>
      <c r="CG82" s="4"/>
      <c r="CH82" s="4"/>
      <c r="CI82" s="4"/>
      <c r="CJ82" s="4"/>
      <c r="CK82" s="4"/>
      <c r="CL82" s="4"/>
      <c r="CM82" s="4"/>
      <c r="CN82" s="4"/>
      <c r="CO82" s="4"/>
      <c r="CP82" s="2" t="s">
        <v>547</v>
      </c>
      <c r="CQ82" s="2" t="s">
        <v>254</v>
      </c>
      <c r="CR82" s="10" t="s">
        <v>548</v>
      </c>
      <c r="CS82" s="9" t="s">
        <v>256</v>
      </c>
    </row>
    <row r="83" spans="1:97" s="2" customFormat="1" ht="12.75">
      <c r="A83" s="2">
        <v>80</v>
      </c>
      <c r="B83" s="2" t="s">
        <v>114</v>
      </c>
      <c r="C83" s="2" t="s">
        <v>551</v>
      </c>
      <c r="D83" s="4" t="s">
        <v>507</v>
      </c>
      <c r="E83" s="2" t="s">
        <v>552</v>
      </c>
      <c r="F83" s="14" t="s">
        <v>553</v>
      </c>
      <c r="G83" s="2">
        <v>2012</v>
      </c>
      <c r="H83" s="2">
        <v>2012</v>
      </c>
      <c r="I83" s="2">
        <v>1</v>
      </c>
      <c r="J83" s="2">
        <v>1</v>
      </c>
      <c r="K83" s="2">
        <v>1</v>
      </c>
      <c r="L83" s="2">
        <v>0</v>
      </c>
      <c r="M83" s="2">
        <v>0</v>
      </c>
      <c r="N83" s="2">
        <v>0</v>
      </c>
      <c r="O83" s="4">
        <v>17.2</v>
      </c>
      <c r="P83" s="4">
        <f t="shared" si="8"/>
        <v>146.39999999999998</v>
      </c>
      <c r="Q83" s="4">
        <v>3030</v>
      </c>
      <c r="R83" s="4">
        <v>0</v>
      </c>
      <c r="S83" s="4">
        <v>1120</v>
      </c>
      <c r="T83" s="4">
        <v>83.666666666666671</v>
      </c>
      <c r="U83" s="4">
        <v>1388.8000000000002</v>
      </c>
      <c r="V83" s="4">
        <v>1.1000000000000003</v>
      </c>
      <c r="W83" s="4"/>
      <c r="X83" s="4"/>
      <c r="Y83" s="4">
        <v>4.0999999999999996</v>
      </c>
      <c r="Z83" s="4"/>
      <c r="AA83" s="4"/>
      <c r="AB83" s="4"/>
      <c r="AC83" s="4"/>
      <c r="AD83" s="4"/>
      <c r="AE83" s="4"/>
      <c r="AF83" s="4"/>
      <c r="AG83" s="4"/>
      <c r="AH83" s="4"/>
      <c r="AI83" s="4"/>
      <c r="AJ83" s="4"/>
      <c r="AK83" s="4"/>
      <c r="AL83" s="4"/>
      <c r="AM83" s="4"/>
      <c r="AN83" s="4"/>
      <c r="AO83" s="4"/>
      <c r="AP83" s="4"/>
      <c r="AQ83" s="4"/>
      <c r="AR83" s="4"/>
      <c r="AS83" s="4"/>
      <c r="AT83" s="4"/>
      <c r="AV83" s="4"/>
      <c r="AW83" s="4">
        <v>3954</v>
      </c>
      <c r="AX83" s="4">
        <v>8.4</v>
      </c>
      <c r="AY83" s="4">
        <v>12</v>
      </c>
      <c r="AZ83" s="4">
        <f>(AX83/2)^2*PI()*AW83/10000</f>
        <v>21.912156369446688</v>
      </c>
      <c r="BA83" s="4"/>
      <c r="BB83" s="4"/>
      <c r="BC83" s="4"/>
      <c r="BD83" s="4">
        <v>47.6</v>
      </c>
      <c r="BE83" s="4">
        <v>43.5</v>
      </c>
      <c r="BF83" s="4">
        <v>49.5</v>
      </c>
      <c r="BG83" s="4">
        <v>43.4</v>
      </c>
      <c r="BH83" s="4">
        <v>49.4</v>
      </c>
      <c r="BI83" s="4">
        <v>48.4</v>
      </c>
      <c r="BJ83" s="4">
        <v>49.5</v>
      </c>
      <c r="BK83" s="4">
        <v>4.05</v>
      </c>
      <c r="BL83" s="4">
        <f>(2.57+1.93)/2</f>
        <v>2.25</v>
      </c>
      <c r="BM83" s="4">
        <v>2.06</v>
      </c>
      <c r="BN83" s="4">
        <v>3.73</v>
      </c>
      <c r="BO83" s="4">
        <v>21.47</v>
      </c>
      <c r="BP83" s="4">
        <f>SUM(BM83:BO83)</f>
        <v>27.259999999999998</v>
      </c>
      <c r="BQ83" s="4"/>
      <c r="BR83" s="4"/>
      <c r="BS83" s="4"/>
      <c r="BT83" s="4"/>
      <c r="BU83" s="4"/>
      <c r="BV83" s="4"/>
      <c r="BW83" s="4"/>
      <c r="BX83" s="4"/>
      <c r="BY83" s="4"/>
      <c r="BZ83" s="4"/>
      <c r="CA83" s="4">
        <v>0.38</v>
      </c>
      <c r="CB83" s="4">
        <v>0.69</v>
      </c>
      <c r="CC83" s="4">
        <v>4.05</v>
      </c>
      <c r="CD83" s="4">
        <v>1.99</v>
      </c>
      <c r="CE83" s="4">
        <f>CD83+CA83</f>
        <v>2.37</v>
      </c>
      <c r="CF83" s="4">
        <f>SUM(CA83:CD83)</f>
        <v>7.1099999999999994</v>
      </c>
      <c r="CG83" s="4">
        <v>0.8</v>
      </c>
      <c r="CH83" s="4">
        <v>0.59</v>
      </c>
      <c r="CI83" s="4"/>
      <c r="CJ83" s="4">
        <f>SUM(CG83:CI83)</f>
        <v>1.3900000000000001</v>
      </c>
      <c r="CK83" s="4">
        <f>CJ83+CF83</f>
        <v>8.5</v>
      </c>
      <c r="CL83" s="4">
        <v>11.21</v>
      </c>
      <c r="CM83" s="4">
        <v>4.4800000000000004</v>
      </c>
      <c r="CN83" s="4">
        <f>CL83-CM83</f>
        <v>6.73</v>
      </c>
      <c r="CO83" s="4">
        <f>CK83-CM83</f>
        <v>4.0199999999999996</v>
      </c>
      <c r="CP83" s="2" t="s">
        <v>554</v>
      </c>
      <c r="CQ83" s="2" t="s">
        <v>254</v>
      </c>
      <c r="CR83" s="10" t="s">
        <v>555</v>
      </c>
      <c r="CS83" s="9" t="s">
        <v>256</v>
      </c>
    </row>
    <row r="84" spans="1:97" s="2" customFormat="1" ht="15">
      <c r="A84" s="15">
        <v>81</v>
      </c>
      <c r="B84" s="15" t="s">
        <v>114</v>
      </c>
      <c r="C84" s="15" t="s">
        <v>551</v>
      </c>
      <c r="D84" s="16" t="s">
        <v>507</v>
      </c>
      <c r="E84" s="15" t="s">
        <v>556</v>
      </c>
      <c r="F84" s="17" t="s">
        <v>557</v>
      </c>
      <c r="G84" s="15">
        <v>2012</v>
      </c>
      <c r="H84" s="15">
        <v>2015</v>
      </c>
      <c r="I84" s="15">
        <v>0</v>
      </c>
      <c r="J84" s="15">
        <v>0</v>
      </c>
      <c r="K84" s="15">
        <v>0</v>
      </c>
      <c r="L84" s="15">
        <v>0</v>
      </c>
      <c r="M84" s="15">
        <v>0</v>
      </c>
      <c r="N84" s="15">
        <v>0</v>
      </c>
      <c r="O84" s="16">
        <v>18.600000000000001</v>
      </c>
      <c r="P84" s="16">
        <f t="shared" si="8"/>
        <v>163.20000000000002</v>
      </c>
      <c r="Q84" s="16">
        <v>2407</v>
      </c>
      <c r="R84" s="16">
        <v>0</v>
      </c>
      <c r="S84" s="16">
        <v>1120</v>
      </c>
      <c r="T84" s="16">
        <v>83.104169999999996</v>
      </c>
      <c r="U84" s="16">
        <v>1541.15</v>
      </c>
      <c r="V84" s="16">
        <v>1.077083</v>
      </c>
      <c r="W84" s="16"/>
      <c r="X84" s="16"/>
      <c r="Y84" s="16">
        <v>4.0999999999999996</v>
      </c>
      <c r="Z84" s="16"/>
      <c r="AA84" s="16"/>
      <c r="AB84" s="16"/>
      <c r="AC84" s="16"/>
      <c r="AD84" s="16"/>
      <c r="AE84" s="16"/>
      <c r="AF84" s="16"/>
      <c r="AG84" s="16"/>
      <c r="AH84" s="16"/>
      <c r="AI84" s="16"/>
      <c r="AJ84" s="16"/>
      <c r="AK84" s="16"/>
      <c r="AL84" s="16"/>
      <c r="AM84" s="16"/>
      <c r="AN84" s="16"/>
      <c r="AO84" s="16"/>
      <c r="AP84" s="16"/>
      <c r="AQ84" s="16"/>
      <c r="AR84" s="16"/>
      <c r="AS84" s="16"/>
      <c r="AT84" s="16"/>
      <c r="AU84" s="15"/>
      <c r="AV84" s="16"/>
      <c r="AW84" s="16">
        <v>6000</v>
      </c>
      <c r="AX84" s="16"/>
      <c r="AY84" s="16"/>
      <c r="AZ84" s="16"/>
      <c r="BA84" s="16"/>
      <c r="BB84" s="16"/>
      <c r="BC84" s="16"/>
      <c r="BD84" s="16">
        <v>47.6</v>
      </c>
      <c r="BE84" s="16">
        <v>43.5</v>
      </c>
      <c r="BF84" s="16">
        <v>49.5</v>
      </c>
      <c r="BG84" s="16">
        <v>43.4</v>
      </c>
      <c r="BH84" s="16">
        <v>49.4</v>
      </c>
      <c r="BI84" s="16">
        <v>48.4</v>
      </c>
      <c r="BJ84" s="16">
        <v>49.5</v>
      </c>
      <c r="BK84" s="16">
        <v>4.05</v>
      </c>
      <c r="BL84" s="16">
        <f>(2.57+1.93)/2</f>
        <v>2.25</v>
      </c>
      <c r="BM84" s="16">
        <v>3.13</v>
      </c>
      <c r="BN84" s="16">
        <v>5.65</v>
      </c>
      <c r="BO84" s="16">
        <v>33.26</v>
      </c>
      <c r="BP84" s="16">
        <f>SUM(BM84:BO84)</f>
        <v>42.04</v>
      </c>
      <c r="BQ84" s="16">
        <f>BU84/BP84</f>
        <v>0.80137963843958127</v>
      </c>
      <c r="BR84" s="16">
        <v>6.48</v>
      </c>
      <c r="BS84" s="16">
        <v>27.21</v>
      </c>
      <c r="BT84" s="16"/>
      <c r="BU84" s="16">
        <f>SUM(BR84:BT84)</f>
        <v>33.69</v>
      </c>
      <c r="BV84" s="16">
        <f>BU84+BP84</f>
        <v>75.72999999999999</v>
      </c>
      <c r="BW84" s="16"/>
      <c r="BX84" s="16">
        <v>70.25</v>
      </c>
      <c r="BY84" s="16"/>
      <c r="BZ84" s="16">
        <f>BV84+BX84</f>
        <v>145.97999999999999</v>
      </c>
      <c r="CA84" s="16">
        <v>0.41</v>
      </c>
      <c r="CB84" s="16">
        <v>0.75</v>
      </c>
      <c r="CC84" s="16">
        <v>4.42</v>
      </c>
      <c r="CD84" s="16">
        <v>2.1800000000000002</v>
      </c>
      <c r="CE84" s="4">
        <f>CD84+CA84</f>
        <v>2.5900000000000003</v>
      </c>
      <c r="CF84" s="16">
        <f>SUM(CA84:CD84)</f>
        <v>7.76</v>
      </c>
      <c r="CG84" s="16">
        <v>0.71</v>
      </c>
      <c r="CH84" s="16">
        <v>0.4</v>
      </c>
      <c r="CI84" s="16"/>
      <c r="CJ84" s="16">
        <f>SUM(CG84:CI84)</f>
        <v>1.1099999999999999</v>
      </c>
      <c r="CK84" s="16">
        <f>CJ84+CF84</f>
        <v>8.8699999999999992</v>
      </c>
      <c r="CL84" s="16">
        <v>11.41</v>
      </c>
      <c r="CM84" s="16">
        <v>4.55</v>
      </c>
      <c r="CN84" s="16">
        <f>CL84-CM84</f>
        <v>6.86</v>
      </c>
      <c r="CO84" s="16">
        <f>CK84-CM84</f>
        <v>4.3199999999999994</v>
      </c>
      <c r="CP84" s="15" t="s">
        <v>554</v>
      </c>
      <c r="CQ84" s="15" t="s">
        <v>254</v>
      </c>
      <c r="CR84" s="32" t="s">
        <v>555</v>
      </c>
      <c r="CS84" s="33" t="s">
        <v>256</v>
      </c>
    </row>
    <row r="85" spans="1:97" s="2" customFormat="1" ht="12.75">
      <c r="A85" s="2">
        <v>82</v>
      </c>
      <c r="B85" s="2" t="s">
        <v>558</v>
      </c>
      <c r="C85" s="2" t="s">
        <v>559</v>
      </c>
      <c r="D85" s="4" t="s">
        <v>250</v>
      </c>
      <c r="E85" s="2" t="s">
        <v>560</v>
      </c>
      <c r="F85" s="14" t="s">
        <v>561</v>
      </c>
      <c r="G85" s="2">
        <v>2018</v>
      </c>
      <c r="H85" s="2">
        <v>2018</v>
      </c>
      <c r="I85" s="2">
        <v>1</v>
      </c>
      <c r="J85" s="2">
        <v>1</v>
      </c>
      <c r="K85" s="2">
        <v>1</v>
      </c>
      <c r="L85" s="2">
        <v>1</v>
      </c>
      <c r="M85" s="2">
        <v>0</v>
      </c>
      <c r="N85" s="2">
        <v>0</v>
      </c>
      <c r="O85" s="4">
        <v>16</v>
      </c>
      <c r="P85" s="4">
        <f t="shared" si="8"/>
        <v>132</v>
      </c>
      <c r="Q85" s="4">
        <v>1600</v>
      </c>
      <c r="R85" s="4">
        <v>0</v>
      </c>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V85" s="4"/>
      <c r="AW85" s="4">
        <f>340.466*0+2272.763</f>
        <v>2272.7629999999999</v>
      </c>
      <c r="AX85" s="4">
        <v>10.199999999999999</v>
      </c>
      <c r="AY85" s="4"/>
      <c r="AZ85" s="4">
        <f>(AX85/2)^2*PI()*AW85/10000</f>
        <v>18.571388510335968</v>
      </c>
      <c r="BA85" s="4"/>
      <c r="BB85" s="4"/>
      <c r="BC85" s="4"/>
      <c r="BD85" s="4"/>
      <c r="BE85" s="4"/>
      <c r="BF85" s="4"/>
      <c r="BG85" s="4"/>
      <c r="BH85" s="4"/>
      <c r="BI85" s="4"/>
      <c r="BJ85" s="4"/>
      <c r="BK85" s="4"/>
      <c r="BL85" s="4"/>
      <c r="BM85" s="4"/>
      <c r="BN85" s="4"/>
      <c r="BO85" s="4"/>
      <c r="BP85" s="4">
        <f>BV85/1.36</f>
        <v>19.360294117647054</v>
      </c>
      <c r="BQ85" s="4">
        <v>0.36159999999999998</v>
      </c>
      <c r="BR85" s="4"/>
      <c r="BS85" s="4"/>
      <c r="BT85" s="4"/>
      <c r="BU85" s="4">
        <f>BV85-BP85</f>
        <v>6.9697058823529439</v>
      </c>
      <c r="BV85" s="4">
        <v>26.33</v>
      </c>
      <c r="BW85" s="4">
        <v>2.0699999999999998</v>
      </c>
      <c r="BX85" s="4">
        <f>50.11+44.92</f>
        <v>95.03</v>
      </c>
      <c r="BY85" s="4">
        <f>0.17+0.4</f>
        <v>0.57000000000000006</v>
      </c>
      <c r="BZ85" s="4">
        <f>SUM(BV85:BY85)</f>
        <v>124</v>
      </c>
      <c r="CA85" s="4"/>
      <c r="CB85" s="4"/>
      <c r="CC85" s="4"/>
      <c r="CD85" s="4"/>
      <c r="CE85" s="4"/>
      <c r="CF85" s="4"/>
      <c r="CG85" s="4"/>
      <c r="CH85" s="4"/>
      <c r="CI85" s="4"/>
      <c r="CJ85" s="4"/>
      <c r="CK85" s="4"/>
      <c r="CL85" s="4"/>
      <c r="CM85" s="4"/>
      <c r="CN85" s="4"/>
      <c r="CO85" s="4"/>
      <c r="CP85" s="2" t="s">
        <v>562</v>
      </c>
      <c r="CQ85" s="2" t="s">
        <v>254</v>
      </c>
      <c r="CR85" s="10" t="s">
        <v>563</v>
      </c>
      <c r="CS85" s="9" t="s">
        <v>256</v>
      </c>
    </row>
    <row r="86" spans="1:97" s="2" customFormat="1" ht="12.75">
      <c r="A86" s="2">
        <v>83</v>
      </c>
      <c r="B86" s="2" t="s">
        <v>558</v>
      </c>
      <c r="C86" s="2" t="s">
        <v>559</v>
      </c>
      <c r="D86" s="4" t="s">
        <v>250</v>
      </c>
      <c r="E86" s="2" t="s">
        <v>564</v>
      </c>
      <c r="F86" s="14" t="s">
        <v>565</v>
      </c>
      <c r="G86" s="2">
        <v>2016</v>
      </c>
      <c r="H86" s="2">
        <v>2018</v>
      </c>
      <c r="I86" s="2">
        <v>0</v>
      </c>
      <c r="J86" s="2">
        <v>0</v>
      </c>
      <c r="K86" s="2">
        <v>0</v>
      </c>
      <c r="L86" s="2">
        <v>0</v>
      </c>
      <c r="M86" s="2">
        <v>0</v>
      </c>
      <c r="N86" s="2">
        <v>0</v>
      </c>
      <c r="O86" s="4">
        <v>16</v>
      </c>
      <c r="P86" s="4">
        <f t="shared" si="8"/>
        <v>132</v>
      </c>
      <c r="Q86" s="4">
        <v>1600</v>
      </c>
      <c r="R86" s="4">
        <v>0</v>
      </c>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V86" s="4"/>
      <c r="AW86" s="4">
        <f>340.466*2+2272.763</f>
        <v>2953.6949999999997</v>
      </c>
      <c r="AX86" s="4">
        <v>10.1</v>
      </c>
      <c r="AY86" s="4"/>
      <c r="AZ86" s="4">
        <f t="shared" ref="AZ86:AZ87" si="9">(AX86/2)^2*PI()*AW86/10000</f>
        <v>23.664551434637737</v>
      </c>
      <c r="BA86" s="4"/>
      <c r="BB86" s="4"/>
      <c r="BC86" s="4"/>
      <c r="BD86" s="4"/>
      <c r="BE86" s="4"/>
      <c r="BF86" s="4"/>
      <c r="BG86" s="4"/>
      <c r="BH86" s="4"/>
      <c r="BI86" s="4"/>
      <c r="BJ86" s="4"/>
      <c r="BK86" s="4"/>
      <c r="BL86" s="4"/>
      <c r="BM86" s="4"/>
      <c r="BN86" s="4"/>
      <c r="BO86" s="4"/>
      <c r="BP86" s="4">
        <f t="shared" ref="BP86:BP88" si="10">BV86/1.36</f>
        <v>23.882352941176467</v>
      </c>
      <c r="BQ86" s="4">
        <v>0.36159999999999998</v>
      </c>
      <c r="BR86" s="4"/>
      <c r="BS86" s="4"/>
      <c r="BT86" s="4"/>
      <c r="BU86" s="4">
        <f t="shared" ref="BU86:BU88" si="11">BV86-BP86</f>
        <v>8.5976470588235294</v>
      </c>
      <c r="BV86" s="4">
        <v>32.479999999999997</v>
      </c>
      <c r="BW86" s="4">
        <v>1.43</v>
      </c>
      <c r="BX86" s="4">
        <f>56.29+46.49</f>
        <v>102.78</v>
      </c>
      <c r="BY86" s="4">
        <f>0.3+0.47</f>
        <v>0.77</v>
      </c>
      <c r="BZ86" s="4">
        <f t="shared" ref="BZ86:BZ88" si="12">SUM(BV86:BY86)</f>
        <v>137.46</v>
      </c>
      <c r="CA86" s="4"/>
      <c r="CB86" s="4"/>
      <c r="CC86" s="4"/>
      <c r="CD86" s="4"/>
      <c r="CE86" s="4"/>
      <c r="CF86" s="4"/>
      <c r="CG86" s="4"/>
      <c r="CH86" s="4"/>
      <c r="CI86" s="4"/>
      <c r="CJ86" s="4"/>
      <c r="CK86" s="4"/>
      <c r="CL86" s="4"/>
      <c r="CM86" s="4"/>
      <c r="CN86" s="4"/>
      <c r="CO86" s="4"/>
      <c r="CP86" s="2" t="s">
        <v>562</v>
      </c>
      <c r="CQ86" s="2" t="s">
        <v>254</v>
      </c>
      <c r="CR86" s="10" t="s">
        <v>563</v>
      </c>
      <c r="CS86" s="9" t="s">
        <v>256</v>
      </c>
    </row>
    <row r="87" spans="1:97" s="2" customFormat="1" ht="12.75">
      <c r="A87" s="2">
        <v>84</v>
      </c>
      <c r="B87" s="2" t="s">
        <v>558</v>
      </c>
      <c r="C87" s="2" t="s">
        <v>559</v>
      </c>
      <c r="D87" s="4" t="s">
        <v>250</v>
      </c>
      <c r="E87" s="2" t="s">
        <v>566</v>
      </c>
      <c r="F87" s="14" t="s">
        <v>567</v>
      </c>
      <c r="G87" s="2">
        <v>2008</v>
      </c>
      <c r="H87" s="2">
        <v>2018</v>
      </c>
      <c r="I87" s="2">
        <v>0</v>
      </c>
      <c r="J87" s="2">
        <v>0</v>
      </c>
      <c r="K87" s="2">
        <v>0</v>
      </c>
      <c r="L87" s="2">
        <v>0</v>
      </c>
      <c r="M87" s="2">
        <v>0</v>
      </c>
      <c r="N87" s="2">
        <v>0</v>
      </c>
      <c r="O87" s="4">
        <v>16</v>
      </c>
      <c r="P87" s="4">
        <f t="shared" si="8"/>
        <v>132</v>
      </c>
      <c r="Q87" s="4">
        <v>1600</v>
      </c>
      <c r="R87" s="4">
        <v>0</v>
      </c>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V87" s="4"/>
      <c r="AW87" s="4">
        <f>340.466*(7+10)/2+2272.763</f>
        <v>5166.7240000000002</v>
      </c>
      <c r="AX87" s="4">
        <v>9.6</v>
      </c>
      <c r="AY87" s="4"/>
      <c r="AZ87" s="4">
        <f t="shared" si="9"/>
        <v>37.397933940156065</v>
      </c>
      <c r="BA87" s="4"/>
      <c r="BB87" s="4"/>
      <c r="BC87" s="4"/>
      <c r="BD87" s="4"/>
      <c r="BE87" s="4"/>
      <c r="BF87" s="4"/>
      <c r="BG87" s="4"/>
      <c r="BH87" s="4"/>
      <c r="BI87" s="4"/>
      <c r="BJ87" s="4"/>
      <c r="BK87" s="4"/>
      <c r="BL87" s="4"/>
      <c r="BM87" s="4"/>
      <c r="BN87" s="4"/>
      <c r="BO87" s="4"/>
      <c r="BP87" s="4">
        <f t="shared" si="10"/>
        <v>36.772058823529406</v>
      </c>
      <c r="BQ87" s="4">
        <v>0.36159999999999998</v>
      </c>
      <c r="BR87" s="4"/>
      <c r="BS87" s="4"/>
      <c r="BT87" s="4"/>
      <c r="BU87" s="4">
        <f t="shared" si="11"/>
        <v>13.237941176470592</v>
      </c>
      <c r="BV87" s="4">
        <v>50.01</v>
      </c>
      <c r="BW87" s="4">
        <v>1.9</v>
      </c>
      <c r="BX87" s="4">
        <f>59.64+49.3</f>
        <v>108.94</v>
      </c>
      <c r="BY87" s="4">
        <f>0.31+0.43</f>
        <v>0.74</v>
      </c>
      <c r="BZ87" s="4">
        <f t="shared" si="12"/>
        <v>161.59</v>
      </c>
      <c r="CA87" s="4"/>
      <c r="CB87" s="4"/>
      <c r="CC87" s="4"/>
      <c r="CD87" s="4"/>
      <c r="CE87" s="4"/>
      <c r="CF87" s="4"/>
      <c r="CG87" s="4"/>
      <c r="CH87" s="4"/>
      <c r="CI87" s="4"/>
      <c r="CJ87" s="4"/>
      <c r="CK87" s="4"/>
      <c r="CL87" s="4"/>
      <c r="CM87" s="4"/>
      <c r="CN87" s="4"/>
      <c r="CO87" s="4"/>
      <c r="CP87" s="2" t="s">
        <v>562</v>
      </c>
      <c r="CQ87" s="2" t="s">
        <v>254</v>
      </c>
      <c r="CR87" s="10" t="s">
        <v>563</v>
      </c>
      <c r="CS87" s="9" t="s">
        <v>256</v>
      </c>
    </row>
    <row r="88" spans="1:97" s="2" customFormat="1" ht="12.75">
      <c r="A88" s="2">
        <v>85</v>
      </c>
      <c r="B88" s="2" t="s">
        <v>558</v>
      </c>
      <c r="C88" s="2" t="s">
        <v>559</v>
      </c>
      <c r="D88" s="4" t="s">
        <v>250</v>
      </c>
      <c r="E88" s="2" t="s">
        <v>568</v>
      </c>
      <c r="F88" s="14" t="s">
        <v>569</v>
      </c>
      <c r="G88" s="2">
        <v>2000</v>
      </c>
      <c r="H88" s="2">
        <v>2018</v>
      </c>
      <c r="I88" s="2">
        <v>0</v>
      </c>
      <c r="J88" s="2">
        <v>0</v>
      </c>
      <c r="K88" s="2">
        <v>0</v>
      </c>
      <c r="L88" s="2">
        <v>0</v>
      </c>
      <c r="M88" s="2">
        <v>0</v>
      </c>
      <c r="N88" s="2">
        <v>0</v>
      </c>
      <c r="O88" s="4">
        <v>16</v>
      </c>
      <c r="P88" s="4">
        <f t="shared" si="8"/>
        <v>132</v>
      </c>
      <c r="Q88" s="4">
        <v>1600</v>
      </c>
      <c r="R88" s="4">
        <v>0</v>
      </c>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V88" s="4"/>
      <c r="AW88" s="4">
        <f>340.466*(15+18)/2+2272.763</f>
        <v>7890.4520000000002</v>
      </c>
      <c r="AX88" s="4">
        <v>8.6</v>
      </c>
      <c r="AY88" s="4"/>
      <c r="AZ88" s="4">
        <f>(AX88/2)^2*PI()*AW88/10000</f>
        <v>45.834095581863643</v>
      </c>
      <c r="BA88" s="4"/>
      <c r="BB88" s="4"/>
      <c r="BC88" s="4"/>
      <c r="BD88" s="4"/>
      <c r="BE88" s="4"/>
      <c r="BF88" s="4"/>
      <c r="BG88" s="4"/>
      <c r="BH88" s="4"/>
      <c r="BI88" s="4"/>
      <c r="BJ88" s="4"/>
      <c r="BK88" s="4"/>
      <c r="BL88" s="4"/>
      <c r="BM88" s="4"/>
      <c r="BN88" s="4"/>
      <c r="BO88" s="4"/>
      <c r="BP88" s="4">
        <f t="shared" si="10"/>
        <v>47.882352941176471</v>
      </c>
      <c r="BQ88" s="4">
        <v>0.36159999999999998</v>
      </c>
      <c r="BR88" s="4"/>
      <c r="BS88" s="4"/>
      <c r="BT88" s="4"/>
      <c r="BU88" s="4">
        <f t="shared" si="11"/>
        <v>17.237647058823534</v>
      </c>
      <c r="BV88" s="4">
        <v>65.12</v>
      </c>
      <c r="BW88" s="4">
        <v>2.65</v>
      </c>
      <c r="BX88" s="4">
        <f>65.41+48.32</f>
        <v>113.72999999999999</v>
      </c>
      <c r="BY88" s="4">
        <f>0.14+0.07</f>
        <v>0.21000000000000002</v>
      </c>
      <c r="BZ88" s="4">
        <f t="shared" si="12"/>
        <v>181.71</v>
      </c>
      <c r="CA88" s="4"/>
      <c r="CB88" s="4"/>
      <c r="CC88" s="4"/>
      <c r="CD88" s="4"/>
      <c r="CE88" s="4"/>
      <c r="CF88" s="4"/>
      <c r="CG88" s="4"/>
      <c r="CH88" s="4"/>
      <c r="CI88" s="4"/>
      <c r="CJ88" s="4"/>
      <c r="CK88" s="4"/>
      <c r="CL88" s="4"/>
      <c r="CM88" s="4"/>
      <c r="CN88" s="4"/>
      <c r="CO88" s="4"/>
      <c r="CP88" s="2" t="s">
        <v>562</v>
      </c>
      <c r="CQ88" s="2" t="s">
        <v>254</v>
      </c>
      <c r="CR88" s="10" t="s">
        <v>563</v>
      </c>
      <c r="CS88" s="9" t="s">
        <v>256</v>
      </c>
    </row>
    <row r="89" spans="1:97" s="2" customFormat="1" ht="12.75">
      <c r="A89" s="2">
        <v>86</v>
      </c>
      <c r="B89" s="2" t="s">
        <v>558</v>
      </c>
      <c r="C89" s="2" t="s">
        <v>570</v>
      </c>
      <c r="D89" s="4" t="s">
        <v>250</v>
      </c>
      <c r="E89" s="2" t="s">
        <v>571</v>
      </c>
      <c r="F89" s="14" t="s">
        <v>572</v>
      </c>
      <c r="G89" s="2">
        <v>1989</v>
      </c>
      <c r="H89" s="2">
        <v>1990</v>
      </c>
      <c r="I89" s="2">
        <v>1</v>
      </c>
      <c r="J89" s="2">
        <v>0</v>
      </c>
      <c r="K89" s="2">
        <v>0</v>
      </c>
      <c r="L89" s="2">
        <v>1</v>
      </c>
      <c r="M89" s="2">
        <v>0</v>
      </c>
      <c r="N89" s="2">
        <v>0</v>
      </c>
      <c r="O89" s="4">
        <v>21.2</v>
      </c>
      <c r="P89" s="4">
        <f>(O89-5)*12</f>
        <v>194.39999999999998</v>
      </c>
      <c r="Q89" s="4">
        <v>2001.2</v>
      </c>
      <c r="R89" s="4">
        <v>0</v>
      </c>
      <c r="S89" s="4">
        <f>(320+350)/2</f>
        <v>335</v>
      </c>
      <c r="T89" s="4">
        <v>81.400000000000006</v>
      </c>
      <c r="U89" s="4">
        <v>1820</v>
      </c>
      <c r="V89" s="4"/>
      <c r="W89" s="4"/>
      <c r="X89" s="4"/>
      <c r="Y89" s="4">
        <v>5.2</v>
      </c>
      <c r="Z89" s="4"/>
      <c r="AA89" s="4"/>
      <c r="AB89" s="4"/>
      <c r="AC89" s="4"/>
      <c r="AD89" s="4"/>
      <c r="AE89" s="4"/>
      <c r="AF89" s="4"/>
      <c r="AG89" s="4"/>
      <c r="AH89" s="4"/>
      <c r="AI89" s="4"/>
      <c r="AJ89" s="4"/>
      <c r="AK89" s="4"/>
      <c r="AL89" s="4"/>
      <c r="AM89" s="4"/>
      <c r="AN89" s="4"/>
      <c r="AO89" s="4"/>
      <c r="AP89" s="4"/>
      <c r="AQ89" s="4"/>
      <c r="AR89" s="4"/>
      <c r="AS89" s="4"/>
      <c r="AT89" s="4"/>
      <c r="AV89" s="4"/>
      <c r="AW89" s="4"/>
      <c r="AX89" s="4"/>
      <c r="AY89" s="4">
        <v>16</v>
      </c>
      <c r="AZ89" s="4"/>
      <c r="BA89" s="4"/>
      <c r="BB89" s="4"/>
      <c r="BC89" s="4"/>
      <c r="BD89" s="4"/>
      <c r="BE89" s="4"/>
      <c r="BF89" s="4"/>
      <c r="BG89" s="4"/>
      <c r="BH89" s="4"/>
      <c r="BI89" s="4"/>
      <c r="BJ89" s="4"/>
      <c r="BK89" s="4"/>
      <c r="BL89" s="4"/>
      <c r="BM89" s="4">
        <f>3.23%*BV89</f>
        <v>1.258731</v>
      </c>
      <c r="BN89" s="4">
        <f>10.7%*BV89</f>
        <v>4.1697899999999999</v>
      </c>
      <c r="BO89" s="4">
        <f>58.67%*BV89</f>
        <v>22.863699</v>
      </c>
      <c r="BP89" s="4">
        <f>56.58*0.5</f>
        <v>28.29</v>
      </c>
      <c r="BQ89" s="4">
        <f t="shared" ref="BQ89" si="13">BU89/BP89</f>
        <v>0.37751855779427362</v>
      </c>
      <c r="BR89" s="4">
        <f>17.25%*BV89</f>
        <v>6.7223249999999997</v>
      </c>
      <c r="BS89" s="4">
        <f>10.16%*BV89</f>
        <v>3.9593519999999995</v>
      </c>
      <c r="BT89" s="4"/>
      <c r="BU89" s="4">
        <f>21.36*0.5</f>
        <v>10.68</v>
      </c>
      <c r="BV89" s="4">
        <f>BP89+BU89</f>
        <v>38.97</v>
      </c>
      <c r="BW89" s="4"/>
      <c r="BX89" s="4"/>
      <c r="BY89" s="4">
        <f>0.495*0.5</f>
        <v>0.2475</v>
      </c>
      <c r="BZ89" s="4"/>
      <c r="CA89" s="4"/>
      <c r="CB89" s="4"/>
      <c r="CC89" s="4"/>
      <c r="CD89" s="4">
        <f>2.475*0.5</f>
        <v>1.2375</v>
      </c>
      <c r="CE89" s="4"/>
      <c r="CF89" s="4">
        <f>(10.77+0.054+0.326)*0.5+CD89</f>
        <v>6.8125</v>
      </c>
      <c r="CG89" s="4"/>
      <c r="CH89" s="4"/>
      <c r="CI89" s="4"/>
      <c r="CJ89" s="4">
        <v>4.2720000000000002</v>
      </c>
      <c r="CK89" s="4">
        <f>CF89+CJ89</f>
        <v>11.0845</v>
      </c>
      <c r="CL89" s="4"/>
      <c r="CM89" s="4"/>
      <c r="CN89" s="4"/>
      <c r="CO89" s="4"/>
      <c r="CP89" s="2" t="s">
        <v>573</v>
      </c>
      <c r="CQ89" s="2" t="s">
        <v>254</v>
      </c>
      <c r="CR89" s="10" t="s">
        <v>574</v>
      </c>
      <c r="CS89" s="9" t="s">
        <v>256</v>
      </c>
    </row>
    <row r="90" spans="1:97" s="2" customFormat="1" ht="12.75">
      <c r="A90" s="2">
        <v>87</v>
      </c>
      <c r="B90" s="2" t="s">
        <v>558</v>
      </c>
      <c r="C90" s="2" t="s">
        <v>575</v>
      </c>
      <c r="D90" s="4" t="s">
        <v>116</v>
      </c>
      <c r="E90" s="2" t="s">
        <v>576</v>
      </c>
      <c r="F90" s="14" t="s">
        <v>577</v>
      </c>
      <c r="G90" s="2">
        <v>2010</v>
      </c>
      <c r="H90" s="2">
        <v>2011</v>
      </c>
      <c r="I90" s="2">
        <v>1</v>
      </c>
      <c r="J90" s="2">
        <v>0</v>
      </c>
      <c r="K90" s="2">
        <v>0</v>
      </c>
      <c r="L90" s="2">
        <v>1</v>
      </c>
      <c r="M90" s="2">
        <v>0</v>
      </c>
      <c r="N90" s="2">
        <v>0</v>
      </c>
      <c r="O90" s="4">
        <v>16.600000000000001</v>
      </c>
      <c r="P90" s="4">
        <f>(O90-5)*12</f>
        <v>139.20000000000002</v>
      </c>
      <c r="Q90" s="4">
        <v>1270</v>
      </c>
      <c r="R90" s="4">
        <v>0</v>
      </c>
      <c r="S90" s="4">
        <v>380</v>
      </c>
      <c r="T90" s="4">
        <v>70.2</v>
      </c>
      <c r="U90" s="4">
        <v>2021</v>
      </c>
      <c r="V90" s="4"/>
      <c r="W90" s="4"/>
      <c r="X90" s="4"/>
      <c r="Y90" s="4"/>
      <c r="Z90" s="4"/>
      <c r="AA90" s="4"/>
      <c r="AB90" s="4"/>
      <c r="AC90" s="4"/>
      <c r="AD90" s="4"/>
      <c r="AE90" s="4"/>
      <c r="AF90" s="4"/>
      <c r="AG90" s="4"/>
      <c r="AH90" s="4"/>
      <c r="AI90" s="4"/>
      <c r="AJ90" s="4"/>
      <c r="AK90" s="4"/>
      <c r="AL90" s="4"/>
      <c r="AM90" s="4"/>
      <c r="AN90" s="4"/>
      <c r="AO90" s="4"/>
      <c r="AP90" s="4"/>
      <c r="AQ90" s="4"/>
      <c r="AR90" s="4"/>
      <c r="AS90" s="4"/>
      <c r="AT90" s="4"/>
      <c r="AV90" s="4"/>
      <c r="AW90" s="4"/>
      <c r="AX90" s="4">
        <f>(12+18)/2</f>
        <v>15</v>
      </c>
      <c r="AY90" s="4">
        <f>(13+20)/2</f>
        <v>16.5</v>
      </c>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v>6.68</v>
      </c>
      <c r="CP90" s="2" t="s">
        <v>578</v>
      </c>
      <c r="CQ90" s="2" t="s">
        <v>254</v>
      </c>
      <c r="CR90" s="10" t="s">
        <v>579</v>
      </c>
      <c r="CS90" s="9" t="s">
        <v>256</v>
      </c>
    </row>
    <row r="91" spans="1:97" s="2" customFormat="1" ht="12.75">
      <c r="A91" s="2">
        <v>88</v>
      </c>
      <c r="B91" s="2" t="s">
        <v>558</v>
      </c>
      <c r="C91" s="2" t="s">
        <v>580</v>
      </c>
      <c r="D91" s="4" t="s">
        <v>116</v>
      </c>
      <c r="E91" s="2" t="s">
        <v>581</v>
      </c>
      <c r="F91" s="14" t="s">
        <v>582</v>
      </c>
      <c r="G91" s="2">
        <v>2014</v>
      </c>
      <c r="H91" s="2">
        <v>2016</v>
      </c>
      <c r="I91" s="2">
        <v>1</v>
      </c>
      <c r="J91" s="2">
        <v>0</v>
      </c>
      <c r="K91" s="2">
        <v>1</v>
      </c>
      <c r="L91" s="2">
        <v>0</v>
      </c>
      <c r="M91" s="2">
        <v>0</v>
      </c>
      <c r="N91" s="2">
        <v>0</v>
      </c>
      <c r="O91" s="4">
        <v>15.8</v>
      </c>
      <c r="P91" s="4">
        <f t="shared" si="8"/>
        <v>129.60000000000002</v>
      </c>
      <c r="Q91" s="4">
        <v>1450</v>
      </c>
      <c r="R91" s="4">
        <v>0</v>
      </c>
      <c r="S91" s="4">
        <f>(150+200)/2</f>
        <v>175</v>
      </c>
      <c r="T91" s="4"/>
      <c r="U91" s="4">
        <v>1847</v>
      </c>
      <c r="V91" s="4"/>
      <c r="W91" s="4"/>
      <c r="X91" s="4"/>
      <c r="Y91" s="4">
        <f>(4.96+4.96)/2</f>
        <v>4.96</v>
      </c>
      <c r="Z91" s="4">
        <v>1.76</v>
      </c>
      <c r="AA91" s="4"/>
      <c r="AB91" s="4"/>
      <c r="AC91" s="4">
        <v>7.52</v>
      </c>
      <c r="AD91" s="4"/>
      <c r="AE91" s="4"/>
      <c r="AF91" s="4"/>
      <c r="AG91" s="4"/>
      <c r="AH91" s="4"/>
      <c r="AI91" s="4">
        <f>(498/(498+321+181)*100)</f>
        <v>49.8</v>
      </c>
      <c r="AJ91" s="4">
        <f>(321/(498+321+181)*100)</f>
        <v>32.1</v>
      </c>
      <c r="AK91" s="4">
        <f>(181/(498+321+181)*100)</f>
        <v>18.099999999999998</v>
      </c>
      <c r="AL91" s="4"/>
      <c r="AM91" s="4"/>
      <c r="AN91" s="4"/>
      <c r="AO91" s="4"/>
      <c r="AP91" s="4"/>
      <c r="AQ91" s="4"/>
      <c r="AR91" s="4"/>
      <c r="AS91" s="4"/>
      <c r="AT91" s="4"/>
      <c r="AV91" s="4"/>
      <c r="AW91" s="4">
        <v>3000</v>
      </c>
      <c r="AX91" s="4">
        <v>9.8000000000000007</v>
      </c>
      <c r="AY91" s="4"/>
      <c r="AZ91" s="4">
        <f t="shared" ref="AZ91:AZ101" si="14">(AX91/2)^2*PI()*AW91/10000</f>
        <v>22.628891883807285</v>
      </c>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f>31.66*12/44</f>
        <v>8.6345454545454547</v>
      </c>
      <c r="CM91" s="4">
        <f>20.11*12/44</f>
        <v>5.4845454545454544</v>
      </c>
      <c r="CN91" s="4">
        <f>CL91-CM91</f>
        <v>3.1500000000000004</v>
      </c>
      <c r="CO91" s="4"/>
      <c r="CP91" s="2" t="s">
        <v>583</v>
      </c>
      <c r="CQ91" s="2" t="s">
        <v>254</v>
      </c>
      <c r="CR91" s="10" t="s">
        <v>584</v>
      </c>
      <c r="CS91" s="9" t="s">
        <v>256</v>
      </c>
    </row>
    <row r="92" spans="1:97" s="2" customFormat="1" ht="12.75">
      <c r="A92" s="2">
        <v>89</v>
      </c>
      <c r="B92" s="2" t="s">
        <v>558</v>
      </c>
      <c r="C92" s="2" t="s">
        <v>580</v>
      </c>
      <c r="D92" s="4" t="s">
        <v>116</v>
      </c>
      <c r="E92" s="2" t="s">
        <v>585</v>
      </c>
      <c r="F92" s="14" t="s">
        <v>586</v>
      </c>
      <c r="G92" s="2">
        <v>2014</v>
      </c>
      <c r="H92" s="2">
        <v>2016</v>
      </c>
      <c r="I92" s="2">
        <v>1</v>
      </c>
      <c r="J92" s="2">
        <v>1</v>
      </c>
      <c r="K92" s="2">
        <v>1</v>
      </c>
      <c r="L92" s="2">
        <v>0</v>
      </c>
      <c r="M92" s="2">
        <v>0</v>
      </c>
      <c r="N92" s="2">
        <v>0</v>
      </c>
      <c r="O92" s="4">
        <v>15.8</v>
      </c>
      <c r="P92" s="4">
        <f t="shared" si="8"/>
        <v>129.60000000000002</v>
      </c>
      <c r="Q92" s="4">
        <v>1450</v>
      </c>
      <c r="R92" s="4">
        <v>0</v>
      </c>
      <c r="S92" s="4">
        <f>(150+200)/2</f>
        <v>175</v>
      </c>
      <c r="T92" s="4"/>
      <c r="U92" s="4">
        <v>1847</v>
      </c>
      <c r="V92" s="4"/>
      <c r="W92" s="4"/>
      <c r="X92" s="4"/>
      <c r="Y92" s="4">
        <v>5.18</v>
      </c>
      <c r="Z92" s="4">
        <v>2.15</v>
      </c>
      <c r="AA92" s="4"/>
      <c r="AB92" s="4"/>
      <c r="AC92" s="4">
        <v>9.1</v>
      </c>
      <c r="AD92" s="4"/>
      <c r="AE92" s="4"/>
      <c r="AF92" s="4"/>
      <c r="AG92" s="4"/>
      <c r="AH92" s="4"/>
      <c r="AI92" s="4">
        <f>(498/(498+321+181)*100)</f>
        <v>49.8</v>
      </c>
      <c r="AJ92" s="4">
        <f>(321/(498+321+181)*100)</f>
        <v>32.1</v>
      </c>
      <c r="AK92" s="4">
        <f>(181/(498+321+181)*100)</f>
        <v>18.099999999999998</v>
      </c>
      <c r="AL92" s="4"/>
      <c r="AM92" s="4"/>
      <c r="AN92" s="4"/>
      <c r="AO92" s="4"/>
      <c r="AP92" s="4"/>
      <c r="AQ92" s="4"/>
      <c r="AR92" s="4"/>
      <c r="AS92" s="4"/>
      <c r="AT92" s="4"/>
      <c r="AV92" s="4"/>
      <c r="AW92" s="4">
        <v>3000</v>
      </c>
      <c r="AX92" s="4">
        <v>9.8000000000000007</v>
      </c>
      <c r="AY92" s="4"/>
      <c r="AZ92" s="4">
        <f t="shared" si="14"/>
        <v>22.628891883807285</v>
      </c>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f>32.32*12/44</f>
        <v>8.8145454545454545</v>
      </c>
      <c r="CM92" s="4">
        <f>17.71*12/44</f>
        <v>4.83</v>
      </c>
      <c r="CN92" s="4">
        <f>CL92-CM92</f>
        <v>3.9845454545454544</v>
      </c>
      <c r="CO92" s="4"/>
      <c r="CP92" s="2" t="s">
        <v>583</v>
      </c>
      <c r="CQ92" s="2" t="s">
        <v>254</v>
      </c>
      <c r="CR92" s="10" t="s">
        <v>584</v>
      </c>
      <c r="CS92" s="9" t="s">
        <v>256</v>
      </c>
    </row>
    <row r="93" spans="1:97" s="2" customFormat="1" ht="12.75">
      <c r="A93" s="2">
        <v>90</v>
      </c>
      <c r="B93" s="2" t="s">
        <v>558</v>
      </c>
      <c r="C93" s="2" t="s">
        <v>580</v>
      </c>
      <c r="D93" s="4" t="s">
        <v>116</v>
      </c>
      <c r="E93" s="2" t="s">
        <v>587</v>
      </c>
      <c r="F93" s="14" t="s">
        <v>588</v>
      </c>
      <c r="G93" s="2">
        <v>2014</v>
      </c>
      <c r="H93" s="2">
        <v>2016</v>
      </c>
      <c r="I93" s="2">
        <v>1</v>
      </c>
      <c r="J93" s="2">
        <v>1</v>
      </c>
      <c r="K93" s="2">
        <v>1</v>
      </c>
      <c r="L93" s="2">
        <v>0</v>
      </c>
      <c r="M93" s="2">
        <v>0</v>
      </c>
      <c r="N93" s="2">
        <v>0</v>
      </c>
      <c r="O93" s="4">
        <v>15.8</v>
      </c>
      <c r="P93" s="4">
        <f t="shared" si="8"/>
        <v>129.60000000000002</v>
      </c>
      <c r="Q93" s="4">
        <v>1450</v>
      </c>
      <c r="R93" s="4">
        <v>0</v>
      </c>
      <c r="S93" s="4">
        <f>(150+200)/2</f>
        <v>175</v>
      </c>
      <c r="T93" s="4"/>
      <c r="U93" s="4">
        <v>1847</v>
      </c>
      <c r="V93" s="4"/>
      <c r="W93" s="4"/>
      <c r="X93" s="4"/>
      <c r="Y93" s="4">
        <v>4.62</v>
      </c>
      <c r="Z93" s="4">
        <v>2.02</v>
      </c>
      <c r="AA93" s="4"/>
      <c r="AB93" s="4"/>
      <c r="AC93" s="4">
        <v>8.7899999999999991</v>
      </c>
      <c r="AD93" s="4"/>
      <c r="AE93" s="4"/>
      <c r="AF93" s="4"/>
      <c r="AG93" s="4"/>
      <c r="AH93" s="4"/>
      <c r="AI93" s="4">
        <f>(498/(498+321+181)*100)</f>
        <v>49.8</v>
      </c>
      <c r="AJ93" s="4">
        <f>(321/(498+321+181)*100)</f>
        <v>32.1</v>
      </c>
      <c r="AK93" s="4">
        <f>(181/(498+321+181)*100)</f>
        <v>18.099999999999998</v>
      </c>
      <c r="AL93" s="4"/>
      <c r="AM93" s="4"/>
      <c r="AN93" s="4"/>
      <c r="AO93" s="4"/>
      <c r="AP93" s="4"/>
      <c r="AQ93" s="4"/>
      <c r="AR93" s="4"/>
      <c r="AS93" s="4"/>
      <c r="AT93" s="4"/>
      <c r="AV93" s="4"/>
      <c r="AW93" s="4">
        <v>3000</v>
      </c>
      <c r="AX93" s="4">
        <v>9.8000000000000007</v>
      </c>
      <c r="AY93" s="4"/>
      <c r="AZ93" s="4">
        <f t="shared" si="14"/>
        <v>22.628891883807285</v>
      </c>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f>37.65*12/44</f>
        <v>10.268181818181818</v>
      </c>
      <c r="CM93" s="4">
        <f>22.06*12/44</f>
        <v>6.0163636363636357</v>
      </c>
      <c r="CN93" s="4">
        <f>CL93-CM93</f>
        <v>4.2518181818181819</v>
      </c>
      <c r="CO93" s="4"/>
      <c r="CP93" s="2" t="s">
        <v>583</v>
      </c>
      <c r="CQ93" s="2" t="s">
        <v>254</v>
      </c>
      <c r="CR93" s="10" t="s">
        <v>584</v>
      </c>
      <c r="CS93" s="9" t="s">
        <v>256</v>
      </c>
    </row>
    <row r="94" spans="1:97" s="2" customFormat="1" ht="12.75">
      <c r="A94" s="2">
        <v>91</v>
      </c>
      <c r="B94" s="2" t="s">
        <v>558</v>
      </c>
      <c r="C94" s="2" t="s">
        <v>580</v>
      </c>
      <c r="D94" s="4" t="s">
        <v>116</v>
      </c>
      <c r="E94" s="2" t="s">
        <v>589</v>
      </c>
      <c r="F94" s="14" t="s">
        <v>590</v>
      </c>
      <c r="G94" s="2">
        <v>2014</v>
      </c>
      <c r="H94" s="2">
        <v>2016</v>
      </c>
      <c r="I94" s="2">
        <v>1</v>
      </c>
      <c r="J94" s="2">
        <v>1</v>
      </c>
      <c r="K94" s="2">
        <v>1</v>
      </c>
      <c r="L94" s="2">
        <v>0</v>
      </c>
      <c r="M94" s="2">
        <v>0</v>
      </c>
      <c r="N94" s="2">
        <v>0</v>
      </c>
      <c r="O94" s="4">
        <v>15.8</v>
      </c>
      <c r="P94" s="4">
        <f t="shared" si="8"/>
        <v>129.60000000000002</v>
      </c>
      <c r="Q94" s="4">
        <v>1450</v>
      </c>
      <c r="R94" s="4">
        <v>0</v>
      </c>
      <c r="S94" s="4">
        <f>(150+200)/2</f>
        <v>175</v>
      </c>
      <c r="T94" s="4"/>
      <c r="U94" s="4">
        <v>1847</v>
      </c>
      <c r="V94" s="4"/>
      <c r="W94" s="4"/>
      <c r="X94" s="4"/>
      <c r="Y94" s="4">
        <v>4.8499999999999996</v>
      </c>
      <c r="Z94" s="4">
        <v>2.09</v>
      </c>
      <c r="AA94" s="4"/>
      <c r="AB94" s="4"/>
      <c r="AC94" s="4">
        <v>8.81</v>
      </c>
      <c r="AD94" s="4"/>
      <c r="AE94" s="4"/>
      <c r="AF94" s="4"/>
      <c r="AG94" s="4"/>
      <c r="AH94" s="4"/>
      <c r="AI94" s="4">
        <f>(498/(498+321+181)*100)</f>
        <v>49.8</v>
      </c>
      <c r="AJ94" s="4">
        <f>(321/(498+321+181)*100)</f>
        <v>32.1</v>
      </c>
      <c r="AK94" s="4">
        <f>(181/(498+321+181)*100)</f>
        <v>18.099999999999998</v>
      </c>
      <c r="AL94" s="4"/>
      <c r="AM94" s="4"/>
      <c r="AN94" s="4"/>
      <c r="AO94" s="4"/>
      <c r="AP94" s="4"/>
      <c r="AQ94" s="4"/>
      <c r="AR94" s="4"/>
      <c r="AS94" s="4"/>
      <c r="AT94" s="4"/>
      <c r="AV94" s="4"/>
      <c r="AW94" s="4">
        <v>3000</v>
      </c>
      <c r="AX94" s="4">
        <v>9.8000000000000007</v>
      </c>
      <c r="AY94" s="4"/>
      <c r="AZ94" s="4">
        <f t="shared" si="14"/>
        <v>22.628891883807285</v>
      </c>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f>36.53*12/44</f>
        <v>9.9627272727272729</v>
      </c>
      <c r="CM94" s="4">
        <f>21.47*12/44</f>
        <v>5.8554545454545455</v>
      </c>
      <c r="CN94" s="4">
        <f>CL94-CM94</f>
        <v>4.1072727272727274</v>
      </c>
      <c r="CO94" s="4"/>
      <c r="CP94" s="2" t="s">
        <v>583</v>
      </c>
      <c r="CQ94" s="2" t="s">
        <v>254</v>
      </c>
      <c r="CR94" s="10" t="s">
        <v>584</v>
      </c>
      <c r="CS94" s="9" t="s">
        <v>256</v>
      </c>
    </row>
    <row r="95" spans="1:97" s="2" customFormat="1" ht="12.75">
      <c r="A95" s="2">
        <v>92</v>
      </c>
      <c r="B95" s="2" t="s">
        <v>558</v>
      </c>
      <c r="C95" s="2" t="s">
        <v>591</v>
      </c>
      <c r="D95" s="4" t="s">
        <v>250</v>
      </c>
      <c r="E95" s="2" t="s">
        <v>592</v>
      </c>
      <c r="F95" s="14" t="s">
        <v>593</v>
      </c>
      <c r="G95" s="2">
        <v>2013</v>
      </c>
      <c r="H95" s="2">
        <v>2013</v>
      </c>
      <c r="I95" s="2">
        <v>1</v>
      </c>
      <c r="J95" s="2">
        <v>0</v>
      </c>
      <c r="K95" s="2">
        <v>1</v>
      </c>
      <c r="L95" s="2">
        <v>1</v>
      </c>
      <c r="M95" s="2">
        <v>0</v>
      </c>
      <c r="N95" s="2">
        <v>0</v>
      </c>
      <c r="O95" s="4">
        <v>16.399999999999999</v>
      </c>
      <c r="P95" s="4">
        <f t="shared" si="8"/>
        <v>136.79999999999998</v>
      </c>
      <c r="Q95" s="4">
        <v>1628</v>
      </c>
      <c r="R95" s="4">
        <v>0</v>
      </c>
      <c r="S95" s="4">
        <f>(165+220)/2</f>
        <v>192.5</v>
      </c>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V95" s="4"/>
      <c r="AW95" s="4">
        <v>3400</v>
      </c>
      <c r="AX95" s="4">
        <v>10.1</v>
      </c>
      <c r="AY95" s="4"/>
      <c r="AZ95" s="4">
        <f t="shared" si="14"/>
        <v>27.240278660379055</v>
      </c>
      <c r="BA95" s="4"/>
      <c r="BB95" s="4"/>
      <c r="BC95" s="4"/>
      <c r="BD95" s="4"/>
      <c r="BE95" s="4"/>
      <c r="BF95" s="4"/>
      <c r="BG95" s="4"/>
      <c r="BH95" s="4"/>
      <c r="BI95" s="4"/>
      <c r="BJ95" s="4"/>
      <c r="BK95" s="4"/>
      <c r="BL95" s="4"/>
      <c r="BM95" s="4"/>
      <c r="BN95" s="4">
        <v>7.0030480000000006</v>
      </c>
      <c r="BO95" s="4">
        <v>27.351870000000002</v>
      </c>
      <c r="BP95" s="4">
        <f>SUM(BM95:BO95)</f>
        <v>34.354918000000005</v>
      </c>
      <c r="BQ95" s="4">
        <f>BU95/BP95</f>
        <v>0.7056956445071414</v>
      </c>
      <c r="BR95" s="4">
        <v>8.317634</v>
      </c>
      <c r="BS95" s="4">
        <v>4.955444</v>
      </c>
      <c r="BT95" s="4">
        <v>10.971037999999998</v>
      </c>
      <c r="BU95" s="4">
        <f>SUM(BR95:BT95)</f>
        <v>24.244115999999998</v>
      </c>
      <c r="BV95" s="4">
        <f>BP95+BU95</f>
        <v>58.599034000000003</v>
      </c>
      <c r="BW95" s="4">
        <v>1.799226</v>
      </c>
      <c r="BX95" s="4">
        <v>119.5</v>
      </c>
      <c r="BY95" s="4"/>
      <c r="BZ95" s="4">
        <f>SUM(BV95:BY95)</f>
        <v>179.89825999999999</v>
      </c>
      <c r="CA95" s="4"/>
      <c r="CB95" s="4"/>
      <c r="CC95" s="4"/>
      <c r="CD95" s="4"/>
      <c r="CE95" s="4"/>
      <c r="CF95" s="4">
        <f>BP95/5</f>
        <v>6.8709836000000006</v>
      </c>
      <c r="CG95" s="4"/>
      <c r="CH95" s="4"/>
      <c r="CI95" s="4"/>
      <c r="CJ95" s="4"/>
      <c r="CK95" s="4"/>
      <c r="CL95" s="4"/>
      <c r="CM95" s="4"/>
      <c r="CN95" s="4"/>
      <c r="CO95" s="4"/>
      <c r="CP95" s="2" t="s">
        <v>594</v>
      </c>
      <c r="CQ95" s="2" t="s">
        <v>254</v>
      </c>
      <c r="CR95" s="10" t="s">
        <v>595</v>
      </c>
      <c r="CS95" s="9" t="s">
        <v>256</v>
      </c>
    </row>
    <row r="96" spans="1:97" s="2" customFormat="1" ht="12.75">
      <c r="A96" s="2">
        <v>93</v>
      </c>
      <c r="B96" s="2" t="s">
        <v>558</v>
      </c>
      <c r="C96" s="2" t="s">
        <v>596</v>
      </c>
      <c r="D96" s="4" t="s">
        <v>250</v>
      </c>
      <c r="E96" s="2" t="s">
        <v>592</v>
      </c>
      <c r="F96" s="14" t="s">
        <v>597</v>
      </c>
      <c r="G96" s="2">
        <v>2013</v>
      </c>
      <c r="H96" s="2">
        <v>2013</v>
      </c>
      <c r="I96" s="2">
        <v>1</v>
      </c>
      <c r="J96" s="2">
        <v>0</v>
      </c>
      <c r="K96" s="2">
        <v>1</v>
      </c>
      <c r="L96" s="2">
        <v>1</v>
      </c>
      <c r="M96" s="2">
        <v>0</v>
      </c>
      <c r="N96" s="2">
        <v>0</v>
      </c>
      <c r="O96" s="4">
        <v>17.100000000000001</v>
      </c>
      <c r="P96" s="4">
        <f t="shared" si="8"/>
        <v>145.20000000000002</v>
      </c>
      <c r="Q96" s="4">
        <v>1602</v>
      </c>
      <c r="R96" s="4">
        <v>0</v>
      </c>
      <c r="S96" s="4">
        <f>(248+265)/2</f>
        <v>256.5</v>
      </c>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V96" s="4"/>
      <c r="AW96" s="4">
        <v>3378</v>
      </c>
      <c r="AX96" s="4">
        <v>10.119999999999999</v>
      </c>
      <c r="AY96" s="4"/>
      <c r="AZ96" s="4">
        <f t="shared" si="14"/>
        <v>27.171308386589551</v>
      </c>
      <c r="BA96" s="4"/>
      <c r="BB96" s="4"/>
      <c r="BC96" s="4"/>
      <c r="BD96" s="4"/>
      <c r="BE96" s="4"/>
      <c r="BF96" s="4"/>
      <c r="BG96" s="4"/>
      <c r="BH96" s="4"/>
      <c r="BI96" s="4"/>
      <c r="BJ96" s="4"/>
      <c r="BK96" s="4"/>
      <c r="BL96" s="4"/>
      <c r="BM96" s="4"/>
      <c r="BN96" s="4">
        <v>8.3222719999999999</v>
      </c>
      <c r="BO96" s="4">
        <v>23.906903999999997</v>
      </c>
      <c r="BP96" s="4">
        <f t="shared" ref="BP96:BP98" si="15">SUM(BM96:BO96)</f>
        <v>32.229175999999995</v>
      </c>
      <c r="BQ96" s="4">
        <f>BU96/BP96</f>
        <v>0.49375761266747886</v>
      </c>
      <c r="BR96" s="4">
        <v>5.5105610000000009</v>
      </c>
      <c r="BS96" s="4">
        <v>3.7931110000000006</v>
      </c>
      <c r="BT96" s="4">
        <v>6.6097290000000006</v>
      </c>
      <c r="BU96" s="4">
        <f t="shared" ref="BU96:BU98" si="16">SUM(BR96:BT96)</f>
        <v>15.913401000000004</v>
      </c>
      <c r="BV96" s="4">
        <f t="shared" ref="BV96:BV98" si="17">BP96+BU96</f>
        <v>48.142577000000003</v>
      </c>
      <c r="BW96" s="4">
        <v>0.90779500000000013</v>
      </c>
      <c r="BX96" s="4">
        <v>114.7</v>
      </c>
      <c r="BY96" s="4"/>
      <c r="BZ96" s="4">
        <f>SUM(BV96:BY96)</f>
        <v>163.750372</v>
      </c>
      <c r="CA96" s="4"/>
      <c r="CB96" s="4"/>
      <c r="CC96" s="4"/>
      <c r="CD96" s="4"/>
      <c r="CE96" s="4"/>
      <c r="CF96" s="4">
        <f t="shared" ref="CF96:CF98" si="18">BP96/5</f>
        <v>6.4458351999999994</v>
      </c>
      <c r="CG96" s="4"/>
      <c r="CH96" s="4"/>
      <c r="CI96" s="4"/>
      <c r="CJ96" s="4"/>
      <c r="CK96" s="4"/>
      <c r="CL96" s="4"/>
      <c r="CM96" s="4"/>
      <c r="CN96" s="4"/>
      <c r="CO96" s="4"/>
      <c r="CP96" s="2" t="s">
        <v>594</v>
      </c>
      <c r="CQ96" s="2" t="s">
        <v>254</v>
      </c>
      <c r="CR96" s="10" t="s">
        <v>595</v>
      </c>
      <c r="CS96" s="9" t="s">
        <v>256</v>
      </c>
    </row>
    <row r="97" spans="1:97" s="2" customFormat="1" ht="12.75">
      <c r="A97" s="2">
        <v>94</v>
      </c>
      <c r="B97" s="2" t="s">
        <v>558</v>
      </c>
      <c r="C97" s="2" t="s">
        <v>598</v>
      </c>
      <c r="D97" s="4" t="s">
        <v>250</v>
      </c>
      <c r="E97" s="2" t="s">
        <v>592</v>
      </c>
      <c r="F97" s="14" t="s">
        <v>599</v>
      </c>
      <c r="G97" s="2">
        <v>2013</v>
      </c>
      <c r="H97" s="2">
        <v>2013</v>
      </c>
      <c r="I97" s="2">
        <v>1</v>
      </c>
      <c r="J97" s="2">
        <v>0</v>
      </c>
      <c r="K97" s="2">
        <v>1</v>
      </c>
      <c r="L97" s="2">
        <v>1</v>
      </c>
      <c r="M97" s="2">
        <v>0</v>
      </c>
      <c r="N97" s="2">
        <v>0</v>
      </c>
      <c r="O97" s="4">
        <v>19.3</v>
      </c>
      <c r="P97" s="4">
        <f t="shared" si="8"/>
        <v>171.60000000000002</v>
      </c>
      <c r="Q97" s="4">
        <v>1670</v>
      </c>
      <c r="R97" s="4">
        <v>0</v>
      </c>
      <c r="S97" s="4">
        <f>(250+278)/2</f>
        <v>264</v>
      </c>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V97" s="4"/>
      <c r="AW97" s="4">
        <v>3667</v>
      </c>
      <c r="AX97" s="4">
        <v>9.99</v>
      </c>
      <c r="AY97" s="4"/>
      <c r="AZ97" s="4">
        <f t="shared" si="14"/>
        <v>28.74297835103151</v>
      </c>
      <c r="BA97" s="4"/>
      <c r="BB97" s="4"/>
      <c r="BC97" s="4"/>
      <c r="BD97" s="4"/>
      <c r="BE97" s="4"/>
      <c r="BF97" s="4"/>
      <c r="BG97" s="4"/>
      <c r="BH97" s="4"/>
      <c r="BI97" s="4"/>
      <c r="BJ97" s="4"/>
      <c r="BK97" s="4"/>
      <c r="BL97" s="4"/>
      <c r="BM97" s="4"/>
      <c r="BN97" s="4">
        <v>7.2895279999999998</v>
      </c>
      <c r="BO97" s="4">
        <v>30.685542000000002</v>
      </c>
      <c r="BP97" s="4">
        <f t="shared" si="15"/>
        <v>37.975070000000002</v>
      </c>
      <c r="BQ97" s="4">
        <f>BU97/BP97</f>
        <v>0.35880721220527045</v>
      </c>
      <c r="BR97" s="4">
        <v>4.8877759999999997</v>
      </c>
      <c r="BS97" s="4">
        <v>2.7125050000000002</v>
      </c>
      <c r="BT97" s="4">
        <v>6.0254479999999999</v>
      </c>
      <c r="BU97" s="4">
        <f t="shared" si="16"/>
        <v>13.625729</v>
      </c>
      <c r="BV97" s="4">
        <f t="shared" si="17"/>
        <v>51.600799000000002</v>
      </c>
      <c r="BW97" s="4">
        <v>1.0955360000000001</v>
      </c>
      <c r="BX97" s="4">
        <v>98.2</v>
      </c>
      <c r="BY97" s="4"/>
      <c r="BZ97" s="4">
        <f>SUM(BV97:BY97)</f>
        <v>150.89633500000002</v>
      </c>
      <c r="CA97" s="4"/>
      <c r="CB97" s="4"/>
      <c r="CC97" s="4"/>
      <c r="CD97" s="4"/>
      <c r="CE97" s="4"/>
      <c r="CF97" s="4">
        <f t="shared" si="18"/>
        <v>7.5950140000000008</v>
      </c>
      <c r="CG97" s="4"/>
      <c r="CH97" s="4"/>
      <c r="CI97" s="4"/>
      <c r="CJ97" s="4"/>
      <c r="CK97" s="4"/>
      <c r="CL97" s="4"/>
      <c r="CM97" s="4"/>
      <c r="CN97" s="4"/>
      <c r="CO97" s="4"/>
      <c r="CP97" s="2" t="s">
        <v>594</v>
      </c>
      <c r="CQ97" s="2" t="s">
        <v>254</v>
      </c>
      <c r="CR97" s="10" t="s">
        <v>595</v>
      </c>
      <c r="CS97" s="9" t="s">
        <v>256</v>
      </c>
    </row>
    <row r="98" spans="1:97" s="2" customFormat="1" ht="12.75">
      <c r="A98" s="2">
        <v>95</v>
      </c>
      <c r="B98" s="2" t="s">
        <v>558</v>
      </c>
      <c r="C98" s="2" t="s">
        <v>600</v>
      </c>
      <c r="D98" s="4" t="s">
        <v>250</v>
      </c>
      <c r="E98" s="2" t="s">
        <v>592</v>
      </c>
      <c r="F98" s="14" t="s">
        <v>601</v>
      </c>
      <c r="G98" s="2">
        <v>2013</v>
      </c>
      <c r="H98" s="2">
        <v>2013</v>
      </c>
      <c r="I98" s="2">
        <v>1</v>
      </c>
      <c r="J98" s="2">
        <v>0</v>
      </c>
      <c r="K98" s="2">
        <v>1</v>
      </c>
      <c r="L98" s="2">
        <v>1</v>
      </c>
      <c r="M98" s="2">
        <v>0</v>
      </c>
      <c r="N98" s="2">
        <v>0</v>
      </c>
      <c r="O98" s="4">
        <v>21</v>
      </c>
      <c r="P98" s="4">
        <f t="shared" si="8"/>
        <v>192</v>
      </c>
      <c r="Q98" s="4">
        <v>1618</v>
      </c>
      <c r="R98" s="4">
        <v>0</v>
      </c>
      <c r="S98" s="4">
        <f>(204+268)/2</f>
        <v>236</v>
      </c>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V98" s="4"/>
      <c r="AW98" s="4">
        <v>4722</v>
      </c>
      <c r="AX98" s="4">
        <v>8.3699999999999992</v>
      </c>
      <c r="AY98" s="4"/>
      <c r="AZ98" s="4">
        <f t="shared" si="14"/>
        <v>25.98165311216508</v>
      </c>
      <c r="BA98" s="4"/>
      <c r="BB98" s="4"/>
      <c r="BC98" s="4"/>
      <c r="BD98" s="4"/>
      <c r="BE98" s="4"/>
      <c r="BF98" s="4"/>
      <c r="BG98" s="4"/>
      <c r="BH98" s="4"/>
      <c r="BI98" s="4"/>
      <c r="BJ98" s="4"/>
      <c r="BK98" s="4"/>
      <c r="BL98" s="4"/>
      <c r="BM98" s="4"/>
      <c r="BN98" s="4">
        <v>6.956640000000001</v>
      </c>
      <c r="BO98" s="4">
        <v>24.367563999999998</v>
      </c>
      <c r="BP98" s="4">
        <f t="shared" si="15"/>
        <v>31.324203999999998</v>
      </c>
      <c r="BQ98" s="4">
        <f>BU98/BP98</f>
        <v>0.49275138803207896</v>
      </c>
      <c r="BR98" s="4">
        <v>7.1595420000000001</v>
      </c>
      <c r="BS98" s="4">
        <v>3.5266299999999999</v>
      </c>
      <c r="BT98" s="4">
        <v>4.7488730000000006</v>
      </c>
      <c r="BU98" s="4">
        <f t="shared" si="16"/>
        <v>15.435044999999999</v>
      </c>
      <c r="BV98" s="4">
        <f t="shared" si="17"/>
        <v>46.759248999999997</v>
      </c>
      <c r="BW98" s="4">
        <v>1.5749059999999999</v>
      </c>
      <c r="BX98" s="4">
        <v>87.83</v>
      </c>
      <c r="BY98" s="4"/>
      <c r="BZ98" s="4">
        <f>SUM(BV98:BY98)</f>
        <v>136.16415499999999</v>
      </c>
      <c r="CA98" s="4"/>
      <c r="CB98" s="4"/>
      <c r="CC98" s="4"/>
      <c r="CD98" s="4"/>
      <c r="CE98" s="4"/>
      <c r="CF98" s="4">
        <f t="shared" si="18"/>
        <v>6.2648408</v>
      </c>
      <c r="CG98" s="4"/>
      <c r="CH98" s="4"/>
      <c r="CI98" s="4"/>
      <c r="CJ98" s="4"/>
      <c r="CK98" s="4"/>
      <c r="CL98" s="4"/>
      <c r="CM98" s="4"/>
      <c r="CN98" s="4"/>
      <c r="CO98" s="4"/>
      <c r="CP98" s="2" t="s">
        <v>594</v>
      </c>
      <c r="CQ98" s="2" t="s">
        <v>254</v>
      </c>
      <c r="CR98" s="10" t="s">
        <v>595</v>
      </c>
      <c r="CS98" s="9" t="s">
        <v>256</v>
      </c>
    </row>
    <row r="99" spans="1:97" s="2" customFormat="1" ht="12.75">
      <c r="A99" s="2">
        <v>96</v>
      </c>
      <c r="B99" s="2" t="s">
        <v>558</v>
      </c>
      <c r="C99" s="2" t="s">
        <v>602</v>
      </c>
      <c r="D99" s="4" t="s">
        <v>116</v>
      </c>
      <c r="E99" s="2" t="s">
        <v>603</v>
      </c>
      <c r="F99" s="14" t="s">
        <v>604</v>
      </c>
      <c r="G99" s="2">
        <v>2017</v>
      </c>
      <c r="H99" s="2">
        <v>2017</v>
      </c>
      <c r="I99" s="2">
        <v>0</v>
      </c>
      <c r="J99" s="2">
        <v>0</v>
      </c>
      <c r="K99" s="2">
        <v>0</v>
      </c>
      <c r="L99" s="2">
        <v>0</v>
      </c>
      <c r="M99" s="2">
        <v>0</v>
      </c>
      <c r="N99" s="2">
        <v>1</v>
      </c>
      <c r="O99" s="4">
        <v>17.489999999999998</v>
      </c>
      <c r="P99" s="4">
        <f t="shared" si="8"/>
        <v>149.88</v>
      </c>
      <c r="Q99" s="4">
        <v>1420</v>
      </c>
      <c r="R99" s="4">
        <v>0</v>
      </c>
      <c r="S99" s="4">
        <f>(100+300)/2</f>
        <v>200</v>
      </c>
      <c r="T99" s="4"/>
      <c r="U99" s="4">
        <v>1774</v>
      </c>
      <c r="V99" s="4"/>
      <c r="W99" s="4"/>
      <c r="X99" s="4"/>
      <c r="Y99" s="4">
        <v>5.21</v>
      </c>
      <c r="Z99" s="4"/>
      <c r="AA99" s="4"/>
      <c r="AB99" s="4"/>
      <c r="AC99" s="4"/>
      <c r="AD99" s="4"/>
      <c r="AE99" s="4"/>
      <c r="AF99" s="4"/>
      <c r="AG99" s="4"/>
      <c r="AH99" s="4"/>
      <c r="AI99" s="4"/>
      <c r="AJ99" s="4"/>
      <c r="AK99" s="4"/>
      <c r="AL99" s="4"/>
      <c r="AM99" s="4"/>
      <c r="AN99" s="4"/>
      <c r="AO99" s="4"/>
      <c r="AP99" s="4"/>
      <c r="AQ99" s="4"/>
      <c r="AR99" s="4"/>
      <c r="AS99" s="4"/>
      <c r="AT99" s="4"/>
      <c r="AV99" s="4"/>
      <c r="AW99" s="4">
        <v>2500</v>
      </c>
      <c r="AX99" s="4">
        <v>8.9700000000000006</v>
      </c>
      <c r="AY99" s="4">
        <v>10.5</v>
      </c>
      <c r="AZ99" s="4">
        <f t="shared" si="14"/>
        <v>15.798460771326438</v>
      </c>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f>28.16*12/44</f>
        <v>7.6800000000000006</v>
      </c>
      <c r="CG99" s="4"/>
      <c r="CH99" s="4"/>
      <c r="CI99" s="4"/>
      <c r="CJ99" s="4"/>
      <c r="CK99" s="4"/>
      <c r="CL99" s="4">
        <f>72.04*12/44</f>
        <v>19.647272727272728</v>
      </c>
      <c r="CM99" s="4"/>
      <c r="CN99" s="4"/>
      <c r="CO99" s="4">
        <f>4.71*12/44</f>
        <v>1.2845454545454544</v>
      </c>
      <c r="CP99" s="2" t="s">
        <v>605</v>
      </c>
      <c r="CQ99" s="2" t="s">
        <v>254</v>
      </c>
      <c r="CR99" s="10" t="s">
        <v>606</v>
      </c>
      <c r="CS99" s="9" t="s">
        <v>256</v>
      </c>
    </row>
    <row r="100" spans="1:97" s="2" customFormat="1" ht="12.75">
      <c r="A100" s="2">
        <v>97</v>
      </c>
      <c r="B100" s="2" t="s">
        <v>558</v>
      </c>
      <c r="C100" s="2" t="s">
        <v>591</v>
      </c>
      <c r="D100" s="4" t="s">
        <v>116</v>
      </c>
      <c r="E100" s="2" t="s">
        <v>607</v>
      </c>
      <c r="F100" s="14" t="s">
        <v>608</v>
      </c>
      <c r="G100" s="2">
        <v>2013</v>
      </c>
      <c r="H100" s="2">
        <v>2015</v>
      </c>
      <c r="I100" s="2">
        <v>1</v>
      </c>
      <c r="J100" s="2">
        <v>0</v>
      </c>
      <c r="K100" s="2">
        <v>1</v>
      </c>
      <c r="L100" s="2">
        <v>1</v>
      </c>
      <c r="M100" s="2">
        <v>0</v>
      </c>
      <c r="N100" s="2">
        <v>1</v>
      </c>
      <c r="O100" s="4">
        <v>15.6</v>
      </c>
      <c r="P100" s="4">
        <f t="shared" si="8"/>
        <v>127.19999999999999</v>
      </c>
      <c r="Q100" s="4">
        <v>1420</v>
      </c>
      <c r="R100" s="4">
        <v>0</v>
      </c>
      <c r="S100" s="4">
        <f>(100+300)/2</f>
        <v>200</v>
      </c>
      <c r="T100" s="4"/>
      <c r="U100" s="4"/>
      <c r="V100" s="4"/>
      <c r="W100" s="4"/>
      <c r="X100" s="4"/>
      <c r="Y100" s="4">
        <v>4.22</v>
      </c>
      <c r="Z100" s="4">
        <v>2.27</v>
      </c>
      <c r="AA100" s="4">
        <v>0.69</v>
      </c>
      <c r="AB100" s="4"/>
      <c r="AC100" s="4">
        <v>2</v>
      </c>
      <c r="AD100" s="4"/>
      <c r="AE100" s="4"/>
      <c r="AF100" s="4"/>
      <c r="AG100" s="4"/>
      <c r="AH100" s="4"/>
      <c r="AI100" s="4"/>
      <c r="AJ100" s="4"/>
      <c r="AK100" s="4"/>
      <c r="AL100" s="4"/>
      <c r="AM100" s="4"/>
      <c r="AN100" s="4"/>
      <c r="AO100" s="4"/>
      <c r="AP100" s="4"/>
      <c r="AQ100" s="4"/>
      <c r="AR100" s="4"/>
      <c r="AS100" s="4"/>
      <c r="AT100" s="4"/>
      <c r="AV100" s="4"/>
      <c r="AW100" s="4">
        <v>3106</v>
      </c>
      <c r="AX100" s="4">
        <v>10.08</v>
      </c>
      <c r="AY100" s="4"/>
      <c r="AZ100" s="4">
        <f t="shared" si="14"/>
        <v>24.78633967229187</v>
      </c>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f>((34.44867+32.37182+33.44647)/3)*12/44</f>
        <v>9.1151781818181821</v>
      </c>
      <c r="CM100" s="4"/>
      <c r="CN100" s="4"/>
      <c r="CO100" s="4"/>
      <c r="CP100" s="2" t="s">
        <v>609</v>
      </c>
      <c r="CQ100" s="2" t="s">
        <v>254</v>
      </c>
      <c r="CR100" s="10" t="s">
        <v>610</v>
      </c>
      <c r="CS100" s="9" t="s">
        <v>256</v>
      </c>
    </row>
    <row r="101" spans="1:97" s="2" customFormat="1" ht="12.75">
      <c r="A101" s="2">
        <v>98</v>
      </c>
      <c r="B101" s="2" t="s">
        <v>558</v>
      </c>
      <c r="C101" s="2" t="s">
        <v>591</v>
      </c>
      <c r="D101" s="4" t="s">
        <v>116</v>
      </c>
      <c r="E101" s="2" t="s">
        <v>611</v>
      </c>
      <c r="F101" s="14" t="s">
        <v>612</v>
      </c>
      <c r="G101" s="2">
        <v>2013</v>
      </c>
      <c r="H101" s="2">
        <v>2015</v>
      </c>
      <c r="I101" s="2">
        <v>1</v>
      </c>
      <c r="J101" s="2">
        <v>1</v>
      </c>
      <c r="K101" s="2">
        <v>1</v>
      </c>
      <c r="L101" s="2">
        <v>1</v>
      </c>
      <c r="M101" s="2">
        <v>0</v>
      </c>
      <c r="N101" s="2">
        <v>1</v>
      </c>
      <c r="O101" s="4">
        <v>15.6</v>
      </c>
      <c r="P101" s="4">
        <f t="shared" si="8"/>
        <v>127.19999999999999</v>
      </c>
      <c r="Q101" s="4">
        <v>1420</v>
      </c>
      <c r="R101" s="4">
        <v>0</v>
      </c>
      <c r="S101" s="4">
        <f>(100+300)/2</f>
        <v>200</v>
      </c>
      <c r="T101" s="4"/>
      <c r="U101" s="4"/>
      <c r="V101" s="4"/>
      <c r="W101" s="4"/>
      <c r="X101" s="4"/>
      <c r="Y101" s="4">
        <v>3.82</v>
      </c>
      <c r="Z101" s="4">
        <v>2.29</v>
      </c>
      <c r="AA101" s="4">
        <v>0.9</v>
      </c>
      <c r="AB101" s="4"/>
      <c r="AC101" s="4">
        <v>2</v>
      </c>
      <c r="AD101" s="4"/>
      <c r="AE101" s="4"/>
      <c r="AF101" s="4"/>
      <c r="AG101" s="4"/>
      <c r="AH101" s="4"/>
      <c r="AI101" s="4"/>
      <c r="AJ101" s="4"/>
      <c r="AK101" s="4"/>
      <c r="AL101" s="4"/>
      <c r="AM101" s="4"/>
      <c r="AN101" s="4"/>
      <c r="AO101" s="4"/>
      <c r="AP101" s="4"/>
      <c r="AQ101" s="4"/>
      <c r="AR101" s="4"/>
      <c r="AS101" s="4"/>
      <c r="AT101" s="4"/>
      <c r="AV101" s="4"/>
      <c r="AW101" s="4">
        <v>3362</v>
      </c>
      <c r="AX101" s="4">
        <v>10.16</v>
      </c>
      <c r="AY101" s="4"/>
      <c r="AZ101" s="4">
        <f t="shared" si="14"/>
        <v>27.2568087156126</v>
      </c>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f>((36.29459+35.16678+36.20264)/3)*12/44</f>
        <v>9.7876372727272738</v>
      </c>
      <c r="CM101" s="4"/>
      <c r="CN101" s="4"/>
      <c r="CO101" s="4"/>
      <c r="CP101" s="2" t="s">
        <v>609</v>
      </c>
      <c r="CQ101" s="2" t="s">
        <v>254</v>
      </c>
      <c r="CR101" s="10" t="s">
        <v>610</v>
      </c>
      <c r="CS101" s="9" t="s">
        <v>256</v>
      </c>
    </row>
    <row r="102" spans="1:97" s="2" customFormat="1" ht="25.5">
      <c r="A102" s="2">
        <v>99</v>
      </c>
      <c r="B102" s="2" t="s">
        <v>363</v>
      </c>
      <c r="C102" s="2" t="s">
        <v>613</v>
      </c>
      <c r="D102" s="4" t="s">
        <v>365</v>
      </c>
      <c r="E102" s="2" t="s">
        <v>614</v>
      </c>
      <c r="F102" s="2" t="s">
        <v>615</v>
      </c>
      <c r="G102" s="2">
        <v>2007</v>
      </c>
      <c r="H102" s="2">
        <v>2007</v>
      </c>
      <c r="I102" s="2">
        <v>0</v>
      </c>
      <c r="J102" s="2">
        <v>0</v>
      </c>
      <c r="K102" s="2">
        <v>0</v>
      </c>
      <c r="L102" s="2">
        <v>0</v>
      </c>
      <c r="M102" s="2">
        <v>0</v>
      </c>
      <c r="N102" s="2">
        <v>0</v>
      </c>
      <c r="O102" s="4">
        <v>16.55833333333333</v>
      </c>
      <c r="P102" s="4">
        <v>138.69999999999996</v>
      </c>
      <c r="Q102" s="4">
        <v>1258</v>
      </c>
      <c r="R102" s="4">
        <v>0</v>
      </c>
      <c r="S102" s="4">
        <v>3</v>
      </c>
      <c r="T102" s="4">
        <v>67.5</v>
      </c>
      <c r="U102" s="4">
        <v>2240.1166666666668</v>
      </c>
      <c r="V102" s="4">
        <v>2.3083330000000002</v>
      </c>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V102" s="4"/>
      <c r="AW102" s="4">
        <v>8800</v>
      </c>
      <c r="AX102" s="4">
        <v>11.5</v>
      </c>
      <c r="AY102" s="4"/>
      <c r="AZ102" s="4">
        <f>91.4</f>
        <v>91.4</v>
      </c>
      <c r="BA102" s="4"/>
      <c r="BB102" s="4"/>
      <c r="BC102" s="4"/>
      <c r="BD102" s="4"/>
      <c r="BE102" s="4"/>
      <c r="BF102" s="4"/>
      <c r="BG102" s="4"/>
      <c r="BH102" s="4"/>
      <c r="BI102" s="4"/>
      <c r="BJ102" s="4"/>
      <c r="BK102" s="4"/>
      <c r="BL102" s="4"/>
      <c r="BM102" s="4">
        <f>7.1*0.5</f>
        <v>3.55</v>
      </c>
      <c r="BN102" s="4">
        <f>21.8*0.5</f>
        <v>10.9</v>
      </c>
      <c r="BO102" s="4">
        <f>159.7*0.5</f>
        <v>79.849999999999994</v>
      </c>
      <c r="BP102" s="4">
        <f>188.5*0.5</f>
        <v>94.25</v>
      </c>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2" t="s">
        <v>616</v>
      </c>
      <c r="CQ102" s="2" t="s">
        <v>254</v>
      </c>
      <c r="CR102" s="20" t="s">
        <v>617</v>
      </c>
      <c r="CS102" s="9" t="s">
        <v>256</v>
      </c>
    </row>
    <row r="103" spans="1:97" s="2" customFormat="1" ht="25.5">
      <c r="A103" s="2">
        <v>100</v>
      </c>
      <c r="B103" s="2" t="s">
        <v>363</v>
      </c>
      <c r="C103" s="2" t="s">
        <v>618</v>
      </c>
      <c r="D103" s="4" t="s">
        <v>365</v>
      </c>
      <c r="E103" s="2" t="s">
        <v>614</v>
      </c>
      <c r="F103" s="2" t="s">
        <v>619</v>
      </c>
      <c r="G103" s="2">
        <v>2007</v>
      </c>
      <c r="H103" s="2">
        <v>2007</v>
      </c>
      <c r="I103" s="2">
        <v>0</v>
      </c>
      <c r="J103" s="2">
        <v>0</v>
      </c>
      <c r="K103" s="2">
        <v>0</v>
      </c>
      <c r="L103" s="2">
        <v>0</v>
      </c>
      <c r="M103" s="2">
        <v>0</v>
      </c>
      <c r="N103" s="2">
        <v>0</v>
      </c>
      <c r="O103" s="4">
        <v>16.158333333333335</v>
      </c>
      <c r="P103" s="4">
        <v>133.90000000000003</v>
      </c>
      <c r="Q103" s="4">
        <v>1367</v>
      </c>
      <c r="R103" s="4">
        <v>0</v>
      </c>
      <c r="S103" s="4">
        <v>4</v>
      </c>
      <c r="T103" s="4">
        <v>67.5</v>
      </c>
      <c r="U103" s="4">
        <v>2241.85</v>
      </c>
      <c r="V103" s="4">
        <v>1.95</v>
      </c>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V103" s="4"/>
      <c r="AW103" s="4">
        <v>8100</v>
      </c>
      <c r="AX103" s="4">
        <v>13.1</v>
      </c>
      <c r="AY103" s="4"/>
      <c r="AZ103" s="4">
        <v>109.2</v>
      </c>
      <c r="BA103" s="4"/>
      <c r="BB103" s="4"/>
      <c r="BC103" s="4"/>
      <c r="BD103" s="4"/>
      <c r="BE103" s="4"/>
      <c r="BF103" s="4"/>
      <c r="BG103" s="4"/>
      <c r="BH103" s="4"/>
      <c r="BI103" s="4"/>
      <c r="BJ103" s="4"/>
      <c r="BK103" s="4"/>
      <c r="BL103" s="4"/>
      <c r="BM103" s="4">
        <f>6.1*0.5</f>
        <v>3.05</v>
      </c>
      <c r="BN103" s="4">
        <f>19.2*0.5</f>
        <v>9.6</v>
      </c>
      <c r="BO103" s="4">
        <f>187.5*0.5</f>
        <v>93.75</v>
      </c>
      <c r="BP103" s="4">
        <f>212.8*0.5</f>
        <v>106.4</v>
      </c>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2" t="s">
        <v>616</v>
      </c>
      <c r="CQ103" s="2" t="s">
        <v>254</v>
      </c>
      <c r="CR103" s="20" t="s">
        <v>617</v>
      </c>
      <c r="CS103" s="9" t="s">
        <v>256</v>
      </c>
    </row>
    <row r="104" spans="1:97" s="2" customFormat="1" ht="25.5">
      <c r="A104" s="2">
        <v>101</v>
      </c>
      <c r="B104" s="2" t="s">
        <v>363</v>
      </c>
      <c r="C104" s="2" t="s">
        <v>620</v>
      </c>
      <c r="D104" s="4" t="s">
        <v>365</v>
      </c>
      <c r="E104" s="2" t="s">
        <v>614</v>
      </c>
      <c r="F104" s="2" t="s">
        <v>621</v>
      </c>
      <c r="G104" s="2">
        <v>2007</v>
      </c>
      <c r="H104" s="2">
        <v>2007</v>
      </c>
      <c r="I104" s="2">
        <v>0</v>
      </c>
      <c r="J104" s="2">
        <v>0</v>
      </c>
      <c r="K104" s="2">
        <v>0</v>
      </c>
      <c r="L104" s="2">
        <v>0</v>
      </c>
      <c r="M104" s="2">
        <v>0</v>
      </c>
      <c r="N104" s="2">
        <v>0</v>
      </c>
      <c r="O104" s="4">
        <v>14.699999999999998</v>
      </c>
      <c r="P104" s="4">
        <v>116.39999999999998</v>
      </c>
      <c r="Q104" s="4">
        <v>1384</v>
      </c>
      <c r="R104" s="4">
        <v>0</v>
      </c>
      <c r="S104" s="4">
        <v>40</v>
      </c>
      <c r="T104" s="4">
        <v>67.5</v>
      </c>
      <c r="U104" s="4">
        <v>1928.1166666666666</v>
      </c>
      <c r="V104" s="4">
        <v>1.8416666666666668</v>
      </c>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V104" s="4"/>
      <c r="AW104" s="4">
        <v>3978</v>
      </c>
      <c r="AX104" s="4">
        <v>14</v>
      </c>
      <c r="AY104" s="4"/>
      <c r="AZ104" s="4">
        <v>61.2</v>
      </c>
      <c r="BA104" s="4"/>
      <c r="BB104" s="4"/>
      <c r="BC104" s="4"/>
      <c r="BD104" s="4"/>
      <c r="BE104" s="4"/>
      <c r="BF104" s="4"/>
      <c r="BG104" s="4"/>
      <c r="BH104" s="4"/>
      <c r="BI104" s="4"/>
      <c r="BJ104" s="4"/>
      <c r="BK104" s="4"/>
      <c r="BL104" s="4"/>
      <c r="BM104" s="4">
        <f>3.9*0.5</f>
        <v>1.95</v>
      </c>
      <c r="BN104" s="4">
        <f>11*0.5</f>
        <v>5.5</v>
      </c>
      <c r="BO104" s="4">
        <f>102.3*0.5</f>
        <v>51.15</v>
      </c>
      <c r="BP104" s="4">
        <f>117.2*0.5</f>
        <v>58.6</v>
      </c>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2" t="s">
        <v>616</v>
      </c>
      <c r="CQ104" s="2" t="s">
        <v>254</v>
      </c>
      <c r="CR104" s="20" t="s">
        <v>617</v>
      </c>
      <c r="CS104" s="9" t="s">
        <v>256</v>
      </c>
    </row>
    <row r="105" spans="1:97" s="2" customFormat="1" ht="14.25">
      <c r="A105" s="2">
        <v>102</v>
      </c>
      <c r="B105" s="2" t="s">
        <v>486</v>
      </c>
      <c r="C105" s="2" t="s">
        <v>622</v>
      </c>
      <c r="D105" s="4" t="s">
        <v>488</v>
      </c>
      <c r="E105" s="2" t="s">
        <v>623</v>
      </c>
      <c r="F105" s="2" t="s">
        <v>624</v>
      </c>
      <c r="G105" s="2">
        <v>2016</v>
      </c>
      <c r="H105" s="2">
        <v>2016</v>
      </c>
      <c r="I105" s="2">
        <v>1</v>
      </c>
      <c r="J105" s="2">
        <v>1</v>
      </c>
      <c r="K105" s="2">
        <v>1</v>
      </c>
      <c r="L105" s="2">
        <v>1</v>
      </c>
      <c r="M105" s="2">
        <v>0</v>
      </c>
      <c r="N105" s="2">
        <v>0</v>
      </c>
      <c r="O105" s="4">
        <v>13.1</v>
      </c>
      <c r="P105" s="4">
        <f>(O105-5)*12</f>
        <v>97.199999999999989</v>
      </c>
      <c r="Q105" s="4">
        <v>1512</v>
      </c>
      <c r="R105" s="4"/>
      <c r="S105" s="4">
        <v>50</v>
      </c>
      <c r="T105" s="4"/>
      <c r="U105" s="4"/>
      <c r="V105" s="4"/>
      <c r="W105" s="4"/>
      <c r="X105" s="4"/>
      <c r="Y105" s="4">
        <f>(4.59+4.45)/2</f>
        <v>4.5199999999999996</v>
      </c>
      <c r="Z105" s="4">
        <f>(0.23+0.2)/2</f>
        <v>0.21500000000000002</v>
      </c>
      <c r="AA105" s="4"/>
      <c r="AB105" s="4"/>
      <c r="AC105" s="4">
        <f>(174.5+132.2)/2</f>
        <v>153.35</v>
      </c>
      <c r="AD105" s="4"/>
      <c r="AE105" s="4"/>
      <c r="AF105" s="4">
        <f>(3.84+3.74)/2</f>
        <v>3.79</v>
      </c>
      <c r="AG105" s="4">
        <f>(3.49+2.49)/2</f>
        <v>2.99</v>
      </c>
      <c r="AH105" s="4">
        <f>(0.07+0.06)/2</f>
        <v>6.5000000000000002E-2</v>
      </c>
      <c r="AI105" s="4">
        <f>(53+47)/2</f>
        <v>50</v>
      </c>
      <c r="AJ105" s="4">
        <f>(37+40)/2</f>
        <v>38.5</v>
      </c>
      <c r="AK105" s="4">
        <f>(10+13)/2</f>
        <v>11.5</v>
      </c>
      <c r="AL105" s="4"/>
      <c r="AM105" s="4"/>
      <c r="AN105" s="4"/>
      <c r="AO105" s="4"/>
      <c r="AP105" s="4"/>
      <c r="AQ105" s="4"/>
      <c r="AR105" s="4"/>
      <c r="AS105" s="4"/>
      <c r="AT105" s="4"/>
      <c r="AV105" s="4"/>
      <c r="AW105" s="4">
        <v>4633</v>
      </c>
      <c r="AX105" s="4">
        <v>10.8</v>
      </c>
      <c r="AY105" s="4"/>
      <c r="AZ105" s="4">
        <f>(AX105/2)^2*PI()*AW105/10000</f>
        <v>42.442376396061697</v>
      </c>
      <c r="BA105" s="4"/>
      <c r="BB105" s="4"/>
      <c r="BC105" s="4"/>
      <c r="BD105" s="4"/>
      <c r="BE105" s="4"/>
      <c r="BF105" s="4"/>
      <c r="BG105" s="4">
        <v>42.9</v>
      </c>
      <c r="BH105" s="4"/>
      <c r="BI105" s="4">
        <v>45</v>
      </c>
      <c r="BJ105" s="4"/>
      <c r="BK105" s="4">
        <v>2.48</v>
      </c>
      <c r="BL105" s="4">
        <v>2.0299999999999998</v>
      </c>
      <c r="BM105" s="4">
        <v>1.738</v>
      </c>
      <c r="BN105" s="4">
        <v>3.7831000000000001</v>
      </c>
      <c r="BO105" s="4">
        <v>20.810500000000001</v>
      </c>
      <c r="BP105" s="4">
        <v>26.331600000000002</v>
      </c>
      <c r="BQ105" s="4">
        <f>BU105/BP105</f>
        <v>9.2235185100791442E-2</v>
      </c>
      <c r="BR105" s="4">
        <v>1.0106999999999999</v>
      </c>
      <c r="BS105" s="4">
        <v>1.4179999999999999</v>
      </c>
      <c r="BT105" s="4"/>
      <c r="BU105" s="4">
        <f>BR105+BS105</f>
        <v>2.4287000000000001</v>
      </c>
      <c r="BV105" s="4">
        <f>BU105+BP105</f>
        <v>28.760300000000001</v>
      </c>
      <c r="BW105" s="4"/>
      <c r="BX105" s="4"/>
      <c r="BY105" s="4"/>
      <c r="BZ105" s="4"/>
      <c r="CA105" s="4"/>
      <c r="CB105" s="4"/>
      <c r="CC105" s="4"/>
      <c r="CD105" s="4"/>
      <c r="CE105" s="4"/>
      <c r="CF105" s="4"/>
      <c r="CG105" s="4"/>
      <c r="CH105" s="4"/>
      <c r="CI105" s="4"/>
      <c r="CJ105" s="4"/>
      <c r="CK105" s="4"/>
      <c r="CL105" s="4"/>
      <c r="CM105" s="4"/>
      <c r="CN105" s="4"/>
      <c r="CO105" s="4"/>
      <c r="CP105" s="2" t="s">
        <v>625</v>
      </c>
      <c r="CQ105" s="2" t="s">
        <v>254</v>
      </c>
      <c r="CR105" s="10" t="s">
        <v>626</v>
      </c>
      <c r="CS105" s="9" t="s">
        <v>256</v>
      </c>
    </row>
    <row r="106" spans="1:97" s="2" customFormat="1" ht="12.75">
      <c r="A106" s="2">
        <v>103</v>
      </c>
      <c r="B106" s="2" t="s">
        <v>627</v>
      </c>
      <c r="C106" s="2" t="s">
        <v>628</v>
      </c>
      <c r="D106" s="4" t="s">
        <v>629</v>
      </c>
      <c r="E106" s="2" t="s">
        <v>630</v>
      </c>
      <c r="F106" s="2" t="s">
        <v>631</v>
      </c>
      <c r="G106" s="2">
        <v>2016</v>
      </c>
      <c r="H106" s="2">
        <v>2016</v>
      </c>
      <c r="I106" s="2">
        <v>1</v>
      </c>
      <c r="J106" s="2">
        <v>0</v>
      </c>
      <c r="K106" s="2">
        <v>1</v>
      </c>
      <c r="L106" s="2">
        <v>0</v>
      </c>
      <c r="M106" s="2">
        <v>0</v>
      </c>
      <c r="N106" s="2">
        <v>0</v>
      </c>
      <c r="O106" s="4">
        <v>13.1</v>
      </c>
      <c r="P106" s="4">
        <v>97.199999999999989</v>
      </c>
      <c r="Q106" s="4">
        <v>1512</v>
      </c>
      <c r="R106" s="4"/>
      <c r="S106" s="4">
        <v>67</v>
      </c>
      <c r="T106" s="4"/>
      <c r="U106" s="4"/>
      <c r="V106" s="4"/>
      <c r="W106" s="4"/>
      <c r="X106" s="4"/>
      <c r="Y106" s="4">
        <v>4.625</v>
      </c>
      <c r="Z106" s="4">
        <v>0.2</v>
      </c>
      <c r="AA106" s="4"/>
      <c r="AB106" s="4"/>
      <c r="AC106" s="4">
        <v>5.71</v>
      </c>
      <c r="AD106" s="4"/>
      <c r="AE106" s="4"/>
      <c r="AF106" s="4">
        <v>2.7250000000000001</v>
      </c>
      <c r="AG106" s="4">
        <v>1.3149999999999999</v>
      </c>
      <c r="AH106" s="4">
        <v>0.03</v>
      </c>
      <c r="AI106" s="4">
        <v>59.5</v>
      </c>
      <c r="AJ106" s="4">
        <v>30</v>
      </c>
      <c r="AK106" s="4">
        <v>10</v>
      </c>
      <c r="AL106" s="4"/>
      <c r="AM106" s="4"/>
      <c r="AN106" s="4"/>
      <c r="AO106" s="4"/>
      <c r="AP106" s="4"/>
      <c r="AQ106" s="4"/>
      <c r="AR106" s="4"/>
      <c r="AS106" s="4"/>
      <c r="AT106" s="4"/>
      <c r="AV106" s="4"/>
      <c r="AW106" s="4">
        <v>6833</v>
      </c>
      <c r="AX106" s="4">
        <v>10.7</v>
      </c>
      <c r="AY106" s="4"/>
      <c r="AZ106" s="4">
        <v>61.442497072514541</v>
      </c>
      <c r="BA106" s="4"/>
      <c r="BB106" s="4"/>
      <c r="BC106" s="4"/>
      <c r="BD106" s="4"/>
      <c r="BE106" s="4"/>
      <c r="BF106" s="4"/>
      <c r="BG106" s="4">
        <v>36.4</v>
      </c>
      <c r="BH106" s="4"/>
      <c r="BI106" s="4">
        <v>45.6</v>
      </c>
      <c r="BJ106" s="4"/>
      <c r="BK106" s="4">
        <v>2.46</v>
      </c>
      <c r="BL106" s="4">
        <v>2.31</v>
      </c>
      <c r="BM106" s="4">
        <v>2.9476</v>
      </c>
      <c r="BN106" s="4">
        <v>6.3715999999999999</v>
      </c>
      <c r="BO106" s="4">
        <v>39.851300000000002</v>
      </c>
      <c r="BP106" s="4">
        <v>48.900399999999998</v>
      </c>
      <c r="BQ106" s="4">
        <v>0.15130142084727324</v>
      </c>
      <c r="BR106" s="4">
        <v>4.1403999999999996</v>
      </c>
      <c r="BS106" s="4">
        <v>3.2583000000000002</v>
      </c>
      <c r="BT106" s="4"/>
      <c r="BU106" s="4">
        <v>7.3986999999999998</v>
      </c>
      <c r="BV106" s="4">
        <v>56.299099999999996</v>
      </c>
      <c r="BW106" s="4"/>
      <c r="BX106" s="4"/>
      <c r="BY106" s="4"/>
      <c r="BZ106" s="4"/>
      <c r="CA106" s="4"/>
      <c r="CB106" s="4"/>
      <c r="CC106" s="4"/>
      <c r="CD106" s="4"/>
      <c r="CE106" s="4"/>
      <c r="CF106" s="4"/>
      <c r="CG106" s="4"/>
      <c r="CH106" s="4"/>
      <c r="CI106" s="4"/>
      <c r="CJ106" s="4"/>
      <c r="CK106" s="4"/>
      <c r="CL106" s="4"/>
      <c r="CM106" s="4"/>
      <c r="CN106" s="4"/>
      <c r="CO106" s="4"/>
      <c r="CP106" s="2" t="s">
        <v>632</v>
      </c>
      <c r="CQ106" s="2" t="s">
        <v>120</v>
      </c>
      <c r="CR106" s="10" t="s">
        <v>626</v>
      </c>
      <c r="CS106" s="9" t="s">
        <v>122</v>
      </c>
    </row>
    <row r="107" spans="1:97" s="2" customFormat="1" ht="12.75">
      <c r="A107" s="2">
        <v>104</v>
      </c>
      <c r="B107" s="2" t="s">
        <v>633</v>
      </c>
      <c r="C107" s="2" t="s">
        <v>634</v>
      </c>
      <c r="D107" s="4" t="s">
        <v>635</v>
      </c>
      <c r="E107" s="2" t="s">
        <v>636</v>
      </c>
      <c r="F107" s="2" t="s">
        <v>637</v>
      </c>
      <c r="G107" s="2">
        <v>1971</v>
      </c>
      <c r="H107" s="2">
        <v>2019</v>
      </c>
      <c r="I107" s="2">
        <v>0.5</v>
      </c>
      <c r="J107" s="2">
        <v>0.5</v>
      </c>
      <c r="K107" s="2">
        <v>0.5</v>
      </c>
      <c r="L107" s="2">
        <v>0.5</v>
      </c>
      <c r="M107" s="2">
        <v>0.5</v>
      </c>
      <c r="N107" s="2">
        <v>0.5</v>
      </c>
      <c r="O107" s="2">
        <v>20.12</v>
      </c>
      <c r="P107" s="4">
        <f>(O107-5)*12</f>
        <v>181.44</v>
      </c>
      <c r="Q107" s="4">
        <v>2795.4</v>
      </c>
      <c r="R107" s="4">
        <v>0</v>
      </c>
      <c r="S107" s="4">
        <v>688.57</v>
      </c>
      <c r="T107" s="4">
        <v>78.907999999999987</v>
      </c>
      <c r="U107" s="4">
        <v>1733.4720000000002</v>
      </c>
      <c r="V107" s="4">
        <v>3.2319999999999998</v>
      </c>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V107" s="4"/>
      <c r="AW107" s="4">
        <f>AVERAGE(AW68:AW84)</f>
        <v>6986.2352941176468</v>
      </c>
      <c r="AX107" s="4">
        <f>AVERAGE(AX68:AX84)</f>
        <v>7.8537499999999998</v>
      </c>
      <c r="AY107" s="4"/>
      <c r="AZ107" s="4">
        <f>AVERAGE(AZ68:AZ84)</f>
        <v>33.15015231975017</v>
      </c>
      <c r="BA107" s="4"/>
      <c r="BB107" s="4"/>
      <c r="BC107" s="4"/>
      <c r="BD107" s="4"/>
      <c r="BE107" s="4"/>
      <c r="BF107" s="4"/>
      <c r="BG107" s="4"/>
      <c r="BH107" s="4"/>
      <c r="BI107" s="4"/>
      <c r="BJ107" s="4"/>
      <c r="BK107" s="4"/>
      <c r="BL107" s="4"/>
      <c r="BM107" s="4"/>
      <c r="BN107" s="4"/>
      <c r="BO107" s="4"/>
      <c r="BP107" s="4">
        <v>33.18</v>
      </c>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2" t="s">
        <v>638</v>
      </c>
      <c r="CQ107" s="2" t="s">
        <v>120</v>
      </c>
      <c r="CR107" s="10" t="s">
        <v>639</v>
      </c>
      <c r="CS107" s="9" t="s">
        <v>256</v>
      </c>
    </row>
    <row r="108" spans="1:97" s="2" customFormat="1" ht="13.5" thickBot="1">
      <c r="A108" s="1">
        <v>105</v>
      </c>
      <c r="B108" s="1" t="s">
        <v>633</v>
      </c>
      <c r="C108" s="1" t="s">
        <v>640</v>
      </c>
      <c r="D108" s="21" t="s">
        <v>261</v>
      </c>
      <c r="E108" s="1" t="s">
        <v>641</v>
      </c>
      <c r="F108" s="1" t="s">
        <v>642</v>
      </c>
      <c r="G108" s="1">
        <v>2004</v>
      </c>
      <c r="H108" s="1">
        <v>2007</v>
      </c>
      <c r="I108" s="1">
        <v>1</v>
      </c>
      <c r="J108" s="1">
        <v>1</v>
      </c>
      <c r="K108" s="1">
        <v>1</v>
      </c>
      <c r="L108" s="1">
        <v>1</v>
      </c>
      <c r="M108" s="1">
        <v>0</v>
      </c>
      <c r="N108" s="1">
        <v>0</v>
      </c>
      <c r="O108" s="21">
        <v>16.5</v>
      </c>
      <c r="P108" s="21">
        <v>138</v>
      </c>
      <c r="Q108" s="21">
        <v>2200</v>
      </c>
      <c r="R108" s="21">
        <v>0</v>
      </c>
      <c r="S108" s="21">
        <v>1050</v>
      </c>
      <c r="T108" s="21">
        <v>82.666669999999996</v>
      </c>
      <c r="U108" s="21">
        <v>1561.7</v>
      </c>
      <c r="V108" s="21">
        <v>1.2250000000000001</v>
      </c>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1"/>
      <c r="AV108" s="21"/>
      <c r="AW108" s="21">
        <f>(AW72+AW77+AW78)/3</f>
        <v>7078</v>
      </c>
      <c r="AX108" s="21">
        <f>(AX72+AX77+AX78)/3</f>
        <v>8.7533333333333321</v>
      </c>
      <c r="AY108" s="21"/>
      <c r="AZ108" s="21">
        <f>(AZ72+AZ77+AZ78)/3</f>
        <v>42.606122111360975</v>
      </c>
      <c r="BA108" s="21"/>
      <c r="BB108" s="21"/>
      <c r="BC108" s="21"/>
      <c r="BD108" s="21">
        <f>(BD72+BD77+BD78)/3</f>
        <v>45.44</v>
      </c>
      <c r="BE108" s="21">
        <f>(BE72+BE77+BE78)/3</f>
        <v>48.15</v>
      </c>
      <c r="BF108" s="21">
        <f>(BF72+BF77+BF78)/3</f>
        <v>46.28</v>
      </c>
      <c r="BG108" s="21"/>
      <c r="BH108" s="21"/>
      <c r="BI108" s="21"/>
      <c r="BJ108" s="21"/>
      <c r="BK108" s="21"/>
      <c r="BL108" s="21"/>
      <c r="BM108" s="21"/>
      <c r="BN108" s="21"/>
      <c r="BO108" s="21"/>
      <c r="BP108" s="21">
        <v>40.6</v>
      </c>
      <c r="BQ108" s="21"/>
      <c r="BR108" s="21"/>
      <c r="BS108" s="21"/>
      <c r="BT108" s="21"/>
      <c r="BU108" s="21"/>
      <c r="BV108" s="21"/>
      <c r="BW108" s="21"/>
      <c r="BX108" s="21"/>
      <c r="BY108" s="21"/>
      <c r="BZ108" s="21"/>
      <c r="CA108" s="21"/>
      <c r="CB108" s="21"/>
      <c r="CC108" s="21"/>
      <c r="CD108" s="21"/>
      <c r="CE108" s="21"/>
      <c r="CF108" s="21">
        <v>8.1300000000000008</v>
      </c>
      <c r="CG108" s="21"/>
      <c r="CH108" s="21"/>
      <c r="CI108" s="21"/>
      <c r="CJ108" s="21"/>
      <c r="CK108" s="21"/>
      <c r="CL108" s="21"/>
      <c r="CM108" s="21"/>
      <c r="CN108" s="21"/>
      <c r="CO108" s="21"/>
      <c r="CP108" s="1" t="s">
        <v>643</v>
      </c>
      <c r="CQ108" s="1" t="s">
        <v>120</v>
      </c>
      <c r="CR108" s="22" t="s">
        <v>644</v>
      </c>
      <c r="CS108" s="23" t="s">
        <v>122</v>
      </c>
    </row>
    <row r="109" spans="1:97" ht="18">
      <c r="A109" s="24" t="s">
        <v>645</v>
      </c>
      <c r="B109" s="25"/>
      <c r="C109" s="25"/>
      <c r="D109" s="26"/>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row>
    <row r="110" spans="1:97" ht="18">
      <c r="A110" s="24" t="s">
        <v>646</v>
      </c>
      <c r="B110" s="25"/>
      <c r="C110" s="25"/>
      <c r="D110" s="26"/>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row>
    <row r="111" spans="1:97">
      <c r="A111" s="24" t="s">
        <v>647</v>
      </c>
      <c r="B111" s="25"/>
      <c r="C111" s="25"/>
      <c r="D111" s="26"/>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row>
    <row r="112" spans="1:97" ht="18">
      <c r="A112" s="24" t="s">
        <v>648</v>
      </c>
      <c r="B112" s="25"/>
      <c r="C112" s="25"/>
      <c r="D112" s="26"/>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row>
    <row r="113" spans="1:97" ht="18">
      <c r="A113" s="24" t="s">
        <v>649</v>
      </c>
      <c r="B113" s="25"/>
      <c r="C113" s="25"/>
      <c r="D113" s="26"/>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row>
    <row r="114" spans="1:97" ht="18">
      <c r="A114" s="24" t="s">
        <v>650</v>
      </c>
      <c r="B114" s="25"/>
      <c r="C114" s="25"/>
      <c r="D114" s="26"/>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row>
    <row r="115" spans="1:97" ht="18">
      <c r="A115" s="24" t="s">
        <v>651</v>
      </c>
      <c r="B115" s="25"/>
      <c r="C115" s="25"/>
      <c r="D115" s="26"/>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row>
    <row r="116" spans="1:97" ht="18">
      <c r="A116" s="24" t="s">
        <v>652</v>
      </c>
      <c r="B116" s="25"/>
      <c r="C116" s="25"/>
      <c r="D116" s="26"/>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row>
    <row r="117" spans="1:97">
      <c r="B117" s="25"/>
      <c r="C117" s="25"/>
      <c r="D117" s="26"/>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row>
    <row r="118" spans="1:97">
      <c r="B118" s="25"/>
      <c r="C118" s="25"/>
      <c r="D118" s="26"/>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row>
    <row r="119" spans="1:97">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row>
    <row r="120" spans="1:97">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row>
    <row r="121" spans="1:97">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row>
    <row r="122" spans="1:97">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row>
    <row r="123" spans="1:97">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row>
    <row r="124" spans="1:97">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c r="BB124" s="25"/>
      <c r="BC124" s="25"/>
      <c r="BD124" s="25"/>
      <c r="BE124" s="25"/>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row>
    <row r="125" spans="1:97">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row>
    <row r="126" spans="1:97">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row>
    <row r="127" spans="1:97">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c r="BF127" s="25"/>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row>
    <row r="128" spans="1:97">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row>
    <row r="129" spans="2:97">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row>
    <row r="130" spans="2:97">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row>
    <row r="131" spans="2:97">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c r="AY131" s="25"/>
      <c r="AZ131" s="25"/>
      <c r="BA131" s="25"/>
      <c r="BB131" s="25"/>
      <c r="BC131" s="25"/>
      <c r="BD131" s="25"/>
      <c r="BE131" s="25"/>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row>
    <row r="132" spans="2:97">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row>
    <row r="133" spans="2:97">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row>
    <row r="134" spans="2:97">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row>
    <row r="135" spans="2:97">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row>
    <row r="136" spans="2:97">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row>
    <row r="137" spans="2:97">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row>
    <row r="138" spans="2:97">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row>
    <row r="139" spans="2:97">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5"/>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row>
    <row r="140" spans="2:97">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c r="AY140" s="25"/>
      <c r="AZ140" s="25"/>
      <c r="BA140" s="25"/>
      <c r="BB140" s="25"/>
      <c r="BC140" s="25"/>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row>
    <row r="141" spans="2:97">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row>
    <row r="142" spans="2:97">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row>
    <row r="143" spans="2:97">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c r="BB143" s="25"/>
      <c r="BC143" s="25"/>
      <c r="BD143" s="25"/>
      <c r="BE143" s="25"/>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row>
    <row r="144" spans="2:97">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c r="AV144" s="25"/>
      <c r="AW144" s="25"/>
      <c r="AX144" s="25"/>
      <c r="AY144" s="25"/>
      <c r="AZ144" s="25"/>
      <c r="BA144" s="25"/>
      <c r="BB144" s="25"/>
      <c r="BC144" s="25"/>
      <c r="BD144" s="25"/>
      <c r="BE144" s="25"/>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row>
    <row r="145" spans="2:97">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c r="AV145" s="25"/>
      <c r="AW145" s="25"/>
      <c r="AX145" s="25"/>
      <c r="AY145" s="25"/>
      <c r="AZ145" s="25"/>
      <c r="BA145" s="25"/>
      <c r="BB145" s="25"/>
      <c r="BC145" s="25"/>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row>
    <row r="146" spans="2:97">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c r="AV146" s="25"/>
      <c r="AW146" s="25"/>
      <c r="AX146" s="25"/>
      <c r="AY146" s="25"/>
      <c r="AZ146" s="25"/>
      <c r="BA146" s="25"/>
      <c r="BB146" s="25"/>
      <c r="BC146" s="25"/>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row>
    <row r="147" spans="2:97">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c r="AV147" s="25"/>
      <c r="AW147" s="25"/>
      <c r="AX147" s="25"/>
      <c r="AY147" s="25"/>
      <c r="AZ147" s="25"/>
      <c r="BA147" s="25"/>
      <c r="BB147" s="25"/>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row>
    <row r="148" spans="2:97">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c r="AV148" s="25"/>
      <c r="AW148" s="25"/>
      <c r="AX148" s="25"/>
      <c r="AY148" s="25"/>
      <c r="AZ148" s="25"/>
      <c r="BA148" s="25"/>
      <c r="BB148" s="25"/>
      <c r="BC148" s="25"/>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row>
    <row r="149" spans="2:97">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c r="AV149" s="25"/>
      <c r="AW149" s="25"/>
      <c r="AX149" s="25"/>
      <c r="AY149" s="25"/>
      <c r="AZ149" s="25"/>
      <c r="BA149" s="25"/>
      <c r="BB149" s="25"/>
      <c r="BC149" s="25"/>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row>
    <row r="150" spans="2:97">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c r="AV150" s="25"/>
      <c r="AW150" s="25"/>
      <c r="AX150" s="25"/>
      <c r="AY150" s="25"/>
      <c r="AZ150" s="25"/>
      <c r="BA150" s="25"/>
      <c r="BB150" s="25"/>
      <c r="BC150" s="25"/>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row>
    <row r="151" spans="2:97">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c r="AV151" s="25"/>
      <c r="AW151" s="25"/>
      <c r="AX151" s="25"/>
      <c r="AY151" s="25"/>
      <c r="AZ151" s="25"/>
      <c r="BA151" s="25"/>
      <c r="BB151" s="25"/>
      <c r="BC151" s="25"/>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row>
    <row r="152" spans="2:97">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c r="AV152" s="25"/>
      <c r="AW152" s="25"/>
      <c r="AX152" s="25"/>
      <c r="AY152" s="25"/>
      <c r="AZ152" s="25"/>
      <c r="BA152" s="25"/>
      <c r="BB152" s="25"/>
      <c r="BC152" s="25"/>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row>
    <row r="153" spans="2:97">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c r="AV153" s="25"/>
      <c r="AW153" s="25"/>
      <c r="AX153" s="25"/>
      <c r="AY153" s="25"/>
      <c r="AZ153" s="25"/>
      <c r="BA153" s="25"/>
      <c r="BB153" s="25"/>
      <c r="BC153" s="25"/>
      <c r="BD153" s="25"/>
      <c r="BE153" s="25"/>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c r="CC153" s="25"/>
      <c r="CD153" s="25"/>
      <c r="CE153" s="25"/>
      <c r="CF153" s="25"/>
      <c r="CG153" s="25"/>
      <c r="CH153" s="25"/>
      <c r="CI153" s="25"/>
      <c r="CJ153" s="25"/>
      <c r="CK153" s="25"/>
      <c r="CL153" s="25"/>
      <c r="CM153" s="25"/>
      <c r="CN153" s="25"/>
      <c r="CO153" s="25"/>
      <c r="CP153" s="25"/>
      <c r="CQ153" s="25"/>
      <c r="CR153" s="25"/>
      <c r="CS153" s="25"/>
    </row>
    <row r="154" spans="2:97">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row>
    <row r="155" spans="2:97">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c r="AV155" s="25"/>
      <c r="AW155" s="25"/>
      <c r="AX155" s="25"/>
      <c r="AY155" s="25"/>
      <c r="AZ155" s="25"/>
      <c r="BA155" s="25"/>
      <c r="BB155" s="25"/>
      <c r="BC155" s="25"/>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row>
    <row r="156" spans="2:97">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5"/>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row>
    <row r="157" spans="2:97">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c r="AV157" s="25"/>
      <c r="AW157" s="25"/>
      <c r="AX157" s="25"/>
      <c r="AY157" s="25"/>
      <c r="AZ157" s="25"/>
      <c r="BA157" s="25"/>
      <c r="BB157" s="25"/>
      <c r="BC157" s="25"/>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row>
    <row r="158" spans="2:97">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5"/>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row>
    <row r="159" spans="2:97">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c r="AV159" s="25"/>
      <c r="AW159" s="25"/>
      <c r="AX159" s="25"/>
      <c r="AY159" s="25"/>
      <c r="AZ159" s="25"/>
      <c r="BA159" s="25"/>
      <c r="BB159" s="25"/>
      <c r="BC159" s="25"/>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row>
    <row r="160" spans="2:97">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c r="AV160" s="25"/>
      <c r="AW160" s="25"/>
      <c r="AX160" s="25"/>
      <c r="AY160" s="25"/>
      <c r="AZ160" s="25"/>
      <c r="BA160" s="25"/>
      <c r="BB160" s="25"/>
      <c r="BC160" s="25"/>
      <c r="BD160" s="25"/>
      <c r="BE160" s="25"/>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row>
    <row r="161" spans="2:97">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c r="AV161" s="25"/>
      <c r="AW161" s="25"/>
      <c r="AX161" s="25"/>
      <c r="AY161" s="25"/>
      <c r="AZ161" s="25"/>
      <c r="BA161" s="25"/>
      <c r="BB161" s="25"/>
      <c r="BC161" s="25"/>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row>
    <row r="162" spans="2:97">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c r="AV162" s="25"/>
      <c r="AW162" s="25"/>
      <c r="AX162" s="25"/>
      <c r="AY162" s="25"/>
      <c r="AZ162" s="25"/>
      <c r="BA162" s="25"/>
      <c r="BB162" s="25"/>
      <c r="BC162" s="25"/>
      <c r="BD162" s="25"/>
      <c r="BE162" s="25"/>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row>
    <row r="163" spans="2:97">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c r="AV163" s="25"/>
      <c r="AW163" s="25"/>
      <c r="AX163" s="25"/>
      <c r="AY163" s="25"/>
      <c r="AZ163" s="25"/>
      <c r="BA163" s="25"/>
      <c r="BB163" s="25"/>
      <c r="BC163" s="25"/>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row>
    <row r="164" spans="2:97">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5"/>
      <c r="BC164" s="25"/>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row>
    <row r="165" spans="2:97">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c r="AV165" s="25"/>
      <c r="AW165" s="25"/>
      <c r="AX165" s="25"/>
      <c r="AY165" s="25"/>
      <c r="AZ165" s="25"/>
      <c r="BA165" s="25"/>
      <c r="BB165" s="25"/>
      <c r="BC165" s="25"/>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row>
    <row r="166" spans="2:97">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row>
    <row r="167" spans="2:97">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c r="BB167" s="25"/>
      <c r="BC167" s="25"/>
      <c r="BD167" s="25"/>
      <c r="BE167" s="25"/>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row>
    <row r="168" spans="2:97">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row>
    <row r="169" spans="2:97">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c r="AV169" s="25"/>
      <c r="AW169" s="25"/>
      <c r="AX169" s="25"/>
      <c r="AY169" s="25"/>
      <c r="AZ169" s="25"/>
      <c r="BA169" s="25"/>
      <c r="BB169" s="25"/>
      <c r="BC169" s="25"/>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row>
    <row r="170" spans="2:97">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row>
    <row r="171" spans="2:97">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c r="AV171" s="25"/>
      <c r="AW171" s="25"/>
      <c r="AX171" s="25"/>
      <c r="AY171" s="25"/>
      <c r="AZ171" s="25"/>
      <c r="BA171" s="25"/>
      <c r="BB171" s="25"/>
      <c r="BC171" s="25"/>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row>
    <row r="172" spans="2:97">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c r="AV172" s="25"/>
      <c r="AW172" s="25"/>
      <c r="AX172" s="25"/>
      <c r="AY172" s="25"/>
      <c r="AZ172" s="25"/>
      <c r="BA172" s="25"/>
      <c r="BB172" s="25"/>
      <c r="BC172" s="25"/>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row>
    <row r="173" spans="2:97">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row>
    <row r="174" spans="2:97">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c r="AV174" s="25"/>
      <c r="AW174" s="25"/>
      <c r="AX174" s="25"/>
      <c r="AY174" s="25"/>
      <c r="AZ174" s="25"/>
      <c r="BA174" s="25"/>
      <c r="BB174" s="25"/>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row>
    <row r="175" spans="2:97">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c r="AV175" s="25"/>
      <c r="AW175" s="25"/>
      <c r="AX175" s="25"/>
      <c r="AY175" s="25"/>
      <c r="AZ175" s="25"/>
      <c r="BA175" s="25"/>
      <c r="BB175" s="25"/>
      <c r="BC175" s="25"/>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row>
    <row r="176" spans="2:97">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c r="AV176" s="25"/>
      <c r="AW176" s="25"/>
      <c r="AX176" s="25"/>
      <c r="AY176" s="25"/>
      <c r="AZ176" s="25"/>
      <c r="BA176" s="25"/>
      <c r="BB176" s="25"/>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row>
    <row r="177" spans="2:97">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5"/>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row>
    <row r="178" spans="2:97">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c r="AV178" s="25"/>
      <c r="AW178" s="25"/>
      <c r="AX178" s="25"/>
      <c r="AY178" s="25"/>
      <c r="AZ178" s="25"/>
      <c r="BA178" s="25"/>
      <c r="BB178" s="25"/>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row>
    <row r="179" spans="2:97">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c r="AV179" s="25"/>
      <c r="AW179" s="25"/>
      <c r="AX179" s="25"/>
      <c r="AY179" s="25"/>
      <c r="AZ179" s="25"/>
      <c r="BA179" s="25"/>
      <c r="BB179" s="25"/>
      <c r="BC179" s="25"/>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row>
    <row r="180" spans="2:97">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c r="BB180" s="25"/>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row>
    <row r="181" spans="2:97">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c r="AV181" s="25"/>
      <c r="AW181" s="25"/>
      <c r="AX181" s="25"/>
      <c r="AY181" s="25"/>
      <c r="AZ181" s="25"/>
      <c r="BA181" s="25"/>
      <c r="BB181" s="25"/>
      <c r="BC181" s="25"/>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row>
    <row r="182" spans="2:97">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c r="AV182" s="25"/>
      <c r="AW182" s="25"/>
      <c r="AX182" s="25"/>
      <c r="AY182" s="25"/>
      <c r="AZ182" s="25"/>
      <c r="BA182" s="25"/>
      <c r="BB182" s="25"/>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row>
    <row r="183" spans="2:97">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row>
    <row r="184" spans="2:97">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row>
    <row r="185" spans="2:97">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c r="AV185" s="25"/>
      <c r="AW185" s="25"/>
      <c r="AX185" s="25"/>
      <c r="AY185" s="25"/>
      <c r="AZ185" s="25"/>
      <c r="BA185" s="25"/>
      <c r="BB185" s="25"/>
      <c r="BC185" s="25"/>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row>
    <row r="186" spans="2:97">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row>
    <row r="187" spans="2:97">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c r="AV187" s="25"/>
      <c r="AW187" s="25"/>
      <c r="AX187" s="25"/>
      <c r="AY187" s="25"/>
      <c r="AZ187" s="25"/>
      <c r="BA187" s="25"/>
      <c r="BB187" s="25"/>
      <c r="BC187" s="25"/>
      <c r="BD187" s="25"/>
      <c r="BE187" s="25"/>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row>
    <row r="188" spans="2:97">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row>
    <row r="189" spans="2:97">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c r="AV189" s="25"/>
      <c r="AW189" s="25"/>
      <c r="AX189" s="25"/>
      <c r="AY189" s="25"/>
      <c r="AZ189" s="25"/>
      <c r="BA189" s="25"/>
      <c r="BB189" s="25"/>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row>
    <row r="190" spans="2:97">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row>
    <row r="191" spans="2:97">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c r="AV191" s="25"/>
      <c r="AW191" s="25"/>
      <c r="AX191" s="25"/>
      <c r="AY191" s="25"/>
      <c r="AZ191" s="25"/>
      <c r="BA191" s="25"/>
      <c r="BB191" s="25"/>
      <c r="BC191" s="25"/>
      <c r="BD191" s="25"/>
      <c r="BE191" s="25"/>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row>
    <row r="192" spans="2:97">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row>
    <row r="193" spans="2:97">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c r="AY193" s="25"/>
      <c r="AZ193" s="25"/>
      <c r="BA193" s="25"/>
      <c r="BB193" s="25"/>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row>
    <row r="194" spans="2:97">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row>
    <row r="195" spans="2:97">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c r="AV195" s="25"/>
      <c r="AW195" s="25"/>
      <c r="AX195" s="25"/>
      <c r="AY195" s="25"/>
      <c r="AZ195" s="25"/>
      <c r="BA195" s="25"/>
      <c r="BB195" s="25"/>
      <c r="BC195" s="25"/>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row>
    <row r="196" spans="2:97">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row>
    <row r="197" spans="2:97">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row>
    <row r="198" spans="2:97">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row>
    <row r="199" spans="2:97">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row>
    <row r="200" spans="2:97">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row>
    <row r="201" spans="2:97">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5"/>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row>
    <row r="202" spans="2:97">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row>
    <row r="203" spans="2:97">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row>
    <row r="204" spans="2:97">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c r="AV204" s="25"/>
      <c r="AW204" s="25"/>
      <c r="AX204" s="25"/>
      <c r="AY204" s="25"/>
      <c r="AZ204" s="25"/>
      <c r="BA204" s="25"/>
      <c r="BB204" s="25"/>
      <c r="BC204" s="25"/>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row>
    <row r="205" spans="2:97">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c r="AV205" s="25"/>
      <c r="AW205" s="25"/>
      <c r="AX205" s="25"/>
      <c r="AY205" s="25"/>
      <c r="AZ205" s="25"/>
      <c r="BA205" s="25"/>
      <c r="BB205" s="25"/>
      <c r="BC205" s="25"/>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row>
    <row r="206" spans="2:97">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row>
    <row r="207" spans="2:97">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c r="AV207" s="25"/>
      <c r="AW207" s="25"/>
      <c r="AX207" s="25"/>
      <c r="AY207" s="25"/>
      <c r="AZ207" s="25"/>
      <c r="BA207" s="25"/>
      <c r="BB207" s="25"/>
      <c r="BC207" s="25"/>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row>
    <row r="208" spans="2:97">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c r="AY208" s="25"/>
      <c r="AZ208" s="25"/>
      <c r="BA208" s="25"/>
      <c r="BB208" s="25"/>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row>
    <row r="209" spans="2:97">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c r="AV209" s="25"/>
      <c r="AW209" s="25"/>
      <c r="AX209" s="25"/>
      <c r="AY209" s="25"/>
      <c r="AZ209" s="25"/>
      <c r="BA209" s="25"/>
      <c r="BB209" s="25"/>
      <c r="BC209" s="25"/>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row>
    <row r="210" spans="2:97">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c r="AV210" s="25"/>
      <c r="AW210" s="25"/>
      <c r="AX210" s="25"/>
      <c r="AY210" s="25"/>
      <c r="AZ210" s="25"/>
      <c r="BA210" s="25"/>
      <c r="BB210" s="25"/>
      <c r="BC210" s="25"/>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row>
    <row r="211" spans="2:97">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c r="AV211" s="25"/>
      <c r="AW211" s="25"/>
      <c r="AX211" s="25"/>
      <c r="AY211" s="25"/>
      <c r="AZ211" s="25"/>
      <c r="BA211" s="25"/>
      <c r="BB211" s="25"/>
      <c r="BC211" s="25"/>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row>
    <row r="212" spans="2:97">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c r="AV212" s="25"/>
      <c r="AW212" s="25"/>
      <c r="AX212" s="25"/>
      <c r="AY212" s="25"/>
      <c r="AZ212" s="25"/>
      <c r="BA212" s="25"/>
      <c r="BB212" s="25"/>
      <c r="BC212" s="25"/>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row>
    <row r="213" spans="2:97">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c r="AV213" s="25"/>
      <c r="AW213" s="25"/>
      <c r="AX213" s="25"/>
      <c r="AY213" s="25"/>
      <c r="AZ213" s="25"/>
      <c r="BA213" s="25"/>
      <c r="BB213" s="25"/>
      <c r="BC213" s="25"/>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c r="CD213" s="25"/>
      <c r="CE213" s="25"/>
      <c r="CF213" s="25"/>
      <c r="CG213" s="25"/>
      <c r="CH213" s="25"/>
      <c r="CI213" s="25"/>
      <c r="CJ213" s="25"/>
      <c r="CK213" s="25"/>
      <c r="CL213" s="25"/>
      <c r="CM213" s="25"/>
      <c r="CN213" s="25"/>
      <c r="CO213" s="25"/>
      <c r="CP213" s="25"/>
      <c r="CQ213" s="25"/>
      <c r="CR213" s="25"/>
      <c r="CS213" s="25"/>
    </row>
    <row r="214" spans="2:97">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c r="AV214" s="25"/>
      <c r="AW214" s="25"/>
      <c r="AX214" s="25"/>
      <c r="AY214" s="25"/>
      <c r="AZ214" s="25"/>
      <c r="BA214" s="25"/>
      <c r="BB214" s="25"/>
      <c r="BC214" s="25"/>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row>
    <row r="215" spans="2:97">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c r="AV215" s="25"/>
      <c r="AW215" s="25"/>
      <c r="AX215" s="25"/>
      <c r="AY215" s="25"/>
      <c r="AZ215" s="25"/>
      <c r="BA215" s="25"/>
      <c r="BB215" s="25"/>
      <c r="BC215" s="25"/>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row>
    <row r="216" spans="2:97">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c r="AV216" s="25"/>
      <c r="AW216" s="25"/>
      <c r="AX216" s="25"/>
      <c r="AY216" s="25"/>
      <c r="AZ216" s="25"/>
      <c r="BA216" s="25"/>
      <c r="BB216" s="25"/>
      <c r="BC216" s="25"/>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row>
    <row r="217" spans="2:97">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c r="AV217" s="25"/>
      <c r="AW217" s="25"/>
      <c r="AX217" s="25"/>
      <c r="AY217" s="25"/>
      <c r="AZ217" s="25"/>
      <c r="BA217" s="25"/>
      <c r="BB217" s="25"/>
      <c r="BC217" s="25"/>
      <c r="BD217" s="25"/>
      <c r="BE217" s="25"/>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row>
    <row r="218" spans="2:97">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25"/>
      <c r="AW218" s="25"/>
      <c r="AX218" s="25"/>
      <c r="AY218" s="25"/>
      <c r="AZ218" s="25"/>
      <c r="BA218" s="25"/>
      <c r="BB218" s="25"/>
      <c r="BC218" s="25"/>
      <c r="BD218" s="25"/>
      <c r="BE218" s="25"/>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row>
    <row r="219" spans="2:97">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25"/>
      <c r="AW219" s="25"/>
      <c r="AX219" s="25"/>
      <c r="AY219" s="25"/>
      <c r="AZ219" s="25"/>
      <c r="BA219" s="25"/>
      <c r="BB219" s="25"/>
      <c r="BC219" s="25"/>
      <c r="BD219" s="25"/>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row>
    <row r="220" spans="2:97">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c r="AV220" s="25"/>
      <c r="AW220" s="25"/>
      <c r="AX220" s="25"/>
      <c r="AY220" s="25"/>
      <c r="AZ220" s="25"/>
      <c r="BA220" s="25"/>
      <c r="BB220" s="25"/>
      <c r="BC220" s="25"/>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row>
    <row r="221" spans="2:97">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c r="AV221" s="25"/>
      <c r="AW221" s="25"/>
      <c r="AX221" s="25"/>
      <c r="AY221" s="25"/>
      <c r="AZ221" s="25"/>
      <c r="BA221" s="25"/>
      <c r="BB221" s="25"/>
      <c r="BC221" s="25"/>
      <c r="BD221" s="25"/>
      <c r="BE221" s="25"/>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row>
    <row r="222" spans="2:97">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c r="AV222" s="25"/>
      <c r="AW222" s="25"/>
      <c r="AX222" s="25"/>
      <c r="AY222" s="25"/>
      <c r="AZ222" s="25"/>
      <c r="BA222" s="25"/>
      <c r="BB222" s="25"/>
      <c r="BC222" s="25"/>
      <c r="BD222" s="25"/>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c r="CD222" s="25"/>
      <c r="CE222" s="25"/>
      <c r="CF222" s="25"/>
      <c r="CG222" s="25"/>
      <c r="CH222" s="25"/>
      <c r="CI222" s="25"/>
      <c r="CJ222" s="25"/>
      <c r="CK222" s="25"/>
      <c r="CL222" s="25"/>
      <c r="CM222" s="25"/>
      <c r="CN222" s="25"/>
      <c r="CO222" s="25"/>
      <c r="CP222" s="25"/>
      <c r="CQ222" s="25"/>
      <c r="CR222" s="25"/>
      <c r="CS222" s="25"/>
    </row>
    <row r="223" spans="2:97">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c r="AV223" s="25"/>
      <c r="AW223" s="25"/>
      <c r="AX223" s="25"/>
      <c r="AY223" s="25"/>
      <c r="AZ223" s="25"/>
      <c r="BA223" s="25"/>
      <c r="BB223" s="25"/>
      <c r="BC223" s="25"/>
      <c r="BD223" s="25"/>
      <c r="BE223" s="25"/>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row>
    <row r="224" spans="2:97">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row>
    <row r="225" spans="2:97">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c r="AV225" s="25"/>
      <c r="AW225" s="25"/>
      <c r="AX225" s="25"/>
      <c r="AY225" s="25"/>
      <c r="AZ225" s="25"/>
      <c r="BA225" s="25"/>
      <c r="BB225" s="25"/>
      <c r="BC225" s="25"/>
      <c r="BD225" s="25"/>
      <c r="BE225" s="25"/>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row>
    <row r="226" spans="2:97">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c r="AV226" s="25"/>
      <c r="AW226" s="25"/>
      <c r="AX226" s="25"/>
      <c r="AY226" s="25"/>
      <c r="AZ226" s="25"/>
      <c r="BA226" s="25"/>
      <c r="BB226" s="25"/>
      <c r="BC226" s="25"/>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row>
    <row r="227" spans="2:97">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25"/>
      <c r="BE227" s="25"/>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row>
    <row r="228" spans="2:97">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c r="AV228" s="25"/>
      <c r="AW228" s="25"/>
      <c r="AX228" s="25"/>
      <c r="AY228" s="25"/>
      <c r="AZ228" s="25"/>
      <c r="BA228" s="25"/>
      <c r="BB228" s="25"/>
      <c r="BC228" s="25"/>
      <c r="BD228" s="25"/>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row>
    <row r="229" spans="2:97">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c r="AV229" s="25"/>
      <c r="AW229" s="25"/>
      <c r="AX229" s="25"/>
      <c r="AY229" s="25"/>
      <c r="AZ229" s="25"/>
      <c r="BA229" s="25"/>
      <c r="BB229" s="25"/>
      <c r="BC229" s="25"/>
      <c r="BD229" s="25"/>
      <c r="BE229" s="25"/>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row>
    <row r="230" spans="2:97">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5"/>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row>
    <row r="231" spans="2:97">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c r="AV231" s="25"/>
      <c r="AW231" s="25"/>
      <c r="AX231" s="25"/>
      <c r="AY231" s="25"/>
      <c r="AZ231" s="25"/>
      <c r="BA231" s="25"/>
      <c r="BB231" s="25"/>
      <c r="BC231" s="25"/>
      <c r="BD231" s="25"/>
      <c r="BE231" s="25"/>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row>
    <row r="232" spans="2:97">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25"/>
      <c r="AW232" s="25"/>
      <c r="AX232" s="25"/>
      <c r="AY232" s="25"/>
      <c r="AZ232" s="25"/>
      <c r="BA232" s="25"/>
      <c r="BB232" s="25"/>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row>
    <row r="233" spans="2:97">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c r="AV233" s="25"/>
      <c r="AW233" s="25"/>
      <c r="AX233" s="25"/>
      <c r="AY233" s="25"/>
      <c r="AZ233" s="25"/>
      <c r="BA233" s="25"/>
      <c r="BB233" s="25"/>
      <c r="BC233" s="25"/>
      <c r="BD233" s="25"/>
      <c r="BE233" s="25"/>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row>
    <row r="234" spans="2:97">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c r="AV234" s="25"/>
      <c r="AW234" s="25"/>
      <c r="AX234" s="25"/>
      <c r="AY234" s="25"/>
      <c r="AZ234" s="25"/>
      <c r="BA234" s="25"/>
      <c r="BB234" s="25"/>
      <c r="BC234" s="25"/>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row>
    <row r="235" spans="2:97">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c r="AV235" s="25"/>
      <c r="AW235" s="25"/>
      <c r="AX235" s="25"/>
      <c r="AY235" s="25"/>
      <c r="AZ235" s="25"/>
      <c r="BA235" s="25"/>
      <c r="BB235" s="25"/>
      <c r="BC235" s="25"/>
      <c r="BD235" s="25"/>
      <c r="BE235" s="25"/>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row>
    <row r="236" spans="2:97">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c r="AV236" s="25"/>
      <c r="AW236" s="25"/>
      <c r="AX236" s="25"/>
      <c r="AY236" s="25"/>
      <c r="AZ236" s="25"/>
      <c r="BA236" s="25"/>
      <c r="BB236" s="25"/>
      <c r="BC236" s="25"/>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row>
    <row r="237" spans="2:97">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c r="AV237" s="25"/>
      <c r="AW237" s="25"/>
      <c r="AX237" s="25"/>
      <c r="AY237" s="25"/>
      <c r="AZ237" s="25"/>
      <c r="BA237" s="25"/>
      <c r="BB237" s="25"/>
      <c r="BC237" s="25"/>
      <c r="BD237" s="25"/>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row>
    <row r="238" spans="2:97">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c r="AV238" s="25"/>
      <c r="AW238" s="25"/>
      <c r="AX238" s="25"/>
      <c r="AY238" s="25"/>
      <c r="AZ238" s="25"/>
      <c r="BA238" s="25"/>
      <c r="BB238" s="25"/>
      <c r="BC238" s="25"/>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row>
    <row r="239" spans="2:97">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c r="AV239" s="25"/>
      <c r="AW239" s="25"/>
      <c r="AX239" s="25"/>
      <c r="AY239" s="25"/>
      <c r="AZ239" s="25"/>
      <c r="BA239" s="25"/>
      <c r="BB239" s="25"/>
      <c r="BC239" s="25"/>
      <c r="BD239" s="25"/>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row>
    <row r="240" spans="2:97">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25"/>
      <c r="BE240" s="25"/>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row>
    <row r="241" spans="2:97">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c r="AV241" s="25"/>
      <c r="AW241" s="25"/>
      <c r="AX241" s="25"/>
      <c r="AY241" s="25"/>
      <c r="AZ241" s="25"/>
      <c r="BA241" s="25"/>
      <c r="BB241" s="25"/>
      <c r="BC241" s="25"/>
      <c r="BD241" s="25"/>
      <c r="BE241" s="25"/>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row>
    <row r="242" spans="2:97">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c r="AV242" s="25"/>
      <c r="AW242" s="25"/>
      <c r="AX242" s="25"/>
      <c r="AY242" s="25"/>
      <c r="AZ242" s="25"/>
      <c r="BA242" s="25"/>
      <c r="BB242" s="25"/>
      <c r="BC242" s="25"/>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row>
    <row r="243" spans="2:97">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c r="AV243" s="25"/>
      <c r="AW243" s="25"/>
      <c r="AX243" s="25"/>
      <c r="AY243" s="25"/>
      <c r="AZ243" s="25"/>
      <c r="BA243" s="25"/>
      <c r="BB243" s="25"/>
      <c r="BC243" s="25"/>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row>
    <row r="244" spans="2:97">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c r="AV244" s="25"/>
      <c r="AW244" s="25"/>
      <c r="AX244" s="25"/>
      <c r="AY244" s="25"/>
      <c r="AZ244" s="25"/>
      <c r="BA244" s="25"/>
      <c r="BB244" s="25"/>
      <c r="BC244" s="25"/>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row>
    <row r="245" spans="2:97">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c r="AV245" s="25"/>
      <c r="AW245" s="25"/>
      <c r="AX245" s="25"/>
      <c r="AY245" s="25"/>
      <c r="AZ245" s="25"/>
      <c r="BA245" s="25"/>
      <c r="BB245" s="25"/>
      <c r="BC245" s="25"/>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c r="CC245" s="25"/>
      <c r="CD245" s="25"/>
      <c r="CE245" s="25"/>
      <c r="CF245" s="25"/>
      <c r="CG245" s="25"/>
      <c r="CH245" s="25"/>
      <c r="CI245" s="25"/>
      <c r="CJ245" s="25"/>
      <c r="CK245" s="25"/>
      <c r="CL245" s="25"/>
      <c r="CM245" s="25"/>
      <c r="CN245" s="25"/>
      <c r="CO245" s="25"/>
      <c r="CP245" s="25"/>
      <c r="CQ245" s="25"/>
      <c r="CR245" s="25"/>
      <c r="CS245" s="25"/>
    </row>
    <row r="246" spans="2:97">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c r="AV246" s="25"/>
      <c r="AW246" s="25"/>
      <c r="AX246" s="25"/>
      <c r="AY246" s="25"/>
      <c r="AZ246" s="25"/>
      <c r="BA246" s="25"/>
      <c r="BB246" s="25"/>
      <c r="BC246" s="25"/>
      <c r="BD246" s="25"/>
      <c r="BE246" s="25"/>
      <c r="BF246" s="25"/>
      <c r="BG246" s="25"/>
      <c r="BH246" s="25"/>
      <c r="BI246" s="25"/>
      <c r="BJ246" s="25"/>
      <c r="BK246" s="25"/>
      <c r="BL246" s="25"/>
      <c r="BM246" s="25"/>
      <c r="BN246" s="25"/>
      <c r="BO246" s="25"/>
      <c r="BP246" s="25"/>
      <c r="BQ246" s="25"/>
      <c r="BR246" s="25"/>
      <c r="BS246" s="25"/>
      <c r="BT246" s="25"/>
      <c r="BU246" s="25"/>
      <c r="BV246" s="25"/>
      <c r="BW246" s="25"/>
      <c r="BX246" s="25"/>
      <c r="BY246" s="25"/>
      <c r="BZ246" s="25"/>
      <c r="CA246" s="25"/>
      <c r="CB246" s="25"/>
      <c r="CC246" s="25"/>
      <c r="CD246" s="25"/>
      <c r="CE246" s="25"/>
      <c r="CF246" s="25"/>
      <c r="CG246" s="25"/>
      <c r="CH246" s="25"/>
      <c r="CI246" s="25"/>
      <c r="CJ246" s="25"/>
      <c r="CK246" s="25"/>
      <c r="CL246" s="25"/>
      <c r="CM246" s="25"/>
      <c r="CN246" s="25"/>
      <c r="CO246" s="25"/>
      <c r="CP246" s="25"/>
      <c r="CQ246" s="25"/>
      <c r="CR246" s="25"/>
      <c r="CS246" s="25"/>
    </row>
    <row r="247" spans="2:97">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c r="AV247" s="25"/>
      <c r="AW247" s="25"/>
      <c r="AX247" s="25"/>
      <c r="AY247" s="25"/>
      <c r="AZ247" s="25"/>
      <c r="BA247" s="25"/>
      <c r="BB247" s="25"/>
      <c r="BC247" s="25"/>
      <c r="BD247" s="25"/>
      <c r="BE247" s="25"/>
      <c r="BF247" s="25"/>
      <c r="BG247" s="25"/>
      <c r="BH247" s="25"/>
      <c r="BI247" s="25"/>
      <c r="BJ247" s="25"/>
      <c r="BK247" s="25"/>
      <c r="BL247" s="25"/>
      <c r="BM247" s="25"/>
      <c r="BN247" s="25"/>
      <c r="BO247" s="25"/>
      <c r="BP247" s="25"/>
      <c r="BQ247" s="25"/>
      <c r="BR247" s="25"/>
      <c r="BS247" s="25"/>
      <c r="BT247" s="25"/>
      <c r="BU247" s="25"/>
      <c r="BV247" s="25"/>
      <c r="BW247" s="25"/>
      <c r="BX247" s="25"/>
      <c r="BY247" s="25"/>
      <c r="BZ247" s="25"/>
      <c r="CA247" s="25"/>
      <c r="CB247" s="25"/>
      <c r="CC247" s="25"/>
      <c r="CD247" s="25"/>
      <c r="CE247" s="25"/>
      <c r="CF247" s="25"/>
      <c r="CG247" s="25"/>
      <c r="CH247" s="25"/>
      <c r="CI247" s="25"/>
      <c r="CJ247" s="25"/>
      <c r="CK247" s="25"/>
      <c r="CL247" s="25"/>
      <c r="CM247" s="25"/>
      <c r="CN247" s="25"/>
      <c r="CO247" s="25"/>
      <c r="CP247" s="25"/>
      <c r="CQ247" s="25"/>
      <c r="CR247" s="25"/>
      <c r="CS247" s="25"/>
    </row>
    <row r="248" spans="2:97">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c r="AV248" s="25"/>
      <c r="AW248" s="25"/>
      <c r="AX248" s="25"/>
      <c r="AY248" s="25"/>
      <c r="AZ248" s="25"/>
      <c r="BA248" s="25"/>
      <c r="BB248" s="25"/>
      <c r="BC248" s="25"/>
      <c r="BD248" s="25"/>
      <c r="BE248" s="25"/>
      <c r="BF248" s="25"/>
      <c r="BG248" s="25"/>
      <c r="BH248" s="25"/>
      <c r="BI248" s="25"/>
      <c r="BJ248" s="25"/>
      <c r="BK248" s="25"/>
      <c r="BL248" s="25"/>
      <c r="BM248" s="25"/>
      <c r="BN248" s="25"/>
      <c r="BO248" s="25"/>
      <c r="BP248" s="25"/>
      <c r="BQ248" s="25"/>
      <c r="BR248" s="25"/>
      <c r="BS248" s="25"/>
      <c r="BT248" s="25"/>
      <c r="BU248" s="25"/>
      <c r="BV248" s="25"/>
      <c r="BW248" s="25"/>
      <c r="BX248" s="25"/>
      <c r="BY248" s="25"/>
      <c r="BZ248" s="25"/>
      <c r="CA248" s="25"/>
      <c r="CB248" s="25"/>
      <c r="CC248" s="25"/>
      <c r="CD248" s="25"/>
      <c r="CE248" s="25"/>
      <c r="CF248" s="25"/>
      <c r="CG248" s="25"/>
      <c r="CH248" s="25"/>
      <c r="CI248" s="25"/>
      <c r="CJ248" s="25"/>
      <c r="CK248" s="25"/>
      <c r="CL248" s="25"/>
      <c r="CM248" s="25"/>
      <c r="CN248" s="25"/>
      <c r="CO248" s="25"/>
      <c r="CP248" s="25"/>
      <c r="CQ248" s="25"/>
      <c r="CR248" s="25"/>
      <c r="CS248" s="25"/>
    </row>
    <row r="249" spans="2:97">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c r="AV249" s="25"/>
      <c r="AW249" s="25"/>
      <c r="AX249" s="25"/>
      <c r="AY249" s="25"/>
      <c r="AZ249" s="25"/>
      <c r="BA249" s="25"/>
      <c r="BB249" s="25"/>
      <c r="BC249" s="25"/>
      <c r="BD249" s="25"/>
      <c r="BE249" s="25"/>
      <c r="BF249" s="25"/>
      <c r="BG249" s="25"/>
      <c r="BH249" s="25"/>
      <c r="BI249" s="25"/>
      <c r="BJ249" s="25"/>
      <c r="BK249" s="25"/>
      <c r="BL249" s="25"/>
      <c r="BM249" s="25"/>
      <c r="BN249" s="25"/>
      <c r="BO249" s="25"/>
      <c r="BP249" s="25"/>
      <c r="BQ249" s="25"/>
      <c r="BR249" s="25"/>
      <c r="BS249" s="25"/>
      <c r="BT249" s="25"/>
      <c r="BU249" s="25"/>
      <c r="BV249" s="25"/>
      <c r="BW249" s="25"/>
      <c r="BX249" s="25"/>
      <c r="BY249" s="25"/>
      <c r="BZ249" s="25"/>
      <c r="CA249" s="25"/>
      <c r="CB249" s="25"/>
      <c r="CC249" s="25"/>
      <c r="CD249" s="25"/>
      <c r="CE249" s="25"/>
      <c r="CF249" s="25"/>
      <c r="CG249" s="25"/>
      <c r="CH249" s="25"/>
      <c r="CI249" s="25"/>
      <c r="CJ249" s="25"/>
      <c r="CK249" s="25"/>
      <c r="CL249" s="25"/>
      <c r="CM249" s="25"/>
      <c r="CN249" s="25"/>
      <c r="CO249" s="25"/>
      <c r="CP249" s="25"/>
      <c r="CQ249" s="25"/>
      <c r="CR249" s="25"/>
      <c r="CS249" s="25"/>
    </row>
    <row r="250" spans="2:97">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c r="AV250" s="25"/>
      <c r="AW250" s="25"/>
      <c r="AX250" s="25"/>
      <c r="AY250" s="25"/>
      <c r="AZ250" s="25"/>
      <c r="BA250" s="25"/>
      <c r="BB250" s="25"/>
      <c r="BC250" s="25"/>
      <c r="BD250" s="25"/>
      <c r="BE250" s="25"/>
      <c r="BF250" s="25"/>
      <c r="BG250" s="25"/>
      <c r="BH250" s="25"/>
      <c r="BI250" s="25"/>
      <c r="BJ250" s="25"/>
      <c r="BK250" s="25"/>
      <c r="BL250" s="25"/>
      <c r="BM250" s="25"/>
      <c r="BN250" s="25"/>
      <c r="BO250" s="25"/>
      <c r="BP250" s="25"/>
      <c r="BQ250" s="25"/>
      <c r="BR250" s="25"/>
      <c r="BS250" s="25"/>
      <c r="BT250" s="25"/>
      <c r="BU250" s="25"/>
      <c r="BV250" s="25"/>
      <c r="BW250" s="25"/>
      <c r="BX250" s="25"/>
      <c r="BY250" s="25"/>
      <c r="BZ250" s="25"/>
      <c r="CA250" s="25"/>
      <c r="CB250" s="25"/>
      <c r="CC250" s="25"/>
      <c r="CD250" s="25"/>
      <c r="CE250" s="25"/>
      <c r="CF250" s="25"/>
      <c r="CG250" s="25"/>
      <c r="CH250" s="25"/>
      <c r="CI250" s="25"/>
      <c r="CJ250" s="25"/>
      <c r="CK250" s="25"/>
      <c r="CL250" s="25"/>
      <c r="CM250" s="25"/>
      <c r="CN250" s="25"/>
      <c r="CO250" s="25"/>
      <c r="CP250" s="25"/>
      <c r="CQ250" s="25"/>
      <c r="CR250" s="25"/>
      <c r="CS250" s="25"/>
    </row>
    <row r="251" spans="2:97">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c r="AY251" s="25"/>
      <c r="AZ251" s="25"/>
      <c r="BA251" s="25"/>
      <c r="BB251" s="25"/>
      <c r="BC251" s="25"/>
      <c r="BD251" s="25"/>
      <c r="BE251" s="25"/>
      <c r="BF251" s="25"/>
      <c r="BG251" s="25"/>
      <c r="BH251" s="25"/>
      <c r="BI251" s="25"/>
      <c r="BJ251" s="25"/>
      <c r="BK251" s="25"/>
      <c r="BL251" s="25"/>
      <c r="BM251" s="25"/>
      <c r="BN251" s="25"/>
      <c r="BO251" s="25"/>
      <c r="BP251" s="25"/>
      <c r="BQ251" s="25"/>
      <c r="BR251" s="25"/>
      <c r="BS251" s="25"/>
      <c r="BT251" s="25"/>
      <c r="BU251" s="25"/>
      <c r="BV251" s="25"/>
      <c r="BW251" s="25"/>
      <c r="BX251" s="25"/>
      <c r="BY251" s="25"/>
      <c r="BZ251" s="25"/>
      <c r="CA251" s="25"/>
      <c r="CB251" s="25"/>
      <c r="CC251" s="25"/>
      <c r="CD251" s="25"/>
      <c r="CE251" s="25"/>
      <c r="CF251" s="25"/>
      <c r="CG251" s="25"/>
      <c r="CH251" s="25"/>
      <c r="CI251" s="25"/>
      <c r="CJ251" s="25"/>
      <c r="CK251" s="25"/>
      <c r="CL251" s="25"/>
      <c r="CM251" s="25"/>
      <c r="CN251" s="25"/>
      <c r="CO251" s="25"/>
      <c r="CP251" s="25"/>
      <c r="CQ251" s="25"/>
      <c r="CR251" s="25"/>
      <c r="CS251" s="25"/>
    </row>
    <row r="252" spans="2:97">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c r="AV252" s="25"/>
      <c r="AW252" s="25"/>
      <c r="AX252" s="25"/>
      <c r="AY252" s="25"/>
      <c r="AZ252" s="25"/>
      <c r="BA252" s="25"/>
      <c r="BB252" s="25"/>
      <c r="BC252" s="25"/>
      <c r="BD252" s="25"/>
      <c r="BE252" s="25"/>
      <c r="BF252" s="25"/>
      <c r="BG252" s="25"/>
      <c r="BH252" s="25"/>
      <c r="BI252" s="25"/>
      <c r="BJ252" s="25"/>
      <c r="BK252" s="25"/>
      <c r="BL252" s="25"/>
      <c r="BM252" s="25"/>
      <c r="BN252" s="25"/>
      <c r="BO252" s="25"/>
      <c r="BP252" s="25"/>
      <c r="BQ252" s="25"/>
      <c r="BR252" s="25"/>
      <c r="BS252" s="25"/>
      <c r="BT252" s="25"/>
      <c r="BU252" s="25"/>
      <c r="BV252" s="25"/>
      <c r="BW252" s="25"/>
      <c r="BX252" s="25"/>
      <c r="BY252" s="25"/>
      <c r="BZ252" s="25"/>
      <c r="CA252" s="25"/>
      <c r="CB252" s="25"/>
      <c r="CC252" s="25"/>
      <c r="CD252" s="25"/>
      <c r="CE252" s="25"/>
      <c r="CF252" s="25"/>
      <c r="CG252" s="25"/>
      <c r="CH252" s="25"/>
      <c r="CI252" s="25"/>
      <c r="CJ252" s="25"/>
      <c r="CK252" s="25"/>
      <c r="CL252" s="25"/>
      <c r="CM252" s="25"/>
      <c r="CN252" s="25"/>
      <c r="CO252" s="25"/>
      <c r="CP252" s="25"/>
      <c r="CQ252" s="25"/>
      <c r="CR252" s="25"/>
      <c r="CS252" s="25"/>
    </row>
    <row r="253" spans="2:97">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c r="AV253" s="25"/>
      <c r="AW253" s="25"/>
      <c r="AX253" s="25"/>
      <c r="AY253" s="25"/>
      <c r="AZ253" s="25"/>
      <c r="BA253" s="25"/>
      <c r="BB253" s="25"/>
      <c r="BC253" s="25"/>
      <c r="BD253" s="25"/>
      <c r="BE253" s="25"/>
      <c r="BF253" s="25"/>
      <c r="BG253" s="25"/>
      <c r="BH253" s="25"/>
      <c r="BI253" s="25"/>
      <c r="BJ253" s="25"/>
      <c r="BK253" s="25"/>
      <c r="BL253" s="25"/>
      <c r="BM253" s="25"/>
      <c r="BN253" s="25"/>
      <c r="BO253" s="25"/>
      <c r="BP253" s="25"/>
      <c r="BQ253" s="25"/>
      <c r="BR253" s="25"/>
      <c r="BS253" s="25"/>
      <c r="BT253" s="25"/>
      <c r="BU253" s="25"/>
      <c r="BV253" s="25"/>
      <c r="BW253" s="25"/>
      <c r="BX253" s="25"/>
      <c r="BY253" s="25"/>
      <c r="BZ253" s="25"/>
      <c r="CA253" s="25"/>
      <c r="CB253" s="25"/>
      <c r="CC253" s="25"/>
      <c r="CD253" s="25"/>
      <c r="CE253" s="25"/>
      <c r="CF253" s="25"/>
      <c r="CG253" s="25"/>
      <c r="CH253" s="25"/>
      <c r="CI253" s="25"/>
      <c r="CJ253" s="25"/>
      <c r="CK253" s="25"/>
      <c r="CL253" s="25"/>
      <c r="CM253" s="25"/>
      <c r="CN253" s="25"/>
      <c r="CO253" s="25"/>
      <c r="CP253" s="25"/>
      <c r="CQ253" s="25"/>
      <c r="CR253" s="25"/>
      <c r="CS253" s="25"/>
    </row>
    <row r="254" spans="2:97">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c r="AV254" s="25"/>
      <c r="AW254" s="25"/>
      <c r="AX254" s="25"/>
      <c r="AY254" s="25"/>
      <c r="AZ254" s="25"/>
      <c r="BA254" s="25"/>
      <c r="BB254" s="25"/>
      <c r="BC254" s="25"/>
      <c r="BD254" s="25"/>
      <c r="BE254" s="25"/>
      <c r="BF254" s="25"/>
      <c r="BG254" s="25"/>
      <c r="BH254" s="25"/>
      <c r="BI254" s="25"/>
      <c r="BJ254" s="25"/>
      <c r="BK254" s="25"/>
      <c r="BL254" s="25"/>
      <c r="BM254" s="25"/>
      <c r="BN254" s="25"/>
      <c r="BO254" s="25"/>
      <c r="BP254" s="25"/>
      <c r="BQ254" s="25"/>
      <c r="BR254" s="25"/>
      <c r="BS254" s="25"/>
      <c r="BT254" s="25"/>
      <c r="BU254" s="25"/>
      <c r="BV254" s="25"/>
      <c r="BW254" s="25"/>
      <c r="BX254" s="25"/>
      <c r="BY254" s="25"/>
      <c r="BZ254" s="25"/>
      <c r="CA254" s="25"/>
      <c r="CB254" s="25"/>
      <c r="CC254" s="25"/>
      <c r="CD254" s="25"/>
      <c r="CE254" s="25"/>
      <c r="CF254" s="25"/>
      <c r="CG254" s="25"/>
      <c r="CH254" s="25"/>
      <c r="CI254" s="25"/>
      <c r="CJ254" s="25"/>
      <c r="CK254" s="25"/>
      <c r="CL254" s="25"/>
      <c r="CM254" s="25"/>
      <c r="CN254" s="25"/>
      <c r="CO254" s="25"/>
      <c r="CP254" s="25"/>
      <c r="CQ254" s="25"/>
      <c r="CR254" s="25"/>
      <c r="CS254" s="25"/>
    </row>
    <row r="255" spans="2:97">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c r="AV255" s="25"/>
      <c r="AW255" s="25"/>
      <c r="AX255" s="25"/>
      <c r="AY255" s="25"/>
      <c r="AZ255" s="25"/>
      <c r="BA255" s="25"/>
      <c r="BB255" s="25"/>
      <c r="BC255" s="25"/>
      <c r="BD255" s="25"/>
      <c r="BE255" s="25"/>
      <c r="BF255" s="25"/>
      <c r="BG255" s="25"/>
      <c r="BH255" s="25"/>
      <c r="BI255" s="25"/>
      <c r="BJ255" s="25"/>
      <c r="BK255" s="25"/>
      <c r="BL255" s="25"/>
      <c r="BM255" s="25"/>
      <c r="BN255" s="25"/>
      <c r="BO255" s="25"/>
      <c r="BP255" s="25"/>
      <c r="BQ255" s="25"/>
      <c r="BR255" s="25"/>
      <c r="BS255" s="25"/>
      <c r="BT255" s="25"/>
      <c r="BU255" s="25"/>
      <c r="BV255" s="25"/>
      <c r="BW255" s="25"/>
      <c r="BX255" s="25"/>
      <c r="BY255" s="25"/>
      <c r="BZ255" s="25"/>
      <c r="CA255" s="25"/>
      <c r="CB255" s="25"/>
      <c r="CC255" s="25"/>
      <c r="CD255" s="25"/>
      <c r="CE255" s="25"/>
      <c r="CF255" s="25"/>
      <c r="CG255" s="25"/>
      <c r="CH255" s="25"/>
      <c r="CI255" s="25"/>
      <c r="CJ255" s="25"/>
      <c r="CK255" s="25"/>
      <c r="CL255" s="25"/>
      <c r="CM255" s="25"/>
      <c r="CN255" s="25"/>
      <c r="CO255" s="25"/>
      <c r="CP255" s="25"/>
      <c r="CQ255" s="25"/>
      <c r="CR255" s="25"/>
      <c r="CS255" s="25"/>
    </row>
    <row r="256" spans="2:97">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c r="AZ256" s="25"/>
      <c r="BA256" s="25"/>
      <c r="BB256" s="25"/>
      <c r="BC256" s="25"/>
      <c r="BD256" s="25"/>
      <c r="BE256" s="25"/>
      <c r="BF256" s="25"/>
      <c r="BG256" s="25"/>
      <c r="BH256" s="25"/>
      <c r="BI256" s="25"/>
      <c r="BJ256" s="25"/>
      <c r="BK256" s="25"/>
      <c r="BL256" s="25"/>
      <c r="BM256" s="25"/>
      <c r="BN256" s="25"/>
      <c r="BO256" s="25"/>
      <c r="BP256" s="25"/>
      <c r="BQ256" s="25"/>
      <c r="BR256" s="25"/>
      <c r="BS256" s="25"/>
      <c r="BT256" s="25"/>
      <c r="BU256" s="25"/>
      <c r="BV256" s="25"/>
      <c r="BW256" s="25"/>
      <c r="BX256" s="25"/>
      <c r="BY256" s="25"/>
      <c r="BZ256" s="25"/>
      <c r="CA256" s="25"/>
      <c r="CB256" s="25"/>
      <c r="CC256" s="25"/>
      <c r="CD256" s="25"/>
      <c r="CE256" s="25"/>
      <c r="CF256" s="25"/>
      <c r="CG256" s="25"/>
      <c r="CH256" s="25"/>
      <c r="CI256" s="25"/>
      <c r="CJ256" s="25"/>
      <c r="CK256" s="25"/>
      <c r="CL256" s="25"/>
      <c r="CM256" s="25"/>
      <c r="CN256" s="25"/>
      <c r="CO256" s="25"/>
      <c r="CP256" s="25"/>
      <c r="CQ256" s="25"/>
      <c r="CR256" s="25"/>
      <c r="CS256" s="25"/>
    </row>
    <row r="257" spans="2:97">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c r="AV257" s="25"/>
      <c r="AW257" s="25"/>
      <c r="AX257" s="25"/>
      <c r="AY257" s="25"/>
      <c r="AZ257" s="25"/>
      <c r="BA257" s="25"/>
      <c r="BB257" s="25"/>
      <c r="BC257" s="25"/>
      <c r="BD257" s="25"/>
      <c r="BE257" s="25"/>
      <c r="BF257" s="25"/>
      <c r="BG257" s="25"/>
      <c r="BH257" s="25"/>
      <c r="BI257" s="25"/>
      <c r="BJ257" s="25"/>
      <c r="BK257" s="25"/>
      <c r="BL257" s="25"/>
      <c r="BM257" s="25"/>
      <c r="BN257" s="25"/>
      <c r="BO257" s="25"/>
      <c r="BP257" s="25"/>
      <c r="BQ257" s="25"/>
      <c r="BR257" s="25"/>
      <c r="BS257" s="25"/>
      <c r="BT257" s="25"/>
      <c r="BU257" s="25"/>
      <c r="BV257" s="25"/>
      <c r="BW257" s="25"/>
      <c r="BX257" s="25"/>
      <c r="BY257" s="25"/>
      <c r="BZ257" s="25"/>
      <c r="CA257" s="25"/>
      <c r="CB257" s="25"/>
      <c r="CC257" s="25"/>
      <c r="CD257" s="25"/>
      <c r="CE257" s="25"/>
      <c r="CF257" s="25"/>
      <c r="CG257" s="25"/>
      <c r="CH257" s="25"/>
      <c r="CI257" s="25"/>
      <c r="CJ257" s="25"/>
      <c r="CK257" s="25"/>
      <c r="CL257" s="25"/>
      <c r="CM257" s="25"/>
      <c r="CN257" s="25"/>
      <c r="CO257" s="25"/>
      <c r="CP257" s="25"/>
      <c r="CQ257" s="25"/>
      <c r="CR257" s="25"/>
      <c r="CS257" s="25"/>
    </row>
    <row r="258" spans="2:97">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c r="BX258" s="25"/>
      <c r="BY258" s="25"/>
      <c r="BZ258" s="25"/>
      <c r="CA258" s="25"/>
      <c r="CB258" s="25"/>
      <c r="CC258" s="25"/>
      <c r="CD258" s="25"/>
      <c r="CE258" s="25"/>
      <c r="CF258" s="25"/>
      <c r="CG258" s="25"/>
      <c r="CH258" s="25"/>
      <c r="CI258" s="25"/>
      <c r="CJ258" s="25"/>
      <c r="CK258" s="25"/>
      <c r="CL258" s="25"/>
      <c r="CM258" s="25"/>
      <c r="CN258" s="25"/>
      <c r="CO258" s="25"/>
      <c r="CP258" s="25"/>
      <c r="CQ258" s="25"/>
      <c r="CR258" s="25"/>
      <c r="CS258" s="25"/>
    </row>
    <row r="259" spans="2:97">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c r="BX259" s="25"/>
      <c r="BY259" s="25"/>
      <c r="BZ259" s="25"/>
      <c r="CA259" s="25"/>
      <c r="CB259" s="25"/>
      <c r="CC259" s="25"/>
      <c r="CD259" s="25"/>
      <c r="CE259" s="25"/>
      <c r="CF259" s="25"/>
      <c r="CG259" s="25"/>
      <c r="CH259" s="25"/>
      <c r="CI259" s="25"/>
      <c r="CJ259" s="25"/>
      <c r="CK259" s="25"/>
      <c r="CL259" s="25"/>
      <c r="CM259" s="25"/>
      <c r="CN259" s="25"/>
      <c r="CO259" s="25"/>
      <c r="CP259" s="25"/>
      <c r="CQ259" s="25"/>
      <c r="CR259" s="25"/>
      <c r="CS259" s="25"/>
    </row>
    <row r="260" spans="2:97">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c r="BX260" s="25"/>
      <c r="BY260" s="25"/>
      <c r="BZ260" s="25"/>
      <c r="CA260" s="25"/>
      <c r="CB260" s="25"/>
      <c r="CC260" s="25"/>
      <c r="CD260" s="25"/>
      <c r="CE260" s="25"/>
      <c r="CF260" s="25"/>
      <c r="CG260" s="25"/>
      <c r="CH260" s="25"/>
      <c r="CI260" s="25"/>
      <c r="CJ260" s="25"/>
      <c r="CK260" s="25"/>
      <c r="CL260" s="25"/>
      <c r="CM260" s="25"/>
      <c r="CN260" s="25"/>
      <c r="CO260" s="25"/>
      <c r="CP260" s="25"/>
      <c r="CQ260" s="25"/>
      <c r="CR260" s="25"/>
      <c r="CS260" s="25"/>
    </row>
    <row r="261" spans="2:97">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c r="BX261" s="25"/>
      <c r="BY261" s="25"/>
      <c r="BZ261" s="25"/>
      <c r="CA261" s="25"/>
      <c r="CB261" s="25"/>
      <c r="CC261" s="25"/>
      <c r="CD261" s="25"/>
      <c r="CE261" s="25"/>
      <c r="CF261" s="25"/>
      <c r="CG261" s="25"/>
      <c r="CH261" s="25"/>
      <c r="CI261" s="25"/>
      <c r="CJ261" s="25"/>
      <c r="CK261" s="25"/>
      <c r="CL261" s="25"/>
      <c r="CM261" s="25"/>
      <c r="CN261" s="25"/>
      <c r="CO261" s="25"/>
      <c r="CP261" s="25"/>
      <c r="CQ261" s="25"/>
      <c r="CR261" s="25"/>
      <c r="CS261" s="25"/>
    </row>
    <row r="262" spans="2:97">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c r="BX262" s="25"/>
      <c r="BY262" s="25"/>
      <c r="BZ262" s="25"/>
      <c r="CA262" s="25"/>
      <c r="CB262" s="25"/>
      <c r="CC262" s="25"/>
      <c r="CD262" s="25"/>
      <c r="CE262" s="25"/>
      <c r="CF262" s="25"/>
      <c r="CG262" s="25"/>
      <c r="CH262" s="25"/>
      <c r="CI262" s="25"/>
      <c r="CJ262" s="25"/>
      <c r="CK262" s="25"/>
      <c r="CL262" s="25"/>
      <c r="CM262" s="25"/>
      <c r="CN262" s="25"/>
      <c r="CO262" s="25"/>
      <c r="CP262" s="25"/>
      <c r="CQ262" s="25"/>
      <c r="CR262" s="25"/>
      <c r="CS262" s="25"/>
    </row>
    <row r="263" spans="2:97">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c r="BX263" s="25"/>
      <c r="BY263" s="25"/>
      <c r="BZ263" s="25"/>
      <c r="CA263" s="25"/>
      <c r="CB263" s="25"/>
      <c r="CC263" s="25"/>
      <c r="CD263" s="25"/>
      <c r="CE263" s="25"/>
      <c r="CF263" s="25"/>
      <c r="CG263" s="25"/>
      <c r="CH263" s="25"/>
      <c r="CI263" s="25"/>
      <c r="CJ263" s="25"/>
      <c r="CK263" s="25"/>
      <c r="CL263" s="25"/>
      <c r="CM263" s="25"/>
      <c r="CN263" s="25"/>
      <c r="CO263" s="25"/>
      <c r="CP263" s="25"/>
      <c r="CQ263" s="25"/>
      <c r="CR263" s="25"/>
      <c r="CS263" s="25"/>
    </row>
    <row r="264" spans="2:97">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c r="BX264" s="25"/>
      <c r="BY264" s="25"/>
      <c r="BZ264" s="25"/>
      <c r="CA264" s="25"/>
      <c r="CB264" s="25"/>
      <c r="CC264" s="25"/>
      <c r="CD264" s="25"/>
      <c r="CE264" s="25"/>
      <c r="CF264" s="25"/>
      <c r="CG264" s="25"/>
      <c r="CH264" s="25"/>
      <c r="CI264" s="25"/>
      <c r="CJ264" s="25"/>
      <c r="CK264" s="25"/>
      <c r="CL264" s="25"/>
      <c r="CM264" s="25"/>
      <c r="CN264" s="25"/>
      <c r="CO264" s="25"/>
      <c r="CP264" s="25"/>
      <c r="CQ264" s="25"/>
      <c r="CR264" s="25"/>
      <c r="CS264" s="25"/>
    </row>
    <row r="265" spans="2:97">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c r="BX265" s="25"/>
      <c r="BY265" s="25"/>
      <c r="BZ265" s="25"/>
      <c r="CA265" s="25"/>
      <c r="CB265" s="25"/>
      <c r="CC265" s="25"/>
      <c r="CD265" s="25"/>
      <c r="CE265" s="25"/>
      <c r="CF265" s="25"/>
      <c r="CG265" s="25"/>
      <c r="CH265" s="25"/>
      <c r="CI265" s="25"/>
      <c r="CJ265" s="25"/>
      <c r="CK265" s="25"/>
      <c r="CL265" s="25"/>
      <c r="CM265" s="25"/>
      <c r="CN265" s="25"/>
      <c r="CO265" s="25"/>
      <c r="CP265" s="25"/>
      <c r="CQ265" s="25"/>
      <c r="CR265" s="25"/>
      <c r="CS265" s="25"/>
    </row>
    <row r="266" spans="2:97">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c r="BX266" s="25"/>
      <c r="BY266" s="25"/>
      <c r="BZ266" s="25"/>
      <c r="CA266" s="25"/>
      <c r="CB266" s="25"/>
      <c r="CC266" s="25"/>
      <c r="CD266" s="25"/>
      <c r="CE266" s="25"/>
      <c r="CF266" s="25"/>
      <c r="CG266" s="25"/>
      <c r="CH266" s="25"/>
      <c r="CI266" s="25"/>
      <c r="CJ266" s="25"/>
      <c r="CK266" s="25"/>
      <c r="CL266" s="25"/>
      <c r="CM266" s="25"/>
      <c r="CN266" s="25"/>
      <c r="CO266" s="25"/>
      <c r="CP266" s="25"/>
      <c r="CQ266" s="25"/>
      <c r="CR266" s="25"/>
      <c r="CS266" s="25"/>
    </row>
    <row r="267" spans="2:97">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c r="BX267" s="25"/>
      <c r="BY267" s="25"/>
      <c r="BZ267" s="25"/>
      <c r="CA267" s="25"/>
      <c r="CB267" s="25"/>
      <c r="CC267" s="25"/>
      <c r="CD267" s="25"/>
      <c r="CE267" s="25"/>
      <c r="CF267" s="25"/>
      <c r="CG267" s="25"/>
      <c r="CH267" s="25"/>
      <c r="CI267" s="25"/>
      <c r="CJ267" s="25"/>
      <c r="CK267" s="25"/>
      <c r="CL267" s="25"/>
      <c r="CM267" s="25"/>
      <c r="CN267" s="25"/>
      <c r="CO267" s="25"/>
      <c r="CP267" s="25"/>
      <c r="CQ267" s="25"/>
      <c r="CR267" s="25"/>
      <c r="CS267" s="25"/>
    </row>
    <row r="268" spans="2:97">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c r="BX268" s="25"/>
      <c r="BY268" s="25"/>
      <c r="BZ268" s="25"/>
      <c r="CA268" s="25"/>
      <c r="CB268" s="25"/>
      <c r="CC268" s="25"/>
      <c r="CD268" s="25"/>
      <c r="CE268" s="25"/>
      <c r="CF268" s="25"/>
      <c r="CG268" s="25"/>
      <c r="CH268" s="25"/>
      <c r="CI268" s="25"/>
      <c r="CJ268" s="25"/>
      <c r="CK268" s="25"/>
      <c r="CL268" s="25"/>
      <c r="CM268" s="25"/>
      <c r="CN268" s="25"/>
      <c r="CO268" s="25"/>
      <c r="CP268" s="25"/>
      <c r="CQ268" s="25"/>
      <c r="CR268" s="25"/>
      <c r="CS268" s="25"/>
    </row>
    <row r="269" spans="2:97">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c r="BX269" s="25"/>
      <c r="BY269" s="25"/>
      <c r="BZ269" s="25"/>
      <c r="CA269" s="25"/>
      <c r="CB269" s="25"/>
      <c r="CC269" s="25"/>
      <c r="CD269" s="25"/>
      <c r="CE269" s="25"/>
      <c r="CF269" s="25"/>
      <c r="CG269" s="25"/>
      <c r="CH269" s="25"/>
      <c r="CI269" s="25"/>
      <c r="CJ269" s="25"/>
      <c r="CK269" s="25"/>
      <c r="CL269" s="25"/>
      <c r="CM269" s="25"/>
      <c r="CN269" s="25"/>
      <c r="CO269" s="25"/>
      <c r="CP269" s="25"/>
      <c r="CQ269" s="25"/>
      <c r="CR269" s="25"/>
      <c r="CS269" s="25"/>
    </row>
    <row r="270" spans="2:97">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c r="BX270" s="25"/>
      <c r="BY270" s="25"/>
      <c r="BZ270" s="25"/>
      <c r="CA270" s="25"/>
      <c r="CB270" s="25"/>
      <c r="CC270" s="25"/>
      <c r="CD270" s="25"/>
      <c r="CE270" s="25"/>
      <c r="CF270" s="25"/>
      <c r="CG270" s="25"/>
      <c r="CH270" s="25"/>
      <c r="CI270" s="25"/>
      <c r="CJ270" s="25"/>
      <c r="CK270" s="25"/>
      <c r="CL270" s="25"/>
      <c r="CM270" s="25"/>
      <c r="CN270" s="25"/>
      <c r="CO270" s="25"/>
      <c r="CP270" s="25"/>
      <c r="CQ270" s="25"/>
      <c r="CR270" s="25"/>
      <c r="CS270" s="25"/>
    </row>
    <row r="271" spans="2:97">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c r="BX271" s="25"/>
      <c r="BY271" s="25"/>
      <c r="BZ271" s="25"/>
      <c r="CA271" s="25"/>
      <c r="CB271" s="25"/>
      <c r="CC271" s="25"/>
      <c r="CD271" s="25"/>
      <c r="CE271" s="25"/>
      <c r="CF271" s="25"/>
      <c r="CG271" s="25"/>
      <c r="CH271" s="25"/>
      <c r="CI271" s="25"/>
      <c r="CJ271" s="25"/>
      <c r="CK271" s="25"/>
      <c r="CL271" s="25"/>
      <c r="CM271" s="25"/>
      <c r="CN271" s="25"/>
      <c r="CO271" s="25"/>
      <c r="CP271" s="25"/>
      <c r="CQ271" s="25"/>
      <c r="CR271" s="25"/>
      <c r="CS271" s="25"/>
    </row>
    <row r="272" spans="2:97">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c r="BX272" s="25"/>
      <c r="BY272" s="25"/>
      <c r="BZ272" s="25"/>
      <c r="CA272" s="25"/>
      <c r="CB272" s="25"/>
      <c r="CC272" s="25"/>
      <c r="CD272" s="25"/>
      <c r="CE272" s="25"/>
      <c r="CF272" s="25"/>
      <c r="CG272" s="25"/>
      <c r="CH272" s="25"/>
      <c r="CI272" s="25"/>
      <c r="CJ272" s="25"/>
      <c r="CK272" s="25"/>
      <c r="CL272" s="25"/>
      <c r="CM272" s="25"/>
      <c r="CN272" s="25"/>
      <c r="CO272" s="25"/>
      <c r="CP272" s="25"/>
      <c r="CQ272" s="25"/>
      <c r="CR272" s="25"/>
      <c r="CS272" s="25"/>
    </row>
    <row r="273" spans="2:97">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c r="BX273" s="25"/>
      <c r="BY273" s="25"/>
      <c r="BZ273" s="25"/>
      <c r="CA273" s="25"/>
      <c r="CB273" s="25"/>
      <c r="CC273" s="25"/>
      <c r="CD273" s="25"/>
      <c r="CE273" s="25"/>
      <c r="CF273" s="25"/>
      <c r="CG273" s="25"/>
      <c r="CH273" s="25"/>
      <c r="CI273" s="25"/>
      <c r="CJ273" s="25"/>
      <c r="CK273" s="25"/>
      <c r="CL273" s="25"/>
      <c r="CM273" s="25"/>
      <c r="CN273" s="25"/>
      <c r="CO273" s="25"/>
      <c r="CP273" s="25"/>
      <c r="CQ273" s="25"/>
      <c r="CR273" s="25"/>
      <c r="CS273" s="25"/>
    </row>
    <row r="274" spans="2:97">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c r="BX274" s="25"/>
      <c r="BY274" s="25"/>
      <c r="BZ274" s="25"/>
      <c r="CA274" s="25"/>
      <c r="CB274" s="25"/>
      <c r="CC274" s="25"/>
      <c r="CD274" s="25"/>
      <c r="CE274" s="25"/>
      <c r="CF274" s="25"/>
      <c r="CG274" s="25"/>
      <c r="CH274" s="25"/>
      <c r="CI274" s="25"/>
      <c r="CJ274" s="25"/>
      <c r="CK274" s="25"/>
      <c r="CL274" s="25"/>
      <c r="CM274" s="25"/>
      <c r="CN274" s="25"/>
      <c r="CO274" s="25"/>
      <c r="CP274" s="25"/>
      <c r="CQ274" s="25"/>
      <c r="CR274" s="25"/>
      <c r="CS274" s="25"/>
    </row>
    <row r="275" spans="2:97">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c r="BX275" s="25"/>
      <c r="BY275" s="25"/>
      <c r="BZ275" s="25"/>
      <c r="CA275" s="25"/>
      <c r="CB275" s="25"/>
      <c r="CC275" s="25"/>
      <c r="CD275" s="25"/>
      <c r="CE275" s="25"/>
      <c r="CF275" s="25"/>
      <c r="CG275" s="25"/>
      <c r="CH275" s="25"/>
      <c r="CI275" s="25"/>
      <c r="CJ275" s="25"/>
      <c r="CK275" s="25"/>
      <c r="CL275" s="25"/>
      <c r="CM275" s="25"/>
      <c r="CN275" s="25"/>
      <c r="CO275" s="25"/>
      <c r="CP275" s="25"/>
      <c r="CQ275" s="25"/>
      <c r="CR275" s="25"/>
      <c r="CS275" s="25"/>
    </row>
    <row r="276" spans="2:97">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c r="BX276" s="25"/>
      <c r="BY276" s="25"/>
      <c r="BZ276" s="25"/>
      <c r="CA276" s="25"/>
      <c r="CB276" s="25"/>
      <c r="CC276" s="25"/>
      <c r="CD276" s="25"/>
      <c r="CE276" s="25"/>
      <c r="CF276" s="25"/>
      <c r="CG276" s="25"/>
      <c r="CH276" s="25"/>
      <c r="CI276" s="25"/>
      <c r="CJ276" s="25"/>
      <c r="CK276" s="25"/>
      <c r="CL276" s="25"/>
      <c r="CM276" s="25"/>
      <c r="CN276" s="25"/>
      <c r="CO276" s="25"/>
      <c r="CP276" s="25"/>
      <c r="CQ276" s="25"/>
      <c r="CR276" s="25"/>
      <c r="CS276" s="25"/>
    </row>
    <row r="277" spans="2:97">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c r="BX277" s="25"/>
      <c r="BY277" s="25"/>
      <c r="BZ277" s="25"/>
      <c r="CA277" s="25"/>
      <c r="CB277" s="25"/>
      <c r="CC277" s="25"/>
      <c r="CD277" s="25"/>
      <c r="CE277" s="25"/>
      <c r="CF277" s="25"/>
      <c r="CG277" s="25"/>
      <c r="CH277" s="25"/>
      <c r="CI277" s="25"/>
      <c r="CJ277" s="25"/>
      <c r="CK277" s="25"/>
      <c r="CL277" s="25"/>
      <c r="CM277" s="25"/>
      <c r="CN277" s="25"/>
      <c r="CO277" s="25"/>
      <c r="CP277" s="25"/>
      <c r="CQ277" s="25"/>
      <c r="CR277" s="25"/>
      <c r="CS277" s="25"/>
    </row>
    <row r="278" spans="2:97">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c r="BX278" s="25"/>
      <c r="BY278" s="25"/>
      <c r="BZ278" s="25"/>
      <c r="CA278" s="25"/>
      <c r="CB278" s="25"/>
      <c r="CC278" s="25"/>
      <c r="CD278" s="25"/>
      <c r="CE278" s="25"/>
      <c r="CF278" s="25"/>
      <c r="CG278" s="25"/>
      <c r="CH278" s="25"/>
      <c r="CI278" s="25"/>
      <c r="CJ278" s="25"/>
      <c r="CK278" s="25"/>
      <c r="CL278" s="25"/>
      <c r="CM278" s="25"/>
      <c r="CN278" s="25"/>
      <c r="CO278" s="25"/>
      <c r="CP278" s="25"/>
      <c r="CQ278" s="25"/>
      <c r="CR278" s="25"/>
      <c r="CS278" s="25"/>
    </row>
    <row r="279" spans="2:97">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c r="BX279" s="25"/>
      <c r="BY279" s="25"/>
      <c r="BZ279" s="25"/>
      <c r="CA279" s="25"/>
      <c r="CB279" s="25"/>
      <c r="CC279" s="25"/>
      <c r="CD279" s="25"/>
      <c r="CE279" s="25"/>
      <c r="CF279" s="25"/>
      <c r="CG279" s="25"/>
      <c r="CH279" s="25"/>
      <c r="CI279" s="25"/>
      <c r="CJ279" s="25"/>
      <c r="CK279" s="25"/>
      <c r="CL279" s="25"/>
      <c r="CM279" s="25"/>
      <c r="CN279" s="25"/>
      <c r="CO279" s="25"/>
      <c r="CP279" s="25"/>
      <c r="CQ279" s="25"/>
      <c r="CR279" s="25"/>
      <c r="CS279" s="25"/>
    </row>
    <row r="280" spans="2:97">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c r="AV280" s="25"/>
      <c r="AW280" s="25"/>
      <c r="AX280" s="25"/>
      <c r="AY280" s="25"/>
      <c r="AZ280" s="25"/>
      <c r="BA280" s="25"/>
      <c r="BB280" s="25"/>
      <c r="BC280" s="25"/>
      <c r="BD280" s="25"/>
      <c r="BE280" s="25"/>
      <c r="BF280" s="25"/>
      <c r="BG280" s="25"/>
      <c r="BH280" s="25"/>
      <c r="BI280" s="25"/>
      <c r="BJ280" s="25"/>
      <c r="BK280" s="25"/>
      <c r="BL280" s="25"/>
      <c r="BM280" s="25"/>
      <c r="BN280" s="25"/>
      <c r="BO280" s="25"/>
      <c r="BP280" s="25"/>
      <c r="BQ280" s="25"/>
      <c r="BR280" s="25"/>
      <c r="BS280" s="25"/>
      <c r="BT280" s="25"/>
      <c r="BU280" s="25"/>
      <c r="BV280" s="25"/>
      <c r="BW280" s="25"/>
      <c r="BX280" s="25"/>
      <c r="BY280" s="25"/>
      <c r="BZ280" s="25"/>
      <c r="CA280" s="25"/>
      <c r="CB280" s="25"/>
      <c r="CC280" s="25"/>
      <c r="CD280" s="25"/>
      <c r="CE280" s="25"/>
      <c r="CF280" s="25"/>
      <c r="CG280" s="25"/>
      <c r="CH280" s="25"/>
      <c r="CI280" s="25"/>
      <c r="CJ280" s="25"/>
      <c r="CK280" s="25"/>
      <c r="CL280" s="25"/>
      <c r="CM280" s="25"/>
      <c r="CN280" s="25"/>
      <c r="CO280" s="25"/>
      <c r="CP280" s="25"/>
      <c r="CQ280" s="25"/>
      <c r="CR280" s="25"/>
      <c r="CS280" s="25"/>
    </row>
    <row r="281" spans="2:97">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c r="AV281" s="25"/>
      <c r="AW281" s="25"/>
      <c r="AX281" s="25"/>
      <c r="AY281" s="25"/>
      <c r="AZ281" s="25"/>
      <c r="BA281" s="25"/>
      <c r="BB281" s="25"/>
      <c r="BC281" s="25"/>
      <c r="BD281" s="25"/>
      <c r="BE281" s="25"/>
      <c r="BF281" s="25"/>
      <c r="BG281" s="25"/>
      <c r="BH281" s="25"/>
      <c r="BI281" s="25"/>
      <c r="BJ281" s="25"/>
      <c r="BK281" s="25"/>
      <c r="BL281" s="25"/>
      <c r="BM281" s="25"/>
      <c r="BN281" s="25"/>
      <c r="BO281" s="25"/>
      <c r="BP281" s="25"/>
      <c r="BQ281" s="25"/>
      <c r="BR281" s="25"/>
      <c r="BS281" s="25"/>
      <c r="BT281" s="25"/>
      <c r="BU281" s="25"/>
      <c r="BV281" s="25"/>
      <c r="BW281" s="25"/>
      <c r="BX281" s="25"/>
      <c r="BY281" s="25"/>
      <c r="BZ281" s="25"/>
      <c r="CA281" s="25"/>
      <c r="CB281" s="25"/>
      <c r="CC281" s="25"/>
      <c r="CD281" s="25"/>
      <c r="CE281" s="25"/>
      <c r="CF281" s="25"/>
      <c r="CG281" s="25"/>
      <c r="CH281" s="25"/>
      <c r="CI281" s="25"/>
      <c r="CJ281" s="25"/>
      <c r="CK281" s="25"/>
      <c r="CL281" s="25"/>
      <c r="CM281" s="25"/>
      <c r="CN281" s="25"/>
      <c r="CO281" s="25"/>
      <c r="CP281" s="25"/>
      <c r="CQ281" s="25"/>
      <c r="CR281" s="25"/>
      <c r="CS281" s="25"/>
    </row>
    <row r="282" spans="2:97">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c r="AV282" s="25"/>
      <c r="AW282" s="25"/>
      <c r="AX282" s="25"/>
      <c r="AY282" s="25"/>
      <c r="AZ282" s="25"/>
      <c r="BA282" s="25"/>
      <c r="BB282" s="25"/>
      <c r="BC282" s="25"/>
      <c r="BD282" s="25"/>
      <c r="BE282" s="25"/>
      <c r="BF282" s="25"/>
      <c r="BG282" s="25"/>
      <c r="BH282" s="25"/>
      <c r="BI282" s="25"/>
      <c r="BJ282" s="25"/>
      <c r="BK282" s="25"/>
      <c r="BL282" s="25"/>
      <c r="BM282" s="25"/>
      <c r="BN282" s="25"/>
      <c r="BO282" s="25"/>
      <c r="BP282" s="25"/>
      <c r="BQ282" s="25"/>
      <c r="BR282" s="25"/>
      <c r="BS282" s="25"/>
      <c r="BT282" s="25"/>
      <c r="BU282" s="25"/>
      <c r="BV282" s="25"/>
      <c r="BW282" s="25"/>
      <c r="BX282" s="25"/>
      <c r="BY282" s="25"/>
      <c r="BZ282" s="25"/>
      <c r="CA282" s="25"/>
      <c r="CB282" s="25"/>
      <c r="CC282" s="25"/>
      <c r="CD282" s="25"/>
      <c r="CE282" s="25"/>
      <c r="CF282" s="25"/>
      <c r="CG282" s="25"/>
      <c r="CH282" s="25"/>
      <c r="CI282" s="25"/>
      <c r="CJ282" s="25"/>
      <c r="CK282" s="25"/>
      <c r="CL282" s="25"/>
      <c r="CM282" s="25"/>
      <c r="CN282" s="25"/>
      <c r="CO282" s="25"/>
      <c r="CP282" s="25"/>
      <c r="CQ282" s="25"/>
      <c r="CR282" s="25"/>
      <c r="CS282" s="25"/>
    </row>
    <row r="283" spans="2:97">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c r="AV283" s="25"/>
      <c r="AW283" s="25"/>
      <c r="AX283" s="25"/>
      <c r="AY283" s="25"/>
      <c r="AZ283" s="25"/>
      <c r="BA283" s="25"/>
      <c r="BB283" s="25"/>
      <c r="BC283" s="25"/>
      <c r="BD283" s="25"/>
      <c r="BE283" s="25"/>
      <c r="BF283" s="25"/>
      <c r="BG283" s="25"/>
      <c r="BH283" s="25"/>
      <c r="BI283" s="25"/>
      <c r="BJ283" s="25"/>
      <c r="BK283" s="25"/>
      <c r="BL283" s="25"/>
      <c r="BM283" s="25"/>
      <c r="BN283" s="25"/>
      <c r="BO283" s="25"/>
      <c r="BP283" s="25"/>
      <c r="BQ283" s="25"/>
      <c r="BR283" s="25"/>
      <c r="BS283" s="25"/>
      <c r="BT283" s="25"/>
      <c r="BU283" s="25"/>
      <c r="BV283" s="25"/>
      <c r="BW283" s="25"/>
      <c r="BX283" s="25"/>
      <c r="BY283" s="25"/>
      <c r="BZ283" s="25"/>
      <c r="CA283" s="25"/>
      <c r="CB283" s="25"/>
      <c r="CC283" s="25"/>
      <c r="CD283" s="25"/>
      <c r="CE283" s="25"/>
      <c r="CF283" s="25"/>
      <c r="CG283" s="25"/>
      <c r="CH283" s="25"/>
      <c r="CI283" s="25"/>
      <c r="CJ283" s="25"/>
      <c r="CK283" s="25"/>
      <c r="CL283" s="25"/>
      <c r="CM283" s="25"/>
      <c r="CN283" s="25"/>
      <c r="CO283" s="25"/>
      <c r="CP283" s="25"/>
      <c r="CQ283" s="25"/>
      <c r="CR283" s="25"/>
      <c r="CS283" s="25"/>
    </row>
    <row r="284" spans="2:97">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c r="AV284" s="25"/>
      <c r="AW284" s="25"/>
      <c r="AX284" s="25"/>
      <c r="AY284" s="25"/>
      <c r="AZ284" s="25"/>
      <c r="BA284" s="25"/>
      <c r="BB284" s="25"/>
      <c r="BC284" s="25"/>
      <c r="BD284" s="25"/>
      <c r="BE284" s="25"/>
      <c r="BF284" s="25"/>
      <c r="BG284" s="25"/>
      <c r="BH284" s="25"/>
      <c r="BI284" s="25"/>
      <c r="BJ284" s="25"/>
      <c r="BK284" s="25"/>
      <c r="BL284" s="25"/>
      <c r="BM284" s="25"/>
      <c r="BN284" s="25"/>
      <c r="BO284" s="25"/>
      <c r="BP284" s="25"/>
      <c r="BQ284" s="25"/>
      <c r="BR284" s="25"/>
      <c r="BS284" s="25"/>
      <c r="BT284" s="25"/>
      <c r="BU284" s="25"/>
      <c r="BV284" s="25"/>
      <c r="BW284" s="25"/>
      <c r="BX284" s="25"/>
      <c r="BY284" s="25"/>
      <c r="BZ284" s="25"/>
      <c r="CA284" s="25"/>
      <c r="CB284" s="25"/>
      <c r="CC284" s="25"/>
      <c r="CD284" s="25"/>
      <c r="CE284" s="25"/>
      <c r="CF284" s="25"/>
      <c r="CG284" s="25"/>
      <c r="CH284" s="25"/>
      <c r="CI284" s="25"/>
      <c r="CJ284" s="25"/>
      <c r="CK284" s="25"/>
      <c r="CL284" s="25"/>
      <c r="CM284" s="25"/>
      <c r="CN284" s="25"/>
      <c r="CO284" s="25"/>
      <c r="CP284" s="25"/>
      <c r="CQ284" s="25"/>
      <c r="CR284" s="25"/>
      <c r="CS284" s="25"/>
    </row>
    <row r="285" spans="2:97">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c r="AV285" s="25"/>
      <c r="AW285" s="25"/>
      <c r="AX285" s="25"/>
      <c r="AY285" s="25"/>
      <c r="AZ285" s="25"/>
      <c r="BA285" s="25"/>
      <c r="BB285" s="25"/>
      <c r="BC285" s="25"/>
      <c r="BD285" s="25"/>
      <c r="BE285" s="25"/>
      <c r="BF285" s="25"/>
      <c r="BG285" s="25"/>
      <c r="BH285" s="25"/>
      <c r="BI285" s="25"/>
      <c r="BJ285" s="25"/>
      <c r="BK285" s="25"/>
      <c r="BL285" s="25"/>
      <c r="BM285" s="25"/>
      <c r="BN285" s="25"/>
      <c r="BO285" s="25"/>
      <c r="BP285" s="25"/>
      <c r="BQ285" s="25"/>
      <c r="BR285" s="25"/>
      <c r="BS285" s="25"/>
      <c r="BT285" s="25"/>
      <c r="BU285" s="25"/>
      <c r="BV285" s="25"/>
      <c r="BW285" s="25"/>
      <c r="BX285" s="25"/>
      <c r="BY285" s="25"/>
      <c r="BZ285" s="25"/>
      <c r="CA285" s="25"/>
      <c r="CB285" s="25"/>
      <c r="CC285" s="25"/>
      <c r="CD285" s="25"/>
      <c r="CE285" s="25"/>
      <c r="CF285" s="25"/>
      <c r="CG285" s="25"/>
      <c r="CH285" s="25"/>
      <c r="CI285" s="25"/>
      <c r="CJ285" s="25"/>
      <c r="CK285" s="25"/>
      <c r="CL285" s="25"/>
      <c r="CM285" s="25"/>
      <c r="CN285" s="25"/>
      <c r="CO285" s="25"/>
      <c r="CP285" s="25"/>
      <c r="CQ285" s="25"/>
      <c r="CR285" s="25"/>
      <c r="CS285" s="25"/>
    </row>
    <row r="286" spans="2:97">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c r="AV286" s="25"/>
      <c r="AW286" s="25"/>
      <c r="AX286" s="25"/>
      <c r="AY286" s="25"/>
      <c r="AZ286" s="25"/>
      <c r="BA286" s="25"/>
      <c r="BB286" s="25"/>
      <c r="BC286" s="25"/>
      <c r="BD286" s="25"/>
      <c r="BE286" s="25"/>
      <c r="BF286" s="25"/>
      <c r="BG286" s="25"/>
      <c r="BH286" s="25"/>
      <c r="BI286" s="25"/>
      <c r="BJ286" s="25"/>
      <c r="BK286" s="25"/>
      <c r="BL286" s="25"/>
      <c r="BM286" s="25"/>
      <c r="BN286" s="25"/>
      <c r="BO286" s="25"/>
      <c r="BP286" s="25"/>
      <c r="BQ286" s="25"/>
      <c r="BR286" s="25"/>
      <c r="BS286" s="25"/>
      <c r="BT286" s="25"/>
      <c r="BU286" s="25"/>
      <c r="BV286" s="25"/>
      <c r="BW286" s="25"/>
      <c r="BX286" s="25"/>
      <c r="BY286" s="25"/>
      <c r="BZ286" s="25"/>
      <c r="CA286" s="25"/>
      <c r="CB286" s="25"/>
      <c r="CC286" s="25"/>
      <c r="CD286" s="25"/>
      <c r="CE286" s="25"/>
      <c r="CF286" s="25"/>
      <c r="CG286" s="25"/>
      <c r="CH286" s="25"/>
      <c r="CI286" s="25"/>
      <c r="CJ286" s="25"/>
      <c r="CK286" s="25"/>
      <c r="CL286" s="25"/>
      <c r="CM286" s="25"/>
      <c r="CN286" s="25"/>
      <c r="CO286" s="25"/>
      <c r="CP286" s="25"/>
      <c r="CQ286" s="25"/>
      <c r="CR286" s="25"/>
      <c r="CS286" s="25"/>
    </row>
    <row r="287" spans="2:97">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c r="AV287" s="25"/>
      <c r="AW287" s="25"/>
      <c r="AX287" s="25"/>
      <c r="AY287" s="25"/>
      <c r="AZ287" s="25"/>
      <c r="BA287" s="25"/>
      <c r="BB287" s="25"/>
      <c r="BC287" s="25"/>
      <c r="BD287" s="25"/>
      <c r="BE287" s="25"/>
      <c r="BF287" s="25"/>
      <c r="BG287" s="25"/>
      <c r="BH287" s="25"/>
      <c r="BI287" s="25"/>
      <c r="BJ287" s="25"/>
      <c r="BK287" s="25"/>
      <c r="BL287" s="25"/>
      <c r="BM287" s="25"/>
      <c r="BN287" s="25"/>
      <c r="BO287" s="25"/>
      <c r="BP287" s="25"/>
      <c r="BQ287" s="25"/>
      <c r="BR287" s="25"/>
      <c r="BS287" s="25"/>
      <c r="BT287" s="25"/>
      <c r="BU287" s="25"/>
      <c r="BV287" s="25"/>
      <c r="BW287" s="25"/>
      <c r="BX287" s="25"/>
      <c r="BY287" s="25"/>
      <c r="BZ287" s="25"/>
      <c r="CA287" s="25"/>
      <c r="CB287" s="25"/>
      <c r="CC287" s="25"/>
      <c r="CD287" s="25"/>
      <c r="CE287" s="25"/>
      <c r="CF287" s="25"/>
      <c r="CG287" s="25"/>
      <c r="CH287" s="25"/>
      <c r="CI287" s="25"/>
      <c r="CJ287" s="25"/>
      <c r="CK287" s="25"/>
      <c r="CL287" s="25"/>
      <c r="CM287" s="25"/>
      <c r="CN287" s="25"/>
      <c r="CO287" s="25"/>
      <c r="CP287" s="25"/>
      <c r="CQ287" s="25"/>
      <c r="CR287" s="25"/>
      <c r="CS287" s="25"/>
    </row>
    <row r="288" spans="2:97">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c r="AV288" s="25"/>
      <c r="AW288" s="25"/>
      <c r="AX288" s="25"/>
      <c r="AY288" s="25"/>
      <c r="AZ288" s="25"/>
      <c r="BA288" s="25"/>
      <c r="BB288" s="25"/>
      <c r="BC288" s="25"/>
      <c r="BD288" s="25"/>
      <c r="BE288" s="25"/>
      <c r="BF288" s="25"/>
      <c r="BG288" s="25"/>
      <c r="BH288" s="25"/>
      <c r="BI288" s="25"/>
      <c r="BJ288" s="25"/>
      <c r="BK288" s="25"/>
      <c r="BL288" s="25"/>
      <c r="BM288" s="25"/>
      <c r="BN288" s="25"/>
      <c r="BO288" s="25"/>
      <c r="BP288" s="25"/>
      <c r="BQ288" s="25"/>
      <c r="BR288" s="25"/>
      <c r="BS288" s="25"/>
      <c r="BT288" s="25"/>
      <c r="BU288" s="25"/>
      <c r="BV288" s="25"/>
      <c r="BW288" s="25"/>
      <c r="BX288" s="25"/>
      <c r="BY288" s="25"/>
      <c r="BZ288" s="25"/>
      <c r="CA288" s="25"/>
      <c r="CB288" s="25"/>
      <c r="CC288" s="25"/>
      <c r="CD288" s="25"/>
      <c r="CE288" s="25"/>
      <c r="CF288" s="25"/>
      <c r="CG288" s="25"/>
      <c r="CH288" s="25"/>
      <c r="CI288" s="25"/>
      <c r="CJ288" s="25"/>
      <c r="CK288" s="25"/>
      <c r="CL288" s="25"/>
      <c r="CM288" s="25"/>
      <c r="CN288" s="25"/>
      <c r="CO288" s="25"/>
      <c r="CP288" s="25"/>
      <c r="CQ288" s="25"/>
      <c r="CR288" s="25"/>
      <c r="CS288" s="25"/>
    </row>
    <row r="289" spans="2:97">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c r="AV289" s="25"/>
      <c r="AW289" s="25"/>
      <c r="AX289" s="25"/>
      <c r="AY289" s="25"/>
      <c r="AZ289" s="25"/>
      <c r="BA289" s="25"/>
      <c r="BB289" s="25"/>
      <c r="BC289" s="25"/>
      <c r="BD289" s="25"/>
      <c r="BE289" s="25"/>
      <c r="BF289" s="25"/>
      <c r="BG289" s="25"/>
      <c r="BH289" s="25"/>
      <c r="BI289" s="25"/>
      <c r="BJ289" s="25"/>
      <c r="BK289" s="25"/>
      <c r="BL289" s="25"/>
      <c r="BM289" s="25"/>
      <c r="BN289" s="25"/>
      <c r="BO289" s="25"/>
      <c r="BP289" s="25"/>
      <c r="BQ289" s="25"/>
      <c r="BR289" s="25"/>
      <c r="BS289" s="25"/>
      <c r="BT289" s="25"/>
      <c r="BU289" s="25"/>
      <c r="BV289" s="25"/>
      <c r="BW289" s="25"/>
      <c r="BX289" s="25"/>
      <c r="BY289" s="25"/>
      <c r="BZ289" s="25"/>
      <c r="CA289" s="25"/>
      <c r="CB289" s="25"/>
      <c r="CC289" s="25"/>
      <c r="CD289" s="25"/>
      <c r="CE289" s="25"/>
      <c r="CF289" s="25"/>
      <c r="CG289" s="25"/>
      <c r="CH289" s="25"/>
      <c r="CI289" s="25"/>
      <c r="CJ289" s="25"/>
      <c r="CK289" s="25"/>
      <c r="CL289" s="25"/>
      <c r="CM289" s="25"/>
      <c r="CN289" s="25"/>
      <c r="CO289" s="25"/>
      <c r="CP289" s="25"/>
      <c r="CQ289" s="25"/>
      <c r="CR289" s="25"/>
      <c r="CS289" s="25"/>
    </row>
    <row r="290" spans="2:97">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c r="AV290" s="25"/>
      <c r="AW290" s="25"/>
      <c r="AX290" s="25"/>
      <c r="AY290" s="25"/>
      <c r="AZ290" s="25"/>
      <c r="BA290" s="25"/>
      <c r="BB290" s="25"/>
      <c r="BC290" s="25"/>
      <c r="BD290" s="25"/>
      <c r="BE290" s="25"/>
      <c r="BF290" s="25"/>
      <c r="BG290" s="25"/>
      <c r="BH290" s="25"/>
      <c r="BI290" s="25"/>
      <c r="BJ290" s="25"/>
      <c r="BK290" s="25"/>
      <c r="BL290" s="25"/>
      <c r="BM290" s="25"/>
      <c r="BN290" s="25"/>
      <c r="BO290" s="25"/>
      <c r="BP290" s="25"/>
      <c r="BQ290" s="25"/>
      <c r="BR290" s="25"/>
      <c r="BS290" s="25"/>
      <c r="BT290" s="25"/>
      <c r="BU290" s="25"/>
      <c r="BV290" s="25"/>
      <c r="BW290" s="25"/>
      <c r="BX290" s="25"/>
      <c r="BY290" s="25"/>
      <c r="BZ290" s="25"/>
      <c r="CA290" s="25"/>
      <c r="CB290" s="25"/>
      <c r="CC290" s="25"/>
      <c r="CD290" s="25"/>
      <c r="CE290" s="25"/>
      <c r="CF290" s="25"/>
      <c r="CG290" s="25"/>
      <c r="CH290" s="25"/>
      <c r="CI290" s="25"/>
      <c r="CJ290" s="25"/>
      <c r="CK290" s="25"/>
      <c r="CL290" s="25"/>
      <c r="CM290" s="25"/>
      <c r="CN290" s="25"/>
      <c r="CO290" s="25"/>
      <c r="CP290" s="25"/>
      <c r="CQ290" s="25"/>
      <c r="CR290" s="25"/>
      <c r="CS290" s="25"/>
    </row>
    <row r="291" spans="2:97">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c r="AV291" s="25"/>
      <c r="AW291" s="25"/>
      <c r="AX291" s="25"/>
      <c r="AY291" s="25"/>
      <c r="AZ291" s="25"/>
      <c r="BA291" s="25"/>
      <c r="BB291" s="25"/>
      <c r="BC291" s="25"/>
      <c r="BD291" s="25"/>
      <c r="BE291" s="25"/>
      <c r="BF291" s="25"/>
      <c r="BG291" s="25"/>
      <c r="BH291" s="25"/>
      <c r="BI291" s="25"/>
      <c r="BJ291" s="25"/>
      <c r="BK291" s="25"/>
      <c r="BL291" s="25"/>
      <c r="BM291" s="25"/>
      <c r="BN291" s="25"/>
      <c r="BO291" s="25"/>
      <c r="BP291" s="25"/>
      <c r="BQ291" s="25"/>
      <c r="BR291" s="25"/>
      <c r="BS291" s="25"/>
      <c r="BT291" s="25"/>
      <c r="BU291" s="25"/>
      <c r="BV291" s="25"/>
      <c r="BW291" s="25"/>
      <c r="BX291" s="25"/>
      <c r="BY291" s="25"/>
      <c r="BZ291" s="25"/>
      <c r="CA291" s="25"/>
      <c r="CB291" s="25"/>
      <c r="CC291" s="25"/>
      <c r="CD291" s="25"/>
      <c r="CE291" s="25"/>
      <c r="CF291" s="25"/>
      <c r="CG291" s="25"/>
      <c r="CH291" s="25"/>
      <c r="CI291" s="25"/>
      <c r="CJ291" s="25"/>
      <c r="CK291" s="25"/>
      <c r="CL291" s="25"/>
      <c r="CM291" s="25"/>
      <c r="CN291" s="25"/>
      <c r="CO291" s="25"/>
      <c r="CP291" s="25"/>
      <c r="CQ291" s="25"/>
      <c r="CR291" s="25"/>
      <c r="CS291" s="25"/>
    </row>
    <row r="292" spans="2:97">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c r="AV292" s="25"/>
      <c r="AW292" s="25"/>
      <c r="AX292" s="25"/>
      <c r="AY292" s="25"/>
      <c r="AZ292" s="25"/>
      <c r="BA292" s="25"/>
      <c r="BB292" s="25"/>
      <c r="BC292" s="25"/>
      <c r="BD292" s="25"/>
      <c r="BE292" s="25"/>
      <c r="BF292" s="25"/>
      <c r="BG292" s="25"/>
      <c r="BH292" s="25"/>
      <c r="BI292" s="25"/>
      <c r="BJ292" s="25"/>
      <c r="BK292" s="25"/>
      <c r="BL292" s="25"/>
      <c r="BM292" s="25"/>
      <c r="BN292" s="25"/>
      <c r="BO292" s="25"/>
      <c r="BP292" s="25"/>
      <c r="BQ292" s="25"/>
      <c r="BR292" s="25"/>
      <c r="BS292" s="25"/>
      <c r="BT292" s="25"/>
      <c r="BU292" s="25"/>
      <c r="BV292" s="25"/>
      <c r="BW292" s="25"/>
      <c r="BX292" s="25"/>
      <c r="BY292" s="25"/>
      <c r="BZ292" s="25"/>
      <c r="CA292" s="25"/>
      <c r="CB292" s="25"/>
      <c r="CC292" s="25"/>
      <c r="CD292" s="25"/>
      <c r="CE292" s="25"/>
      <c r="CF292" s="25"/>
      <c r="CG292" s="25"/>
      <c r="CH292" s="25"/>
      <c r="CI292" s="25"/>
      <c r="CJ292" s="25"/>
      <c r="CK292" s="25"/>
      <c r="CL292" s="25"/>
      <c r="CM292" s="25"/>
      <c r="CN292" s="25"/>
      <c r="CO292" s="25"/>
      <c r="CP292" s="25"/>
      <c r="CQ292" s="25"/>
      <c r="CR292" s="25"/>
      <c r="CS292" s="25"/>
    </row>
    <row r="293" spans="2:97">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c r="AV293" s="25"/>
      <c r="AW293" s="25"/>
      <c r="AX293" s="25"/>
      <c r="AY293" s="25"/>
      <c r="AZ293" s="25"/>
      <c r="BA293" s="25"/>
      <c r="BB293" s="25"/>
      <c r="BC293" s="25"/>
      <c r="BD293" s="25"/>
      <c r="BE293" s="25"/>
      <c r="BF293" s="25"/>
      <c r="BG293" s="25"/>
      <c r="BH293" s="25"/>
      <c r="BI293" s="25"/>
      <c r="BJ293" s="25"/>
      <c r="BK293" s="25"/>
      <c r="BL293" s="25"/>
      <c r="BM293" s="25"/>
      <c r="BN293" s="25"/>
      <c r="BO293" s="25"/>
      <c r="BP293" s="25"/>
      <c r="BQ293" s="25"/>
      <c r="BR293" s="25"/>
      <c r="BS293" s="25"/>
      <c r="BT293" s="25"/>
      <c r="BU293" s="25"/>
      <c r="BV293" s="25"/>
      <c r="BW293" s="25"/>
      <c r="BX293" s="25"/>
      <c r="BY293" s="25"/>
      <c r="BZ293" s="25"/>
      <c r="CA293" s="25"/>
      <c r="CB293" s="25"/>
      <c r="CC293" s="25"/>
      <c r="CD293" s="25"/>
      <c r="CE293" s="25"/>
      <c r="CF293" s="25"/>
      <c r="CG293" s="25"/>
      <c r="CH293" s="25"/>
      <c r="CI293" s="25"/>
      <c r="CJ293" s="25"/>
      <c r="CK293" s="25"/>
      <c r="CL293" s="25"/>
      <c r="CM293" s="25"/>
      <c r="CN293" s="25"/>
      <c r="CO293" s="25"/>
      <c r="CP293" s="25"/>
      <c r="CQ293" s="25"/>
      <c r="CR293" s="25"/>
      <c r="CS293" s="25"/>
    </row>
    <row r="294" spans="2:97">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c r="AV294" s="25"/>
      <c r="AW294" s="25"/>
      <c r="AX294" s="25"/>
      <c r="AY294" s="25"/>
      <c r="AZ294" s="25"/>
      <c r="BA294" s="25"/>
      <c r="BB294" s="25"/>
      <c r="BC294" s="25"/>
      <c r="BD294" s="25"/>
      <c r="BE294" s="25"/>
      <c r="BF294" s="25"/>
      <c r="BG294" s="25"/>
      <c r="BH294" s="25"/>
      <c r="BI294" s="25"/>
      <c r="BJ294" s="25"/>
      <c r="BK294" s="25"/>
      <c r="BL294" s="25"/>
      <c r="BM294" s="25"/>
      <c r="BN294" s="25"/>
      <c r="BO294" s="25"/>
      <c r="BP294" s="25"/>
      <c r="BQ294" s="25"/>
      <c r="BR294" s="25"/>
      <c r="BS294" s="25"/>
      <c r="BT294" s="25"/>
      <c r="BU294" s="25"/>
      <c r="BV294" s="25"/>
      <c r="BW294" s="25"/>
      <c r="BX294" s="25"/>
      <c r="BY294" s="25"/>
      <c r="BZ294" s="25"/>
      <c r="CA294" s="25"/>
      <c r="CB294" s="25"/>
      <c r="CC294" s="25"/>
      <c r="CD294" s="25"/>
      <c r="CE294" s="25"/>
      <c r="CF294" s="25"/>
      <c r="CG294" s="25"/>
      <c r="CH294" s="25"/>
      <c r="CI294" s="25"/>
      <c r="CJ294" s="25"/>
      <c r="CK294" s="25"/>
      <c r="CL294" s="25"/>
      <c r="CM294" s="25"/>
      <c r="CN294" s="25"/>
      <c r="CO294" s="25"/>
      <c r="CP294" s="25"/>
      <c r="CQ294" s="25"/>
      <c r="CR294" s="25"/>
      <c r="CS294" s="25"/>
    </row>
    <row r="295" spans="2:97">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c r="AV295" s="25"/>
      <c r="AW295" s="25"/>
      <c r="AX295" s="25"/>
      <c r="AY295" s="25"/>
      <c r="AZ295" s="25"/>
      <c r="BA295" s="25"/>
      <c r="BB295" s="25"/>
      <c r="BC295" s="25"/>
      <c r="BD295" s="25"/>
      <c r="BE295" s="25"/>
      <c r="BF295" s="25"/>
      <c r="BG295" s="25"/>
      <c r="BH295" s="25"/>
      <c r="BI295" s="25"/>
      <c r="BJ295" s="25"/>
      <c r="BK295" s="25"/>
      <c r="BL295" s="25"/>
      <c r="BM295" s="25"/>
      <c r="BN295" s="25"/>
      <c r="BO295" s="25"/>
      <c r="BP295" s="25"/>
      <c r="BQ295" s="25"/>
      <c r="BR295" s="25"/>
      <c r="BS295" s="25"/>
      <c r="BT295" s="25"/>
      <c r="BU295" s="25"/>
      <c r="BV295" s="25"/>
      <c r="BW295" s="25"/>
      <c r="BX295" s="25"/>
      <c r="BY295" s="25"/>
      <c r="BZ295" s="25"/>
      <c r="CA295" s="25"/>
      <c r="CB295" s="25"/>
      <c r="CC295" s="25"/>
      <c r="CD295" s="25"/>
      <c r="CE295" s="25"/>
      <c r="CF295" s="25"/>
      <c r="CG295" s="25"/>
      <c r="CH295" s="25"/>
      <c r="CI295" s="25"/>
      <c r="CJ295" s="25"/>
      <c r="CK295" s="25"/>
      <c r="CL295" s="25"/>
      <c r="CM295" s="25"/>
      <c r="CN295" s="25"/>
      <c r="CO295" s="25"/>
      <c r="CP295" s="25"/>
      <c r="CQ295" s="25"/>
      <c r="CR295" s="25"/>
      <c r="CS295" s="25"/>
    </row>
    <row r="296" spans="2:97">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c r="AV296" s="25"/>
      <c r="AW296" s="25"/>
      <c r="AX296" s="25"/>
      <c r="AY296" s="25"/>
      <c r="AZ296" s="25"/>
      <c r="BA296" s="25"/>
      <c r="BB296" s="25"/>
      <c r="BC296" s="25"/>
      <c r="BD296" s="25"/>
      <c r="BE296" s="25"/>
      <c r="BF296" s="25"/>
      <c r="BG296" s="25"/>
      <c r="BH296" s="25"/>
      <c r="BI296" s="25"/>
      <c r="BJ296" s="25"/>
      <c r="BK296" s="25"/>
      <c r="BL296" s="25"/>
      <c r="BM296" s="25"/>
      <c r="BN296" s="25"/>
      <c r="BO296" s="25"/>
      <c r="BP296" s="25"/>
      <c r="BQ296" s="25"/>
      <c r="BR296" s="25"/>
      <c r="BS296" s="25"/>
      <c r="BT296" s="25"/>
      <c r="BU296" s="25"/>
      <c r="BV296" s="25"/>
      <c r="BW296" s="25"/>
      <c r="BX296" s="25"/>
      <c r="BY296" s="25"/>
      <c r="BZ296" s="25"/>
      <c r="CA296" s="25"/>
      <c r="CB296" s="25"/>
      <c r="CC296" s="25"/>
      <c r="CD296" s="25"/>
      <c r="CE296" s="25"/>
      <c r="CF296" s="25"/>
      <c r="CG296" s="25"/>
      <c r="CH296" s="25"/>
      <c r="CI296" s="25"/>
      <c r="CJ296" s="25"/>
      <c r="CK296" s="25"/>
      <c r="CL296" s="25"/>
      <c r="CM296" s="25"/>
      <c r="CN296" s="25"/>
      <c r="CO296" s="25"/>
      <c r="CP296" s="25"/>
      <c r="CQ296" s="25"/>
      <c r="CR296" s="25"/>
      <c r="CS296" s="25"/>
    </row>
    <row r="297" spans="2:97">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c r="AV297" s="25"/>
      <c r="AW297" s="25"/>
      <c r="AX297" s="25"/>
      <c r="AY297" s="25"/>
      <c r="AZ297" s="25"/>
      <c r="BA297" s="25"/>
      <c r="BB297" s="25"/>
      <c r="BC297" s="25"/>
      <c r="BD297" s="25"/>
      <c r="BE297" s="25"/>
      <c r="BF297" s="25"/>
      <c r="BG297" s="25"/>
      <c r="BH297" s="25"/>
      <c r="BI297" s="25"/>
      <c r="BJ297" s="25"/>
      <c r="BK297" s="25"/>
      <c r="BL297" s="25"/>
      <c r="BM297" s="25"/>
      <c r="BN297" s="25"/>
      <c r="BO297" s="25"/>
      <c r="BP297" s="25"/>
      <c r="BQ297" s="25"/>
      <c r="BR297" s="25"/>
      <c r="BS297" s="25"/>
      <c r="BT297" s="25"/>
      <c r="BU297" s="25"/>
      <c r="BV297" s="25"/>
      <c r="BW297" s="25"/>
      <c r="BX297" s="25"/>
      <c r="BY297" s="25"/>
      <c r="BZ297" s="25"/>
      <c r="CA297" s="25"/>
      <c r="CB297" s="25"/>
      <c r="CC297" s="25"/>
      <c r="CD297" s="25"/>
      <c r="CE297" s="25"/>
      <c r="CF297" s="25"/>
      <c r="CG297" s="25"/>
      <c r="CH297" s="25"/>
      <c r="CI297" s="25"/>
      <c r="CJ297" s="25"/>
      <c r="CK297" s="25"/>
      <c r="CL297" s="25"/>
      <c r="CM297" s="25"/>
      <c r="CN297" s="25"/>
      <c r="CO297" s="25"/>
      <c r="CP297" s="25"/>
      <c r="CQ297" s="25"/>
      <c r="CR297" s="25"/>
      <c r="CS297" s="25"/>
    </row>
    <row r="298" spans="2:97">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c r="AV298" s="25"/>
      <c r="AW298" s="25"/>
      <c r="AX298" s="25"/>
      <c r="AY298" s="25"/>
      <c r="AZ298" s="25"/>
      <c r="BA298" s="25"/>
      <c r="BB298" s="25"/>
      <c r="BC298" s="25"/>
      <c r="BD298" s="25"/>
      <c r="BE298" s="25"/>
      <c r="BF298" s="25"/>
      <c r="BG298" s="25"/>
      <c r="BH298" s="25"/>
      <c r="BI298" s="25"/>
      <c r="BJ298" s="25"/>
      <c r="BK298" s="25"/>
      <c r="BL298" s="25"/>
      <c r="BM298" s="25"/>
      <c r="BN298" s="25"/>
      <c r="BO298" s="25"/>
      <c r="BP298" s="25"/>
      <c r="BQ298" s="25"/>
      <c r="BR298" s="25"/>
      <c r="BS298" s="25"/>
      <c r="BT298" s="25"/>
      <c r="BU298" s="25"/>
      <c r="BV298" s="25"/>
      <c r="BW298" s="25"/>
      <c r="BX298" s="25"/>
      <c r="BY298" s="25"/>
      <c r="BZ298" s="25"/>
      <c r="CA298" s="25"/>
      <c r="CB298" s="25"/>
      <c r="CC298" s="25"/>
      <c r="CD298" s="25"/>
      <c r="CE298" s="25"/>
      <c r="CF298" s="25"/>
      <c r="CG298" s="25"/>
      <c r="CH298" s="25"/>
      <c r="CI298" s="25"/>
      <c r="CJ298" s="25"/>
      <c r="CK298" s="25"/>
      <c r="CL298" s="25"/>
      <c r="CM298" s="25"/>
      <c r="CN298" s="25"/>
      <c r="CO298" s="25"/>
      <c r="CP298" s="25"/>
      <c r="CQ298" s="25"/>
      <c r="CR298" s="25"/>
      <c r="CS298" s="25"/>
    </row>
    <row r="299" spans="2:97">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c r="AV299" s="25"/>
      <c r="AW299" s="25"/>
      <c r="AX299" s="25"/>
      <c r="AY299" s="25"/>
      <c r="AZ299" s="25"/>
      <c r="BA299" s="25"/>
      <c r="BB299" s="25"/>
      <c r="BC299" s="25"/>
      <c r="BD299" s="25"/>
      <c r="BE299" s="25"/>
      <c r="BF299" s="25"/>
      <c r="BG299" s="25"/>
      <c r="BH299" s="25"/>
      <c r="BI299" s="25"/>
      <c r="BJ299" s="25"/>
      <c r="BK299" s="25"/>
      <c r="BL299" s="25"/>
      <c r="BM299" s="25"/>
      <c r="BN299" s="25"/>
      <c r="BO299" s="25"/>
      <c r="BP299" s="25"/>
      <c r="BQ299" s="25"/>
      <c r="BR299" s="25"/>
      <c r="BS299" s="25"/>
      <c r="BT299" s="25"/>
      <c r="BU299" s="25"/>
      <c r="BV299" s="25"/>
      <c r="BW299" s="25"/>
      <c r="BX299" s="25"/>
      <c r="BY299" s="25"/>
      <c r="BZ299" s="25"/>
      <c r="CA299" s="25"/>
      <c r="CB299" s="25"/>
      <c r="CC299" s="25"/>
      <c r="CD299" s="25"/>
      <c r="CE299" s="25"/>
      <c r="CF299" s="25"/>
      <c r="CG299" s="25"/>
      <c r="CH299" s="25"/>
      <c r="CI299" s="25"/>
      <c r="CJ299" s="25"/>
      <c r="CK299" s="25"/>
      <c r="CL299" s="25"/>
      <c r="CM299" s="25"/>
      <c r="CN299" s="25"/>
      <c r="CO299" s="25"/>
      <c r="CP299" s="25"/>
      <c r="CQ299" s="25"/>
      <c r="CR299" s="25"/>
      <c r="CS299" s="25"/>
    </row>
    <row r="300" spans="2:97">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c r="AV300" s="25"/>
      <c r="AW300" s="25"/>
      <c r="AX300" s="25"/>
      <c r="AY300" s="25"/>
      <c r="AZ300" s="25"/>
      <c r="BA300" s="25"/>
      <c r="BB300" s="25"/>
      <c r="BC300" s="25"/>
      <c r="BD300" s="25"/>
      <c r="BE300" s="25"/>
      <c r="BF300" s="25"/>
      <c r="BG300" s="25"/>
      <c r="BH300" s="25"/>
      <c r="BI300" s="25"/>
      <c r="BJ300" s="25"/>
      <c r="BK300" s="25"/>
      <c r="BL300" s="25"/>
      <c r="BM300" s="25"/>
      <c r="BN300" s="25"/>
      <c r="BO300" s="25"/>
      <c r="BP300" s="25"/>
      <c r="BQ300" s="25"/>
      <c r="BR300" s="25"/>
      <c r="BS300" s="25"/>
      <c r="BT300" s="25"/>
      <c r="BU300" s="25"/>
      <c r="BV300" s="25"/>
      <c r="BW300" s="25"/>
      <c r="BX300" s="25"/>
      <c r="BY300" s="25"/>
      <c r="BZ300" s="25"/>
      <c r="CA300" s="25"/>
      <c r="CB300" s="25"/>
      <c r="CC300" s="25"/>
      <c r="CD300" s="25"/>
      <c r="CE300" s="25"/>
      <c r="CF300" s="25"/>
      <c r="CG300" s="25"/>
      <c r="CH300" s="25"/>
      <c r="CI300" s="25"/>
      <c r="CJ300" s="25"/>
      <c r="CK300" s="25"/>
      <c r="CL300" s="25"/>
      <c r="CM300" s="25"/>
      <c r="CN300" s="25"/>
      <c r="CO300" s="25"/>
      <c r="CP300" s="25"/>
      <c r="CQ300" s="25"/>
      <c r="CR300" s="25"/>
      <c r="CS300" s="25"/>
    </row>
    <row r="301" spans="2:97">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c r="AV301" s="25"/>
      <c r="AW301" s="25"/>
      <c r="AX301" s="25"/>
      <c r="AY301" s="25"/>
      <c r="AZ301" s="25"/>
      <c r="BA301" s="25"/>
      <c r="BB301" s="25"/>
      <c r="BC301" s="25"/>
      <c r="BD301" s="25"/>
      <c r="BE301" s="25"/>
      <c r="BF301" s="25"/>
      <c r="BG301" s="25"/>
      <c r="BH301" s="25"/>
      <c r="BI301" s="25"/>
      <c r="BJ301" s="25"/>
      <c r="BK301" s="25"/>
      <c r="BL301" s="25"/>
      <c r="BM301" s="25"/>
      <c r="BN301" s="25"/>
      <c r="BO301" s="25"/>
      <c r="BP301" s="25"/>
      <c r="BQ301" s="25"/>
      <c r="BR301" s="25"/>
      <c r="BS301" s="25"/>
      <c r="BT301" s="25"/>
      <c r="BU301" s="25"/>
      <c r="BV301" s="25"/>
      <c r="BW301" s="25"/>
      <c r="BX301" s="25"/>
      <c r="BY301" s="25"/>
      <c r="BZ301" s="25"/>
      <c r="CA301" s="25"/>
      <c r="CB301" s="25"/>
      <c r="CC301" s="25"/>
      <c r="CD301" s="25"/>
      <c r="CE301" s="25"/>
      <c r="CF301" s="25"/>
      <c r="CG301" s="25"/>
      <c r="CH301" s="25"/>
      <c r="CI301" s="25"/>
      <c r="CJ301" s="25"/>
      <c r="CK301" s="25"/>
      <c r="CL301" s="25"/>
      <c r="CM301" s="25"/>
      <c r="CN301" s="25"/>
      <c r="CO301" s="25"/>
      <c r="CP301" s="25"/>
      <c r="CQ301" s="25"/>
      <c r="CR301" s="25"/>
      <c r="CS301" s="25"/>
    </row>
    <row r="302" spans="2:97">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c r="AV302" s="25"/>
      <c r="AW302" s="25"/>
      <c r="AX302" s="25"/>
      <c r="AY302" s="25"/>
      <c r="AZ302" s="25"/>
      <c r="BA302" s="25"/>
      <c r="BB302" s="25"/>
      <c r="BC302" s="25"/>
      <c r="BD302" s="25"/>
      <c r="BE302" s="25"/>
      <c r="BF302" s="25"/>
      <c r="BG302" s="25"/>
      <c r="BH302" s="25"/>
      <c r="BI302" s="25"/>
      <c r="BJ302" s="25"/>
      <c r="BK302" s="25"/>
      <c r="BL302" s="25"/>
      <c r="BM302" s="25"/>
      <c r="BN302" s="25"/>
      <c r="BO302" s="25"/>
      <c r="BP302" s="25"/>
      <c r="BQ302" s="25"/>
      <c r="BR302" s="25"/>
      <c r="BS302" s="25"/>
      <c r="BT302" s="25"/>
      <c r="BU302" s="25"/>
      <c r="BV302" s="25"/>
      <c r="BW302" s="25"/>
      <c r="BX302" s="25"/>
      <c r="BY302" s="25"/>
      <c r="BZ302" s="25"/>
      <c r="CA302" s="25"/>
      <c r="CB302" s="25"/>
      <c r="CC302" s="25"/>
      <c r="CD302" s="25"/>
      <c r="CE302" s="25"/>
      <c r="CF302" s="25"/>
      <c r="CG302" s="25"/>
      <c r="CH302" s="25"/>
      <c r="CI302" s="25"/>
      <c r="CJ302" s="25"/>
      <c r="CK302" s="25"/>
      <c r="CL302" s="25"/>
      <c r="CM302" s="25"/>
      <c r="CN302" s="25"/>
      <c r="CO302" s="25"/>
      <c r="CP302" s="25"/>
      <c r="CQ302" s="25"/>
      <c r="CR302" s="25"/>
      <c r="CS302" s="25"/>
    </row>
    <row r="303" spans="2:97">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c r="AV303" s="25"/>
      <c r="AW303" s="25"/>
      <c r="AX303" s="25"/>
      <c r="AY303" s="25"/>
      <c r="AZ303" s="25"/>
      <c r="BA303" s="25"/>
      <c r="BB303" s="25"/>
      <c r="BC303" s="25"/>
      <c r="BD303" s="25"/>
      <c r="BE303" s="25"/>
      <c r="BF303" s="25"/>
      <c r="BG303" s="25"/>
      <c r="BH303" s="25"/>
      <c r="BI303" s="25"/>
      <c r="BJ303" s="25"/>
      <c r="BK303" s="25"/>
      <c r="BL303" s="25"/>
      <c r="BM303" s="25"/>
      <c r="BN303" s="25"/>
      <c r="BO303" s="25"/>
      <c r="BP303" s="25"/>
      <c r="BQ303" s="25"/>
      <c r="BR303" s="25"/>
      <c r="BS303" s="25"/>
      <c r="BT303" s="25"/>
      <c r="BU303" s="25"/>
      <c r="BV303" s="25"/>
      <c r="BW303" s="25"/>
      <c r="BX303" s="25"/>
      <c r="BY303" s="25"/>
      <c r="BZ303" s="25"/>
      <c r="CA303" s="25"/>
      <c r="CB303" s="25"/>
      <c r="CC303" s="25"/>
      <c r="CD303" s="25"/>
      <c r="CE303" s="25"/>
      <c r="CF303" s="25"/>
      <c r="CG303" s="25"/>
      <c r="CH303" s="25"/>
      <c r="CI303" s="25"/>
      <c r="CJ303" s="25"/>
      <c r="CK303" s="25"/>
      <c r="CL303" s="25"/>
      <c r="CM303" s="25"/>
      <c r="CN303" s="25"/>
      <c r="CO303" s="25"/>
      <c r="CP303" s="25"/>
      <c r="CQ303" s="25"/>
      <c r="CR303" s="25"/>
      <c r="CS303" s="25"/>
    </row>
    <row r="304" spans="2:97">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c r="AV304" s="25"/>
      <c r="AW304" s="25"/>
      <c r="AX304" s="25"/>
      <c r="AY304" s="25"/>
      <c r="AZ304" s="25"/>
      <c r="BA304" s="25"/>
      <c r="BB304" s="25"/>
      <c r="BC304" s="25"/>
      <c r="BD304" s="25"/>
      <c r="BE304" s="25"/>
      <c r="BF304" s="25"/>
      <c r="BG304" s="25"/>
      <c r="BH304" s="25"/>
      <c r="BI304" s="25"/>
      <c r="BJ304" s="25"/>
      <c r="BK304" s="25"/>
      <c r="BL304" s="25"/>
      <c r="BM304" s="25"/>
      <c r="BN304" s="25"/>
      <c r="BO304" s="25"/>
      <c r="BP304" s="25"/>
      <c r="BQ304" s="25"/>
      <c r="BR304" s="25"/>
      <c r="BS304" s="25"/>
      <c r="BT304" s="25"/>
      <c r="BU304" s="25"/>
      <c r="BV304" s="25"/>
      <c r="BW304" s="25"/>
      <c r="BX304" s="25"/>
      <c r="BY304" s="25"/>
      <c r="BZ304" s="25"/>
      <c r="CA304" s="25"/>
      <c r="CB304" s="25"/>
      <c r="CC304" s="25"/>
      <c r="CD304" s="25"/>
      <c r="CE304" s="25"/>
      <c r="CF304" s="25"/>
      <c r="CG304" s="25"/>
      <c r="CH304" s="25"/>
      <c r="CI304" s="25"/>
      <c r="CJ304" s="25"/>
      <c r="CK304" s="25"/>
      <c r="CL304" s="25"/>
      <c r="CM304" s="25"/>
      <c r="CN304" s="25"/>
      <c r="CO304" s="25"/>
      <c r="CP304" s="25"/>
      <c r="CQ304" s="25"/>
      <c r="CR304" s="25"/>
      <c r="CS304" s="25"/>
    </row>
    <row r="305" spans="2:97">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c r="AV305" s="25"/>
      <c r="AW305" s="25"/>
      <c r="AX305" s="25"/>
      <c r="AY305" s="25"/>
      <c r="AZ305" s="25"/>
      <c r="BA305" s="25"/>
      <c r="BB305" s="25"/>
      <c r="BC305" s="25"/>
      <c r="BD305" s="25"/>
      <c r="BE305" s="25"/>
      <c r="BF305" s="25"/>
      <c r="BG305" s="25"/>
      <c r="BH305" s="25"/>
      <c r="BI305" s="25"/>
      <c r="BJ305" s="25"/>
      <c r="BK305" s="25"/>
      <c r="BL305" s="25"/>
      <c r="BM305" s="25"/>
      <c r="BN305" s="25"/>
      <c r="BO305" s="25"/>
      <c r="BP305" s="25"/>
      <c r="BQ305" s="25"/>
      <c r="BR305" s="25"/>
      <c r="BS305" s="25"/>
      <c r="BT305" s="25"/>
      <c r="BU305" s="25"/>
      <c r="BV305" s="25"/>
      <c r="BW305" s="25"/>
      <c r="BX305" s="25"/>
      <c r="BY305" s="25"/>
      <c r="BZ305" s="25"/>
      <c r="CA305" s="25"/>
      <c r="CB305" s="25"/>
      <c r="CC305" s="25"/>
      <c r="CD305" s="25"/>
      <c r="CE305" s="25"/>
      <c r="CF305" s="25"/>
      <c r="CG305" s="25"/>
      <c r="CH305" s="25"/>
      <c r="CI305" s="25"/>
      <c r="CJ305" s="25"/>
      <c r="CK305" s="25"/>
      <c r="CL305" s="25"/>
      <c r="CM305" s="25"/>
      <c r="CN305" s="25"/>
      <c r="CO305" s="25"/>
      <c r="CP305" s="25"/>
      <c r="CQ305" s="25"/>
      <c r="CR305" s="25"/>
      <c r="CS305" s="25"/>
    </row>
    <row r="306" spans="2:97">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c r="AV306" s="25"/>
      <c r="AW306" s="25"/>
      <c r="AX306" s="25"/>
      <c r="AY306" s="25"/>
      <c r="AZ306" s="25"/>
      <c r="BA306" s="25"/>
      <c r="BB306" s="25"/>
      <c r="BC306" s="25"/>
      <c r="BD306" s="25"/>
      <c r="BE306" s="25"/>
      <c r="BF306" s="25"/>
      <c r="BG306" s="25"/>
      <c r="BH306" s="25"/>
      <c r="BI306" s="25"/>
      <c r="BJ306" s="25"/>
      <c r="BK306" s="25"/>
      <c r="BL306" s="25"/>
      <c r="BM306" s="25"/>
      <c r="BN306" s="25"/>
      <c r="BO306" s="25"/>
      <c r="BP306" s="25"/>
      <c r="BQ306" s="25"/>
      <c r="BR306" s="25"/>
      <c r="BS306" s="25"/>
      <c r="BT306" s="25"/>
      <c r="BU306" s="25"/>
      <c r="BV306" s="25"/>
      <c r="BW306" s="25"/>
      <c r="BX306" s="25"/>
      <c r="BY306" s="25"/>
      <c r="BZ306" s="25"/>
      <c r="CA306" s="25"/>
      <c r="CB306" s="25"/>
      <c r="CC306" s="25"/>
      <c r="CD306" s="25"/>
      <c r="CE306" s="25"/>
      <c r="CF306" s="25"/>
      <c r="CG306" s="25"/>
      <c r="CH306" s="25"/>
      <c r="CI306" s="25"/>
      <c r="CJ306" s="25"/>
      <c r="CK306" s="25"/>
      <c r="CL306" s="25"/>
      <c r="CM306" s="25"/>
      <c r="CN306" s="25"/>
      <c r="CO306" s="25"/>
      <c r="CP306" s="25"/>
      <c r="CQ306" s="25"/>
      <c r="CR306" s="25"/>
      <c r="CS306" s="25"/>
    </row>
    <row r="307" spans="2:97">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c r="AV307" s="25"/>
      <c r="AW307" s="25"/>
      <c r="AX307" s="25"/>
      <c r="AY307" s="25"/>
      <c r="AZ307" s="25"/>
      <c r="BA307" s="25"/>
      <c r="BB307" s="25"/>
      <c r="BC307" s="25"/>
      <c r="BD307" s="25"/>
      <c r="BE307" s="25"/>
      <c r="BF307" s="25"/>
      <c r="BG307" s="25"/>
      <c r="BH307" s="25"/>
      <c r="BI307" s="25"/>
      <c r="BJ307" s="25"/>
      <c r="BK307" s="25"/>
      <c r="BL307" s="25"/>
      <c r="BM307" s="25"/>
      <c r="BN307" s="25"/>
      <c r="BO307" s="25"/>
      <c r="BP307" s="25"/>
      <c r="BQ307" s="25"/>
      <c r="BR307" s="25"/>
      <c r="BS307" s="25"/>
      <c r="BT307" s="25"/>
      <c r="BU307" s="25"/>
      <c r="BV307" s="25"/>
      <c r="BW307" s="25"/>
      <c r="BX307" s="25"/>
      <c r="BY307" s="25"/>
      <c r="BZ307" s="25"/>
      <c r="CA307" s="25"/>
      <c r="CB307" s="25"/>
      <c r="CC307" s="25"/>
      <c r="CD307" s="25"/>
      <c r="CE307" s="25"/>
      <c r="CF307" s="25"/>
      <c r="CG307" s="25"/>
      <c r="CH307" s="25"/>
      <c r="CI307" s="25"/>
      <c r="CJ307" s="25"/>
      <c r="CK307" s="25"/>
      <c r="CL307" s="25"/>
      <c r="CM307" s="25"/>
      <c r="CN307" s="25"/>
      <c r="CO307" s="25"/>
      <c r="CP307" s="25"/>
      <c r="CQ307" s="25"/>
      <c r="CR307" s="25"/>
      <c r="CS307" s="25"/>
    </row>
    <row r="308" spans="2:97">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c r="AV308" s="25"/>
      <c r="AW308" s="25"/>
      <c r="AX308" s="25"/>
      <c r="AY308" s="25"/>
      <c r="AZ308" s="25"/>
      <c r="BA308" s="25"/>
      <c r="BB308" s="25"/>
      <c r="BC308" s="25"/>
      <c r="BD308" s="25"/>
      <c r="BE308" s="25"/>
      <c r="BF308" s="25"/>
      <c r="BG308" s="25"/>
      <c r="BH308" s="25"/>
      <c r="BI308" s="25"/>
      <c r="BJ308" s="25"/>
      <c r="BK308" s="25"/>
      <c r="BL308" s="25"/>
      <c r="BM308" s="25"/>
      <c r="BN308" s="25"/>
      <c r="BO308" s="25"/>
      <c r="BP308" s="25"/>
      <c r="BQ308" s="25"/>
      <c r="BR308" s="25"/>
      <c r="BS308" s="25"/>
      <c r="BT308" s="25"/>
      <c r="BU308" s="25"/>
      <c r="BV308" s="25"/>
      <c r="BW308" s="25"/>
      <c r="BX308" s="25"/>
      <c r="BY308" s="25"/>
      <c r="BZ308" s="25"/>
      <c r="CA308" s="25"/>
      <c r="CB308" s="25"/>
      <c r="CC308" s="25"/>
      <c r="CD308" s="25"/>
      <c r="CE308" s="25"/>
      <c r="CF308" s="25"/>
      <c r="CG308" s="25"/>
      <c r="CH308" s="25"/>
      <c r="CI308" s="25"/>
      <c r="CJ308" s="25"/>
      <c r="CK308" s="25"/>
      <c r="CL308" s="25"/>
      <c r="CM308" s="25"/>
      <c r="CN308" s="25"/>
      <c r="CO308" s="25"/>
      <c r="CP308" s="25"/>
      <c r="CQ308" s="25"/>
      <c r="CR308" s="25"/>
      <c r="CS308" s="25"/>
    </row>
    <row r="309" spans="2:97">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c r="AV309" s="25"/>
      <c r="AW309" s="25"/>
      <c r="AX309" s="25"/>
      <c r="AY309" s="25"/>
      <c r="AZ309" s="25"/>
      <c r="BA309" s="25"/>
      <c r="BB309" s="25"/>
      <c r="BC309" s="25"/>
      <c r="BD309" s="25"/>
      <c r="BE309" s="25"/>
      <c r="BF309" s="25"/>
      <c r="BG309" s="25"/>
      <c r="BH309" s="25"/>
      <c r="BI309" s="25"/>
      <c r="BJ309" s="25"/>
      <c r="BK309" s="25"/>
      <c r="BL309" s="25"/>
      <c r="BM309" s="25"/>
      <c r="BN309" s="25"/>
      <c r="BO309" s="25"/>
      <c r="BP309" s="25"/>
      <c r="BQ309" s="25"/>
      <c r="BR309" s="25"/>
      <c r="BS309" s="25"/>
      <c r="BT309" s="25"/>
      <c r="BU309" s="25"/>
      <c r="BV309" s="25"/>
      <c r="BW309" s="25"/>
      <c r="BX309" s="25"/>
      <c r="BY309" s="25"/>
      <c r="BZ309" s="25"/>
      <c r="CA309" s="25"/>
      <c r="CB309" s="25"/>
      <c r="CC309" s="25"/>
      <c r="CD309" s="25"/>
      <c r="CE309" s="25"/>
      <c r="CF309" s="25"/>
      <c r="CG309" s="25"/>
      <c r="CH309" s="25"/>
      <c r="CI309" s="25"/>
      <c r="CJ309" s="25"/>
      <c r="CK309" s="25"/>
      <c r="CL309" s="25"/>
      <c r="CM309" s="25"/>
      <c r="CN309" s="25"/>
      <c r="CO309" s="25"/>
      <c r="CP309" s="25"/>
      <c r="CQ309" s="25"/>
      <c r="CR309" s="25"/>
      <c r="CS309" s="25"/>
    </row>
    <row r="310" spans="2:97">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c r="AV310" s="25"/>
      <c r="AW310" s="25"/>
      <c r="AX310" s="25"/>
      <c r="AY310" s="25"/>
      <c r="AZ310" s="25"/>
      <c r="BA310" s="25"/>
      <c r="BB310" s="25"/>
      <c r="BC310" s="25"/>
      <c r="BD310" s="25"/>
      <c r="BE310" s="25"/>
      <c r="BF310" s="25"/>
      <c r="BG310" s="25"/>
      <c r="BH310" s="25"/>
      <c r="BI310" s="25"/>
      <c r="BJ310" s="25"/>
      <c r="BK310" s="25"/>
      <c r="BL310" s="25"/>
      <c r="BM310" s="25"/>
      <c r="BN310" s="25"/>
      <c r="BO310" s="25"/>
      <c r="BP310" s="25"/>
      <c r="BQ310" s="25"/>
      <c r="BR310" s="25"/>
      <c r="BS310" s="25"/>
      <c r="BT310" s="25"/>
      <c r="BU310" s="25"/>
      <c r="BV310" s="25"/>
      <c r="BW310" s="25"/>
      <c r="BX310" s="25"/>
      <c r="BY310" s="25"/>
      <c r="BZ310" s="25"/>
      <c r="CA310" s="25"/>
      <c r="CB310" s="25"/>
      <c r="CC310" s="25"/>
      <c r="CD310" s="25"/>
      <c r="CE310" s="25"/>
      <c r="CF310" s="25"/>
      <c r="CG310" s="25"/>
      <c r="CH310" s="25"/>
      <c r="CI310" s="25"/>
      <c r="CJ310" s="25"/>
      <c r="CK310" s="25"/>
      <c r="CL310" s="25"/>
      <c r="CM310" s="25"/>
      <c r="CN310" s="25"/>
      <c r="CO310" s="25"/>
      <c r="CP310" s="25"/>
      <c r="CQ310" s="25"/>
      <c r="CR310" s="25"/>
      <c r="CS310" s="25"/>
    </row>
    <row r="311" spans="2:97">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c r="AV311" s="25"/>
      <c r="AW311" s="25"/>
      <c r="AX311" s="25"/>
      <c r="AY311" s="25"/>
      <c r="AZ311" s="25"/>
      <c r="BA311" s="25"/>
      <c r="BB311" s="25"/>
      <c r="BC311" s="25"/>
      <c r="BD311" s="25"/>
      <c r="BE311" s="25"/>
      <c r="BF311" s="25"/>
      <c r="BG311" s="25"/>
      <c r="BH311" s="25"/>
      <c r="BI311" s="25"/>
      <c r="BJ311" s="25"/>
      <c r="BK311" s="25"/>
      <c r="BL311" s="25"/>
      <c r="BM311" s="25"/>
      <c r="BN311" s="25"/>
      <c r="BO311" s="25"/>
      <c r="BP311" s="25"/>
      <c r="BQ311" s="25"/>
      <c r="BR311" s="25"/>
      <c r="BS311" s="25"/>
      <c r="BT311" s="25"/>
      <c r="BU311" s="25"/>
      <c r="BV311" s="25"/>
      <c r="BW311" s="25"/>
      <c r="BX311" s="25"/>
      <c r="BY311" s="25"/>
      <c r="BZ311" s="25"/>
      <c r="CA311" s="25"/>
      <c r="CB311" s="25"/>
      <c r="CC311" s="25"/>
      <c r="CD311" s="25"/>
      <c r="CE311" s="25"/>
      <c r="CF311" s="25"/>
      <c r="CG311" s="25"/>
      <c r="CH311" s="25"/>
      <c r="CI311" s="25"/>
      <c r="CJ311" s="25"/>
      <c r="CK311" s="25"/>
      <c r="CL311" s="25"/>
      <c r="CM311" s="25"/>
      <c r="CN311" s="25"/>
      <c r="CO311" s="25"/>
      <c r="CP311" s="25"/>
      <c r="CQ311" s="25"/>
      <c r="CR311" s="25"/>
      <c r="CS311" s="25"/>
    </row>
    <row r="312" spans="2:97">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c r="AV312" s="25"/>
      <c r="AW312" s="25"/>
      <c r="AX312" s="25"/>
      <c r="AY312" s="25"/>
      <c r="AZ312" s="25"/>
      <c r="BA312" s="25"/>
      <c r="BB312" s="25"/>
      <c r="BC312" s="25"/>
      <c r="BD312" s="25"/>
      <c r="BE312" s="25"/>
      <c r="BF312" s="25"/>
      <c r="BG312" s="25"/>
      <c r="BH312" s="25"/>
      <c r="BI312" s="25"/>
      <c r="BJ312" s="25"/>
      <c r="BK312" s="25"/>
      <c r="BL312" s="25"/>
      <c r="BM312" s="25"/>
      <c r="BN312" s="25"/>
      <c r="BO312" s="25"/>
      <c r="BP312" s="25"/>
      <c r="BQ312" s="25"/>
      <c r="BR312" s="25"/>
      <c r="BS312" s="25"/>
      <c r="BT312" s="25"/>
      <c r="BU312" s="25"/>
      <c r="BV312" s="25"/>
      <c r="BW312" s="25"/>
      <c r="BX312" s="25"/>
      <c r="BY312" s="25"/>
      <c r="BZ312" s="25"/>
      <c r="CA312" s="25"/>
      <c r="CB312" s="25"/>
      <c r="CC312" s="25"/>
      <c r="CD312" s="25"/>
      <c r="CE312" s="25"/>
      <c r="CF312" s="25"/>
      <c r="CG312" s="25"/>
      <c r="CH312" s="25"/>
      <c r="CI312" s="25"/>
      <c r="CJ312" s="25"/>
      <c r="CK312" s="25"/>
      <c r="CL312" s="25"/>
      <c r="CM312" s="25"/>
      <c r="CN312" s="25"/>
      <c r="CO312" s="25"/>
      <c r="CP312" s="25"/>
      <c r="CQ312" s="25"/>
      <c r="CR312" s="25"/>
      <c r="CS312" s="25"/>
    </row>
    <row r="313" spans="2:97">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c r="AV313" s="25"/>
      <c r="AW313" s="25"/>
      <c r="AX313" s="25"/>
      <c r="AY313" s="25"/>
      <c r="AZ313" s="25"/>
      <c r="BA313" s="25"/>
      <c r="BB313" s="25"/>
      <c r="BC313" s="25"/>
      <c r="BD313" s="25"/>
      <c r="BE313" s="25"/>
      <c r="BF313" s="25"/>
      <c r="BG313" s="25"/>
      <c r="BH313" s="25"/>
      <c r="BI313" s="25"/>
      <c r="BJ313" s="25"/>
      <c r="BK313" s="25"/>
      <c r="BL313" s="25"/>
      <c r="BM313" s="25"/>
      <c r="BN313" s="25"/>
      <c r="BO313" s="25"/>
      <c r="BP313" s="25"/>
      <c r="BQ313" s="25"/>
      <c r="BR313" s="25"/>
      <c r="BS313" s="25"/>
      <c r="BT313" s="25"/>
      <c r="BU313" s="25"/>
      <c r="BV313" s="25"/>
      <c r="BW313" s="25"/>
      <c r="BX313" s="25"/>
      <c r="BY313" s="25"/>
      <c r="BZ313" s="25"/>
      <c r="CA313" s="25"/>
      <c r="CB313" s="25"/>
      <c r="CC313" s="25"/>
      <c r="CD313" s="25"/>
      <c r="CE313" s="25"/>
      <c r="CF313" s="25"/>
      <c r="CG313" s="25"/>
      <c r="CH313" s="25"/>
      <c r="CI313" s="25"/>
      <c r="CJ313" s="25"/>
      <c r="CK313" s="25"/>
      <c r="CL313" s="25"/>
      <c r="CM313" s="25"/>
      <c r="CN313" s="25"/>
      <c r="CO313" s="25"/>
      <c r="CP313" s="25"/>
      <c r="CQ313" s="25"/>
      <c r="CR313" s="25"/>
      <c r="CS313" s="25"/>
    </row>
    <row r="314" spans="2:97">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c r="AV314" s="25"/>
      <c r="AW314" s="25"/>
      <c r="AX314" s="25"/>
      <c r="AY314" s="25"/>
      <c r="AZ314" s="25"/>
      <c r="BA314" s="25"/>
      <c r="BB314" s="25"/>
      <c r="BC314" s="25"/>
      <c r="BD314" s="25"/>
      <c r="BE314" s="25"/>
      <c r="BF314" s="25"/>
      <c r="BG314" s="25"/>
      <c r="BH314" s="25"/>
      <c r="BI314" s="25"/>
      <c r="BJ314" s="25"/>
      <c r="BK314" s="25"/>
      <c r="BL314" s="25"/>
      <c r="BM314" s="25"/>
      <c r="BN314" s="25"/>
      <c r="BO314" s="25"/>
      <c r="BP314" s="25"/>
      <c r="BQ314" s="25"/>
      <c r="BR314" s="25"/>
      <c r="BS314" s="25"/>
      <c r="BT314" s="25"/>
      <c r="BU314" s="25"/>
      <c r="BV314" s="25"/>
      <c r="BW314" s="25"/>
      <c r="BX314" s="25"/>
      <c r="BY314" s="25"/>
      <c r="BZ314" s="25"/>
      <c r="CA314" s="25"/>
      <c r="CB314" s="25"/>
      <c r="CC314" s="25"/>
      <c r="CD314" s="25"/>
      <c r="CE314" s="25"/>
      <c r="CF314" s="25"/>
      <c r="CG314" s="25"/>
      <c r="CH314" s="25"/>
      <c r="CI314" s="25"/>
      <c r="CJ314" s="25"/>
      <c r="CK314" s="25"/>
      <c r="CL314" s="25"/>
      <c r="CM314" s="25"/>
      <c r="CN314" s="25"/>
      <c r="CO314" s="25"/>
      <c r="CP314" s="25"/>
      <c r="CQ314" s="25"/>
      <c r="CR314" s="25"/>
      <c r="CS314" s="25"/>
    </row>
    <row r="315" spans="2:97">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c r="AV315" s="25"/>
      <c r="AW315" s="25"/>
      <c r="AX315" s="25"/>
      <c r="AY315" s="25"/>
      <c r="AZ315" s="25"/>
      <c r="BA315" s="25"/>
      <c r="BB315" s="25"/>
      <c r="BC315" s="25"/>
      <c r="BD315" s="25"/>
      <c r="BE315" s="25"/>
      <c r="BF315" s="25"/>
      <c r="BG315" s="25"/>
      <c r="BH315" s="25"/>
      <c r="BI315" s="25"/>
      <c r="BJ315" s="25"/>
      <c r="BK315" s="25"/>
      <c r="BL315" s="25"/>
      <c r="BM315" s="25"/>
      <c r="BN315" s="25"/>
      <c r="BO315" s="25"/>
      <c r="BP315" s="25"/>
      <c r="BQ315" s="25"/>
      <c r="BR315" s="25"/>
      <c r="BS315" s="25"/>
      <c r="BT315" s="25"/>
      <c r="BU315" s="25"/>
      <c r="BV315" s="25"/>
      <c r="BW315" s="25"/>
      <c r="BX315" s="25"/>
      <c r="BY315" s="25"/>
      <c r="BZ315" s="25"/>
      <c r="CA315" s="25"/>
      <c r="CB315" s="25"/>
      <c r="CC315" s="25"/>
      <c r="CD315" s="25"/>
      <c r="CE315" s="25"/>
      <c r="CF315" s="25"/>
      <c r="CG315" s="25"/>
      <c r="CH315" s="25"/>
      <c r="CI315" s="25"/>
      <c r="CJ315" s="25"/>
      <c r="CK315" s="25"/>
      <c r="CL315" s="25"/>
      <c r="CM315" s="25"/>
      <c r="CN315" s="25"/>
      <c r="CO315" s="25"/>
      <c r="CP315" s="25"/>
      <c r="CQ315" s="25"/>
      <c r="CR315" s="25"/>
      <c r="CS315" s="25"/>
    </row>
    <row r="316" spans="2:97">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c r="AV316" s="25"/>
      <c r="AW316" s="25"/>
      <c r="AX316" s="25"/>
      <c r="AY316" s="25"/>
      <c r="AZ316" s="25"/>
      <c r="BA316" s="25"/>
      <c r="BB316" s="25"/>
      <c r="BC316" s="25"/>
      <c r="BD316" s="25"/>
      <c r="BE316" s="25"/>
      <c r="BF316" s="25"/>
      <c r="BG316" s="25"/>
      <c r="BH316" s="25"/>
      <c r="BI316" s="25"/>
      <c r="BJ316" s="25"/>
      <c r="BK316" s="25"/>
      <c r="BL316" s="25"/>
      <c r="BM316" s="25"/>
      <c r="BN316" s="25"/>
      <c r="BO316" s="25"/>
      <c r="BP316" s="25"/>
      <c r="BQ316" s="25"/>
      <c r="BR316" s="25"/>
      <c r="BS316" s="25"/>
      <c r="BT316" s="25"/>
      <c r="BU316" s="25"/>
      <c r="BV316" s="25"/>
      <c r="BW316" s="25"/>
      <c r="BX316" s="25"/>
      <c r="BY316" s="25"/>
      <c r="BZ316" s="25"/>
      <c r="CA316" s="25"/>
      <c r="CB316" s="25"/>
      <c r="CC316" s="25"/>
      <c r="CD316" s="25"/>
      <c r="CE316" s="25"/>
      <c r="CF316" s="25"/>
      <c r="CG316" s="25"/>
      <c r="CH316" s="25"/>
      <c r="CI316" s="25"/>
      <c r="CJ316" s="25"/>
      <c r="CK316" s="25"/>
      <c r="CL316" s="25"/>
      <c r="CM316" s="25"/>
      <c r="CN316" s="25"/>
      <c r="CO316" s="25"/>
      <c r="CP316" s="25"/>
      <c r="CQ316" s="25"/>
      <c r="CR316" s="25"/>
      <c r="CS316" s="25"/>
    </row>
    <row r="317" spans="2:97">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c r="AV317" s="25"/>
      <c r="AW317" s="25"/>
      <c r="AX317" s="25"/>
      <c r="AY317" s="25"/>
      <c r="AZ317" s="25"/>
      <c r="BA317" s="25"/>
      <c r="BB317" s="25"/>
      <c r="BC317" s="25"/>
      <c r="BD317" s="25"/>
      <c r="BE317" s="25"/>
      <c r="BF317" s="25"/>
      <c r="BG317" s="25"/>
      <c r="BH317" s="25"/>
      <c r="BI317" s="25"/>
      <c r="BJ317" s="25"/>
      <c r="BK317" s="25"/>
      <c r="BL317" s="25"/>
      <c r="BM317" s="25"/>
      <c r="BN317" s="25"/>
      <c r="BO317" s="25"/>
      <c r="BP317" s="25"/>
      <c r="BQ317" s="25"/>
      <c r="BR317" s="25"/>
      <c r="BS317" s="25"/>
      <c r="BT317" s="25"/>
      <c r="BU317" s="25"/>
      <c r="BV317" s="25"/>
      <c r="BW317" s="25"/>
      <c r="BX317" s="25"/>
      <c r="BY317" s="25"/>
      <c r="BZ317" s="25"/>
      <c r="CA317" s="25"/>
      <c r="CB317" s="25"/>
      <c r="CC317" s="25"/>
      <c r="CD317" s="25"/>
      <c r="CE317" s="25"/>
      <c r="CF317" s="25"/>
      <c r="CG317" s="25"/>
      <c r="CH317" s="25"/>
      <c r="CI317" s="25"/>
      <c r="CJ317" s="25"/>
      <c r="CK317" s="25"/>
      <c r="CL317" s="25"/>
      <c r="CM317" s="25"/>
      <c r="CN317" s="25"/>
      <c r="CO317" s="25"/>
      <c r="CP317" s="25"/>
      <c r="CQ317" s="25"/>
      <c r="CR317" s="25"/>
      <c r="CS317" s="25"/>
    </row>
    <row r="318" spans="2:97">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c r="AV318" s="25"/>
      <c r="AW318" s="25"/>
      <c r="AX318" s="25"/>
      <c r="AY318" s="25"/>
      <c r="AZ318" s="25"/>
      <c r="BA318" s="25"/>
      <c r="BB318" s="25"/>
      <c r="BC318" s="25"/>
      <c r="BD318" s="25"/>
      <c r="BE318" s="25"/>
      <c r="BF318" s="25"/>
      <c r="BG318" s="25"/>
      <c r="BH318" s="25"/>
      <c r="BI318" s="25"/>
      <c r="BJ318" s="25"/>
      <c r="BK318" s="25"/>
      <c r="BL318" s="25"/>
      <c r="BM318" s="25"/>
      <c r="BN318" s="25"/>
      <c r="BO318" s="25"/>
      <c r="BP318" s="25"/>
      <c r="BQ318" s="25"/>
      <c r="BR318" s="25"/>
      <c r="BS318" s="25"/>
      <c r="BT318" s="25"/>
      <c r="BU318" s="25"/>
      <c r="BV318" s="25"/>
      <c r="BW318" s="25"/>
      <c r="BX318" s="25"/>
      <c r="BY318" s="25"/>
      <c r="BZ318" s="25"/>
      <c r="CA318" s="25"/>
      <c r="CB318" s="25"/>
      <c r="CC318" s="25"/>
      <c r="CD318" s="25"/>
      <c r="CE318" s="25"/>
      <c r="CF318" s="25"/>
      <c r="CG318" s="25"/>
      <c r="CH318" s="25"/>
      <c r="CI318" s="25"/>
      <c r="CJ318" s="25"/>
      <c r="CK318" s="25"/>
      <c r="CL318" s="25"/>
      <c r="CM318" s="25"/>
      <c r="CN318" s="25"/>
      <c r="CO318" s="25"/>
      <c r="CP318" s="25"/>
      <c r="CQ318" s="25"/>
      <c r="CR318" s="25"/>
      <c r="CS318" s="25"/>
    </row>
    <row r="319" spans="2:97">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c r="AV319" s="25"/>
      <c r="AW319" s="25"/>
      <c r="AX319" s="25"/>
      <c r="AY319" s="25"/>
      <c r="AZ319" s="25"/>
      <c r="BA319" s="25"/>
      <c r="BB319" s="25"/>
      <c r="BC319" s="25"/>
      <c r="BD319" s="25"/>
      <c r="BE319" s="25"/>
      <c r="BF319" s="25"/>
      <c r="BG319" s="25"/>
      <c r="BH319" s="25"/>
      <c r="BI319" s="25"/>
      <c r="BJ319" s="25"/>
      <c r="BK319" s="25"/>
      <c r="BL319" s="25"/>
      <c r="BM319" s="25"/>
      <c r="BN319" s="25"/>
      <c r="BO319" s="25"/>
      <c r="BP319" s="25"/>
      <c r="BQ319" s="25"/>
      <c r="BR319" s="25"/>
      <c r="BS319" s="25"/>
      <c r="BT319" s="25"/>
      <c r="BU319" s="25"/>
      <c r="BV319" s="25"/>
      <c r="BW319" s="25"/>
      <c r="BX319" s="25"/>
      <c r="BY319" s="25"/>
      <c r="BZ319" s="25"/>
      <c r="CA319" s="25"/>
      <c r="CB319" s="25"/>
      <c r="CC319" s="25"/>
      <c r="CD319" s="25"/>
      <c r="CE319" s="25"/>
      <c r="CF319" s="25"/>
      <c r="CG319" s="25"/>
      <c r="CH319" s="25"/>
      <c r="CI319" s="25"/>
      <c r="CJ319" s="25"/>
      <c r="CK319" s="25"/>
      <c r="CL319" s="25"/>
      <c r="CM319" s="25"/>
      <c r="CN319" s="25"/>
      <c r="CO319" s="25"/>
      <c r="CP319" s="25"/>
      <c r="CQ319" s="25"/>
      <c r="CR319" s="25"/>
      <c r="CS319" s="25"/>
    </row>
    <row r="320" spans="2:97">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c r="AV320" s="25"/>
      <c r="AW320" s="25"/>
      <c r="AX320" s="25"/>
      <c r="AY320" s="25"/>
      <c r="AZ320" s="25"/>
      <c r="BA320" s="25"/>
      <c r="BB320" s="25"/>
      <c r="BC320" s="25"/>
      <c r="BD320" s="25"/>
      <c r="BE320" s="25"/>
      <c r="BF320" s="25"/>
      <c r="BG320" s="25"/>
      <c r="BH320" s="25"/>
      <c r="BI320" s="25"/>
      <c r="BJ320" s="25"/>
      <c r="BK320" s="25"/>
      <c r="BL320" s="25"/>
      <c r="BM320" s="25"/>
      <c r="BN320" s="25"/>
      <c r="BO320" s="25"/>
      <c r="BP320" s="25"/>
      <c r="BQ320" s="25"/>
      <c r="BR320" s="25"/>
      <c r="BS320" s="25"/>
      <c r="BT320" s="25"/>
      <c r="BU320" s="25"/>
      <c r="BV320" s="25"/>
      <c r="BW320" s="25"/>
      <c r="BX320" s="25"/>
      <c r="BY320" s="25"/>
      <c r="BZ320" s="25"/>
      <c r="CA320" s="25"/>
      <c r="CB320" s="25"/>
      <c r="CC320" s="25"/>
      <c r="CD320" s="25"/>
      <c r="CE320" s="25"/>
      <c r="CF320" s="25"/>
      <c r="CG320" s="25"/>
      <c r="CH320" s="25"/>
      <c r="CI320" s="25"/>
      <c r="CJ320" s="25"/>
      <c r="CK320" s="25"/>
      <c r="CL320" s="25"/>
      <c r="CM320" s="25"/>
      <c r="CN320" s="25"/>
      <c r="CO320" s="25"/>
      <c r="CP320" s="25"/>
      <c r="CQ320" s="25"/>
      <c r="CR320" s="25"/>
      <c r="CS320" s="25"/>
    </row>
    <row r="321" spans="2:97">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c r="AV321" s="25"/>
      <c r="AW321" s="25"/>
      <c r="AX321" s="25"/>
      <c r="AY321" s="25"/>
      <c r="AZ321" s="25"/>
      <c r="BA321" s="25"/>
      <c r="BB321" s="25"/>
      <c r="BC321" s="25"/>
      <c r="BD321" s="25"/>
      <c r="BE321" s="25"/>
      <c r="BF321" s="25"/>
      <c r="BG321" s="25"/>
      <c r="BH321" s="25"/>
      <c r="BI321" s="25"/>
      <c r="BJ321" s="25"/>
      <c r="BK321" s="25"/>
      <c r="BL321" s="25"/>
      <c r="BM321" s="25"/>
      <c r="BN321" s="25"/>
      <c r="BO321" s="25"/>
      <c r="BP321" s="25"/>
      <c r="BQ321" s="25"/>
      <c r="BR321" s="25"/>
      <c r="BS321" s="25"/>
      <c r="BT321" s="25"/>
      <c r="BU321" s="25"/>
      <c r="BV321" s="25"/>
      <c r="BW321" s="25"/>
      <c r="BX321" s="25"/>
      <c r="BY321" s="25"/>
      <c r="BZ321" s="25"/>
      <c r="CA321" s="25"/>
      <c r="CB321" s="25"/>
      <c r="CC321" s="25"/>
      <c r="CD321" s="25"/>
      <c r="CE321" s="25"/>
      <c r="CF321" s="25"/>
      <c r="CG321" s="25"/>
      <c r="CH321" s="25"/>
      <c r="CI321" s="25"/>
      <c r="CJ321" s="25"/>
      <c r="CK321" s="25"/>
      <c r="CL321" s="25"/>
      <c r="CM321" s="25"/>
      <c r="CN321" s="25"/>
      <c r="CO321" s="25"/>
      <c r="CP321" s="25"/>
      <c r="CQ321" s="25"/>
      <c r="CR321" s="25"/>
      <c r="CS321" s="25"/>
    </row>
    <row r="322" spans="2:97">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c r="AV322" s="25"/>
      <c r="AW322" s="25"/>
      <c r="AX322" s="25"/>
      <c r="AY322" s="25"/>
      <c r="AZ322" s="25"/>
      <c r="BA322" s="25"/>
      <c r="BB322" s="25"/>
      <c r="BC322" s="25"/>
      <c r="BD322" s="25"/>
      <c r="BE322" s="25"/>
      <c r="BF322" s="25"/>
      <c r="BG322" s="25"/>
      <c r="BH322" s="25"/>
      <c r="BI322" s="25"/>
      <c r="BJ322" s="25"/>
      <c r="BK322" s="25"/>
      <c r="BL322" s="25"/>
      <c r="BM322" s="25"/>
      <c r="BN322" s="25"/>
      <c r="BO322" s="25"/>
      <c r="BP322" s="25"/>
      <c r="BQ322" s="25"/>
      <c r="BR322" s="25"/>
      <c r="BS322" s="25"/>
      <c r="BT322" s="25"/>
      <c r="BU322" s="25"/>
      <c r="BV322" s="25"/>
      <c r="BW322" s="25"/>
      <c r="BX322" s="25"/>
      <c r="BY322" s="25"/>
      <c r="BZ322" s="25"/>
      <c r="CA322" s="25"/>
      <c r="CB322" s="25"/>
      <c r="CC322" s="25"/>
      <c r="CD322" s="25"/>
      <c r="CE322" s="25"/>
      <c r="CF322" s="25"/>
      <c r="CG322" s="25"/>
      <c r="CH322" s="25"/>
      <c r="CI322" s="25"/>
      <c r="CJ322" s="25"/>
      <c r="CK322" s="25"/>
      <c r="CL322" s="25"/>
      <c r="CM322" s="25"/>
      <c r="CN322" s="25"/>
      <c r="CO322" s="25"/>
      <c r="CP322" s="25"/>
      <c r="CQ322" s="25"/>
      <c r="CR322" s="25"/>
      <c r="CS322" s="25"/>
    </row>
    <row r="323" spans="2:97">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c r="AV323" s="25"/>
      <c r="AW323" s="25"/>
      <c r="AX323" s="25"/>
      <c r="AY323" s="25"/>
      <c r="AZ323" s="25"/>
      <c r="BA323" s="25"/>
      <c r="BB323" s="25"/>
      <c r="BC323" s="25"/>
      <c r="BD323" s="25"/>
      <c r="BE323" s="25"/>
      <c r="BF323" s="25"/>
      <c r="BG323" s="25"/>
      <c r="BH323" s="25"/>
      <c r="BI323" s="25"/>
      <c r="BJ323" s="25"/>
      <c r="BK323" s="25"/>
      <c r="BL323" s="25"/>
      <c r="BM323" s="25"/>
      <c r="BN323" s="25"/>
      <c r="BO323" s="25"/>
      <c r="BP323" s="25"/>
      <c r="BQ323" s="25"/>
      <c r="BR323" s="25"/>
      <c r="BS323" s="25"/>
      <c r="BT323" s="25"/>
      <c r="BU323" s="25"/>
      <c r="BV323" s="25"/>
      <c r="BW323" s="25"/>
      <c r="BX323" s="25"/>
      <c r="BY323" s="25"/>
      <c r="BZ323" s="25"/>
      <c r="CA323" s="25"/>
      <c r="CB323" s="25"/>
      <c r="CC323" s="25"/>
      <c r="CD323" s="25"/>
      <c r="CE323" s="25"/>
      <c r="CF323" s="25"/>
      <c r="CG323" s="25"/>
      <c r="CH323" s="25"/>
      <c r="CI323" s="25"/>
      <c r="CJ323" s="25"/>
      <c r="CK323" s="25"/>
      <c r="CL323" s="25"/>
      <c r="CM323" s="25"/>
      <c r="CN323" s="25"/>
      <c r="CO323" s="25"/>
      <c r="CP323" s="25"/>
      <c r="CQ323" s="25"/>
      <c r="CR323" s="25"/>
      <c r="CS323" s="25"/>
    </row>
    <row r="324" spans="2:97">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c r="AV324" s="25"/>
      <c r="AW324" s="25"/>
      <c r="AX324" s="25"/>
      <c r="AY324" s="25"/>
      <c r="AZ324" s="25"/>
      <c r="BA324" s="25"/>
      <c r="BB324" s="25"/>
      <c r="BC324" s="25"/>
      <c r="BD324" s="25"/>
      <c r="BE324" s="25"/>
      <c r="BF324" s="25"/>
      <c r="BG324" s="25"/>
      <c r="BH324" s="25"/>
      <c r="BI324" s="25"/>
      <c r="BJ324" s="25"/>
      <c r="BK324" s="25"/>
      <c r="BL324" s="25"/>
      <c r="BM324" s="25"/>
      <c r="BN324" s="25"/>
      <c r="BO324" s="25"/>
      <c r="BP324" s="25"/>
      <c r="BQ324" s="25"/>
      <c r="BR324" s="25"/>
      <c r="BS324" s="25"/>
      <c r="BT324" s="25"/>
      <c r="BU324" s="25"/>
      <c r="BV324" s="25"/>
      <c r="BW324" s="25"/>
      <c r="BX324" s="25"/>
      <c r="BY324" s="25"/>
      <c r="BZ324" s="25"/>
      <c r="CA324" s="25"/>
      <c r="CB324" s="25"/>
      <c r="CC324" s="25"/>
      <c r="CD324" s="25"/>
      <c r="CE324" s="25"/>
      <c r="CF324" s="25"/>
      <c r="CG324" s="25"/>
      <c r="CH324" s="25"/>
      <c r="CI324" s="25"/>
      <c r="CJ324" s="25"/>
      <c r="CK324" s="25"/>
      <c r="CL324" s="25"/>
      <c r="CM324" s="25"/>
      <c r="CN324" s="25"/>
      <c r="CO324" s="25"/>
      <c r="CP324" s="25"/>
      <c r="CQ324" s="25"/>
      <c r="CR324" s="25"/>
      <c r="CS324" s="25"/>
    </row>
    <row r="325" spans="2:97">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c r="AV325" s="25"/>
      <c r="AW325" s="25"/>
      <c r="AX325" s="25"/>
      <c r="AY325" s="25"/>
      <c r="AZ325" s="25"/>
      <c r="BA325" s="25"/>
      <c r="BB325" s="25"/>
      <c r="BC325" s="25"/>
      <c r="BD325" s="25"/>
      <c r="BE325" s="25"/>
      <c r="BF325" s="25"/>
      <c r="BG325" s="25"/>
      <c r="BH325" s="25"/>
      <c r="BI325" s="25"/>
      <c r="BJ325" s="25"/>
      <c r="BK325" s="25"/>
      <c r="BL325" s="25"/>
      <c r="BM325" s="25"/>
      <c r="BN325" s="25"/>
      <c r="BO325" s="25"/>
      <c r="BP325" s="25"/>
      <c r="BQ325" s="25"/>
      <c r="BR325" s="25"/>
      <c r="BS325" s="25"/>
      <c r="BT325" s="25"/>
      <c r="BU325" s="25"/>
      <c r="BV325" s="25"/>
      <c r="BW325" s="25"/>
      <c r="BX325" s="25"/>
      <c r="BY325" s="25"/>
      <c r="BZ325" s="25"/>
      <c r="CA325" s="25"/>
      <c r="CB325" s="25"/>
      <c r="CC325" s="25"/>
      <c r="CD325" s="25"/>
      <c r="CE325" s="25"/>
      <c r="CF325" s="25"/>
      <c r="CG325" s="25"/>
      <c r="CH325" s="25"/>
      <c r="CI325" s="25"/>
      <c r="CJ325" s="25"/>
      <c r="CK325" s="25"/>
      <c r="CL325" s="25"/>
      <c r="CM325" s="25"/>
      <c r="CN325" s="25"/>
      <c r="CO325" s="25"/>
      <c r="CP325" s="25"/>
      <c r="CQ325" s="25"/>
      <c r="CR325" s="25"/>
      <c r="CS325" s="25"/>
    </row>
    <row r="326" spans="2:97">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c r="AV326" s="25"/>
      <c r="AW326" s="25"/>
      <c r="AX326" s="25"/>
      <c r="AY326" s="25"/>
      <c r="AZ326" s="25"/>
      <c r="BA326" s="25"/>
      <c r="BB326" s="25"/>
      <c r="BC326" s="25"/>
      <c r="BD326" s="25"/>
      <c r="BE326" s="25"/>
      <c r="BF326" s="25"/>
      <c r="BG326" s="25"/>
      <c r="BH326" s="25"/>
      <c r="BI326" s="25"/>
      <c r="BJ326" s="25"/>
      <c r="BK326" s="25"/>
      <c r="BL326" s="25"/>
      <c r="BM326" s="25"/>
      <c r="BN326" s="25"/>
      <c r="BO326" s="25"/>
      <c r="BP326" s="25"/>
      <c r="BQ326" s="25"/>
      <c r="BR326" s="25"/>
      <c r="BS326" s="25"/>
      <c r="BT326" s="25"/>
      <c r="BU326" s="25"/>
      <c r="BV326" s="25"/>
      <c r="BW326" s="25"/>
      <c r="BX326" s="25"/>
      <c r="BY326" s="25"/>
      <c r="BZ326" s="25"/>
      <c r="CA326" s="25"/>
      <c r="CB326" s="25"/>
      <c r="CC326" s="25"/>
      <c r="CD326" s="25"/>
      <c r="CE326" s="25"/>
      <c r="CF326" s="25"/>
      <c r="CG326" s="25"/>
      <c r="CH326" s="25"/>
      <c r="CI326" s="25"/>
      <c r="CJ326" s="25"/>
      <c r="CK326" s="25"/>
      <c r="CL326" s="25"/>
      <c r="CM326" s="25"/>
      <c r="CN326" s="25"/>
      <c r="CO326" s="25"/>
      <c r="CP326" s="25"/>
      <c r="CQ326" s="25"/>
      <c r="CR326" s="25"/>
      <c r="CS326" s="25"/>
    </row>
    <row r="327" spans="2:97">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c r="AV327" s="25"/>
      <c r="AW327" s="25"/>
      <c r="AX327" s="25"/>
      <c r="AY327" s="25"/>
      <c r="AZ327" s="25"/>
      <c r="BA327" s="25"/>
      <c r="BB327" s="25"/>
      <c r="BC327" s="25"/>
      <c r="BD327" s="25"/>
      <c r="BE327" s="25"/>
      <c r="BF327" s="25"/>
      <c r="BG327" s="25"/>
      <c r="BH327" s="25"/>
      <c r="BI327" s="25"/>
      <c r="BJ327" s="25"/>
      <c r="BK327" s="25"/>
      <c r="BL327" s="25"/>
      <c r="BM327" s="25"/>
      <c r="BN327" s="25"/>
      <c r="BO327" s="25"/>
      <c r="BP327" s="25"/>
      <c r="BQ327" s="25"/>
      <c r="BR327" s="25"/>
      <c r="BS327" s="25"/>
      <c r="BT327" s="25"/>
      <c r="BU327" s="25"/>
      <c r="BV327" s="25"/>
      <c r="BW327" s="25"/>
      <c r="BX327" s="25"/>
      <c r="BY327" s="25"/>
      <c r="BZ327" s="25"/>
      <c r="CA327" s="25"/>
      <c r="CB327" s="25"/>
      <c r="CC327" s="25"/>
      <c r="CD327" s="25"/>
      <c r="CE327" s="25"/>
      <c r="CF327" s="25"/>
      <c r="CG327" s="25"/>
      <c r="CH327" s="25"/>
      <c r="CI327" s="25"/>
      <c r="CJ327" s="25"/>
      <c r="CK327" s="25"/>
      <c r="CL327" s="25"/>
      <c r="CM327" s="25"/>
      <c r="CN327" s="25"/>
      <c r="CO327" s="25"/>
      <c r="CP327" s="25"/>
      <c r="CQ327" s="25"/>
      <c r="CR327" s="25"/>
      <c r="CS327" s="25"/>
    </row>
    <row r="328" spans="2:97">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c r="AV328" s="25"/>
      <c r="AW328" s="25"/>
      <c r="AX328" s="25"/>
      <c r="AY328" s="25"/>
      <c r="AZ328" s="25"/>
      <c r="BA328" s="25"/>
      <c r="BB328" s="25"/>
      <c r="BC328" s="25"/>
      <c r="BD328" s="25"/>
      <c r="BE328" s="25"/>
      <c r="BF328" s="25"/>
      <c r="BG328" s="25"/>
      <c r="BH328" s="25"/>
      <c r="BI328" s="25"/>
      <c r="BJ328" s="25"/>
      <c r="BK328" s="25"/>
      <c r="BL328" s="25"/>
      <c r="BM328" s="25"/>
      <c r="BN328" s="25"/>
      <c r="BO328" s="25"/>
      <c r="BP328" s="25"/>
      <c r="BQ328" s="25"/>
      <c r="BR328" s="25"/>
      <c r="BS328" s="25"/>
      <c r="BT328" s="25"/>
      <c r="BU328" s="25"/>
      <c r="BV328" s="25"/>
      <c r="BW328" s="25"/>
      <c r="BX328" s="25"/>
      <c r="BY328" s="25"/>
      <c r="BZ328" s="25"/>
      <c r="CA328" s="25"/>
      <c r="CB328" s="25"/>
      <c r="CC328" s="25"/>
      <c r="CD328" s="25"/>
      <c r="CE328" s="25"/>
      <c r="CF328" s="25"/>
      <c r="CG328" s="25"/>
      <c r="CH328" s="25"/>
      <c r="CI328" s="25"/>
      <c r="CJ328" s="25"/>
      <c r="CK328" s="25"/>
      <c r="CL328" s="25"/>
      <c r="CM328" s="25"/>
      <c r="CN328" s="25"/>
      <c r="CO328" s="25"/>
      <c r="CP328" s="25"/>
      <c r="CQ328" s="25"/>
      <c r="CR328" s="25"/>
      <c r="CS328" s="25"/>
    </row>
    <row r="329" spans="2:97">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c r="AV329" s="25"/>
      <c r="AW329" s="25"/>
      <c r="AX329" s="25"/>
      <c r="AY329" s="25"/>
      <c r="AZ329" s="25"/>
      <c r="BA329" s="25"/>
      <c r="BB329" s="25"/>
      <c r="BC329" s="25"/>
      <c r="BD329" s="25"/>
      <c r="BE329" s="25"/>
      <c r="BF329" s="25"/>
      <c r="BG329" s="25"/>
      <c r="BH329" s="25"/>
      <c r="BI329" s="25"/>
      <c r="BJ329" s="25"/>
      <c r="BK329" s="25"/>
      <c r="BL329" s="25"/>
      <c r="BM329" s="25"/>
      <c r="BN329" s="25"/>
      <c r="BO329" s="25"/>
      <c r="BP329" s="25"/>
      <c r="BQ329" s="25"/>
      <c r="BR329" s="25"/>
      <c r="BS329" s="25"/>
      <c r="BT329" s="25"/>
      <c r="BU329" s="25"/>
      <c r="BV329" s="25"/>
      <c r="BW329" s="25"/>
      <c r="BX329" s="25"/>
      <c r="BY329" s="25"/>
      <c r="BZ329" s="25"/>
      <c r="CA329" s="25"/>
      <c r="CB329" s="25"/>
      <c r="CC329" s="25"/>
      <c r="CD329" s="25"/>
      <c r="CE329" s="25"/>
      <c r="CF329" s="25"/>
      <c r="CG329" s="25"/>
      <c r="CH329" s="25"/>
      <c r="CI329" s="25"/>
      <c r="CJ329" s="25"/>
      <c r="CK329" s="25"/>
      <c r="CL329" s="25"/>
      <c r="CM329" s="25"/>
      <c r="CN329" s="25"/>
      <c r="CO329" s="25"/>
      <c r="CP329" s="25"/>
      <c r="CQ329" s="25"/>
      <c r="CR329" s="25"/>
      <c r="CS329" s="25"/>
    </row>
    <row r="330" spans="2:97">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c r="AV330" s="25"/>
      <c r="AW330" s="25"/>
      <c r="AX330" s="25"/>
      <c r="AY330" s="25"/>
      <c r="AZ330" s="25"/>
      <c r="BA330" s="25"/>
      <c r="BB330" s="25"/>
      <c r="BC330" s="25"/>
      <c r="BD330" s="25"/>
      <c r="BE330" s="25"/>
      <c r="BF330" s="25"/>
      <c r="BG330" s="25"/>
      <c r="BH330" s="25"/>
      <c r="BI330" s="25"/>
      <c r="BJ330" s="25"/>
      <c r="BK330" s="25"/>
      <c r="BL330" s="25"/>
      <c r="BM330" s="25"/>
      <c r="BN330" s="25"/>
      <c r="BO330" s="25"/>
      <c r="BP330" s="25"/>
      <c r="BQ330" s="25"/>
      <c r="BR330" s="25"/>
      <c r="BS330" s="25"/>
      <c r="BT330" s="25"/>
      <c r="BU330" s="25"/>
      <c r="BV330" s="25"/>
      <c r="BW330" s="25"/>
      <c r="BX330" s="25"/>
      <c r="BY330" s="25"/>
      <c r="BZ330" s="25"/>
      <c r="CA330" s="25"/>
      <c r="CB330" s="25"/>
      <c r="CC330" s="25"/>
      <c r="CD330" s="25"/>
      <c r="CE330" s="25"/>
      <c r="CF330" s="25"/>
      <c r="CG330" s="25"/>
      <c r="CH330" s="25"/>
      <c r="CI330" s="25"/>
      <c r="CJ330" s="25"/>
      <c r="CK330" s="25"/>
      <c r="CL330" s="25"/>
      <c r="CM330" s="25"/>
      <c r="CN330" s="25"/>
      <c r="CO330" s="25"/>
      <c r="CP330" s="25"/>
      <c r="CQ330" s="25"/>
      <c r="CR330" s="25"/>
      <c r="CS330" s="25"/>
    </row>
    <row r="331" spans="2:97">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c r="AV331" s="25"/>
      <c r="AW331" s="25"/>
      <c r="AX331" s="25"/>
      <c r="AY331" s="25"/>
      <c r="AZ331" s="25"/>
      <c r="BA331" s="25"/>
      <c r="BB331" s="25"/>
      <c r="BC331" s="25"/>
      <c r="BD331" s="25"/>
      <c r="BE331" s="25"/>
      <c r="BF331" s="25"/>
      <c r="BG331" s="25"/>
      <c r="BH331" s="25"/>
      <c r="BI331" s="25"/>
      <c r="BJ331" s="25"/>
      <c r="BK331" s="25"/>
      <c r="BL331" s="25"/>
      <c r="BM331" s="25"/>
      <c r="BN331" s="25"/>
      <c r="BO331" s="25"/>
      <c r="BP331" s="25"/>
      <c r="BQ331" s="25"/>
      <c r="BR331" s="25"/>
      <c r="BS331" s="25"/>
      <c r="BT331" s="25"/>
      <c r="BU331" s="25"/>
      <c r="BV331" s="25"/>
      <c r="BW331" s="25"/>
      <c r="BX331" s="25"/>
      <c r="BY331" s="25"/>
      <c r="BZ331" s="25"/>
      <c r="CA331" s="25"/>
      <c r="CB331" s="25"/>
      <c r="CC331" s="25"/>
      <c r="CD331" s="25"/>
      <c r="CE331" s="25"/>
      <c r="CF331" s="25"/>
      <c r="CG331" s="25"/>
      <c r="CH331" s="25"/>
      <c r="CI331" s="25"/>
      <c r="CJ331" s="25"/>
      <c r="CK331" s="25"/>
      <c r="CL331" s="25"/>
      <c r="CM331" s="25"/>
      <c r="CN331" s="25"/>
      <c r="CO331" s="25"/>
      <c r="CP331" s="25"/>
      <c r="CQ331" s="25"/>
      <c r="CR331" s="25"/>
      <c r="CS331" s="25"/>
    </row>
    <row r="332" spans="2:97">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c r="AV332" s="25"/>
      <c r="AW332" s="25"/>
      <c r="AX332" s="25"/>
      <c r="AY332" s="25"/>
      <c r="AZ332" s="25"/>
      <c r="BA332" s="25"/>
      <c r="BB332" s="25"/>
      <c r="BC332" s="25"/>
      <c r="BD332" s="25"/>
      <c r="BE332" s="25"/>
      <c r="BF332" s="25"/>
      <c r="BG332" s="25"/>
      <c r="BH332" s="25"/>
      <c r="BI332" s="25"/>
      <c r="BJ332" s="25"/>
      <c r="BK332" s="25"/>
      <c r="BL332" s="25"/>
      <c r="BM332" s="25"/>
      <c r="BN332" s="25"/>
      <c r="BO332" s="25"/>
      <c r="BP332" s="25"/>
      <c r="BQ332" s="25"/>
      <c r="BR332" s="25"/>
      <c r="BS332" s="25"/>
      <c r="BT332" s="25"/>
      <c r="BU332" s="25"/>
      <c r="BV332" s="25"/>
      <c r="BW332" s="25"/>
      <c r="BX332" s="25"/>
      <c r="BY332" s="25"/>
      <c r="BZ332" s="25"/>
      <c r="CA332" s="25"/>
      <c r="CB332" s="25"/>
      <c r="CC332" s="25"/>
      <c r="CD332" s="25"/>
      <c r="CE332" s="25"/>
      <c r="CF332" s="25"/>
      <c r="CG332" s="25"/>
      <c r="CH332" s="25"/>
      <c r="CI332" s="25"/>
      <c r="CJ332" s="25"/>
      <c r="CK332" s="25"/>
      <c r="CL332" s="25"/>
      <c r="CM332" s="25"/>
      <c r="CN332" s="25"/>
      <c r="CO332" s="25"/>
      <c r="CP332" s="25"/>
      <c r="CQ332" s="25"/>
      <c r="CR332" s="25"/>
      <c r="CS332" s="25"/>
    </row>
    <row r="333" spans="2:97">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c r="AV333" s="25"/>
      <c r="AW333" s="25"/>
      <c r="AX333" s="25"/>
      <c r="AY333" s="25"/>
      <c r="AZ333" s="25"/>
      <c r="BA333" s="25"/>
      <c r="BB333" s="25"/>
      <c r="BC333" s="25"/>
      <c r="BD333" s="25"/>
      <c r="BE333" s="25"/>
      <c r="BF333" s="25"/>
      <c r="BG333" s="25"/>
      <c r="BH333" s="25"/>
      <c r="BI333" s="25"/>
      <c r="BJ333" s="25"/>
      <c r="BK333" s="25"/>
      <c r="BL333" s="25"/>
      <c r="BM333" s="25"/>
      <c r="BN333" s="25"/>
      <c r="BO333" s="25"/>
      <c r="BP333" s="25"/>
      <c r="BQ333" s="25"/>
      <c r="BR333" s="25"/>
      <c r="BS333" s="25"/>
      <c r="BT333" s="25"/>
      <c r="BU333" s="25"/>
      <c r="BV333" s="25"/>
      <c r="BW333" s="25"/>
      <c r="BX333" s="25"/>
      <c r="BY333" s="25"/>
      <c r="BZ333" s="25"/>
      <c r="CA333" s="25"/>
      <c r="CB333" s="25"/>
      <c r="CC333" s="25"/>
      <c r="CD333" s="25"/>
      <c r="CE333" s="25"/>
      <c r="CF333" s="25"/>
      <c r="CG333" s="25"/>
      <c r="CH333" s="25"/>
      <c r="CI333" s="25"/>
      <c r="CJ333" s="25"/>
      <c r="CK333" s="25"/>
      <c r="CL333" s="25"/>
      <c r="CM333" s="25"/>
      <c r="CN333" s="25"/>
      <c r="CO333" s="25"/>
      <c r="CP333" s="25"/>
      <c r="CQ333" s="25"/>
      <c r="CR333" s="25"/>
      <c r="CS333" s="25"/>
    </row>
    <row r="334" spans="2:97">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c r="AV334" s="25"/>
      <c r="AW334" s="25"/>
      <c r="AX334" s="25"/>
      <c r="AY334" s="25"/>
      <c r="AZ334" s="25"/>
      <c r="BA334" s="25"/>
      <c r="BB334" s="25"/>
      <c r="BC334" s="25"/>
      <c r="BD334" s="25"/>
      <c r="BE334" s="25"/>
      <c r="BF334" s="25"/>
      <c r="BG334" s="25"/>
      <c r="BH334" s="25"/>
      <c r="BI334" s="25"/>
      <c r="BJ334" s="25"/>
      <c r="BK334" s="25"/>
      <c r="BL334" s="25"/>
      <c r="BM334" s="25"/>
      <c r="BN334" s="25"/>
      <c r="BO334" s="25"/>
      <c r="BP334" s="25"/>
      <c r="BQ334" s="25"/>
      <c r="BR334" s="25"/>
      <c r="BS334" s="25"/>
      <c r="BT334" s="25"/>
      <c r="BU334" s="25"/>
      <c r="BV334" s="25"/>
      <c r="BW334" s="25"/>
      <c r="BX334" s="25"/>
      <c r="BY334" s="25"/>
      <c r="BZ334" s="25"/>
      <c r="CA334" s="25"/>
      <c r="CB334" s="25"/>
      <c r="CC334" s="25"/>
      <c r="CD334" s="25"/>
      <c r="CE334" s="25"/>
      <c r="CF334" s="25"/>
      <c r="CG334" s="25"/>
      <c r="CH334" s="25"/>
      <c r="CI334" s="25"/>
      <c r="CJ334" s="25"/>
      <c r="CK334" s="25"/>
      <c r="CL334" s="25"/>
      <c r="CM334" s="25"/>
      <c r="CN334" s="25"/>
      <c r="CO334" s="25"/>
      <c r="CP334" s="25"/>
      <c r="CQ334" s="25"/>
      <c r="CR334" s="25"/>
      <c r="CS334" s="25"/>
    </row>
    <row r="335" spans="2:97">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c r="AV335" s="25"/>
      <c r="AW335" s="25"/>
      <c r="AX335" s="25"/>
      <c r="AY335" s="25"/>
      <c r="AZ335" s="25"/>
      <c r="BA335" s="25"/>
      <c r="BB335" s="25"/>
      <c r="BC335" s="25"/>
      <c r="BD335" s="25"/>
      <c r="BE335" s="25"/>
      <c r="BF335" s="25"/>
      <c r="BG335" s="25"/>
      <c r="BH335" s="25"/>
      <c r="BI335" s="25"/>
      <c r="BJ335" s="25"/>
      <c r="BK335" s="25"/>
      <c r="BL335" s="25"/>
      <c r="BM335" s="25"/>
      <c r="BN335" s="25"/>
      <c r="BO335" s="25"/>
      <c r="BP335" s="25"/>
      <c r="BQ335" s="25"/>
      <c r="BR335" s="25"/>
      <c r="BS335" s="25"/>
      <c r="BT335" s="25"/>
      <c r="BU335" s="25"/>
      <c r="BV335" s="25"/>
      <c r="BW335" s="25"/>
      <c r="BX335" s="25"/>
      <c r="BY335" s="25"/>
      <c r="BZ335" s="25"/>
      <c r="CA335" s="25"/>
      <c r="CB335" s="25"/>
      <c r="CC335" s="25"/>
      <c r="CD335" s="25"/>
      <c r="CE335" s="25"/>
      <c r="CF335" s="25"/>
      <c r="CG335" s="25"/>
      <c r="CH335" s="25"/>
      <c r="CI335" s="25"/>
      <c r="CJ335" s="25"/>
      <c r="CK335" s="25"/>
      <c r="CL335" s="25"/>
      <c r="CM335" s="25"/>
      <c r="CN335" s="25"/>
      <c r="CO335" s="25"/>
      <c r="CP335" s="25"/>
      <c r="CQ335" s="25"/>
      <c r="CR335" s="25"/>
      <c r="CS335" s="25"/>
    </row>
    <row r="336" spans="2:97">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c r="AV336" s="25"/>
      <c r="AW336" s="25"/>
      <c r="AX336" s="25"/>
      <c r="AY336" s="25"/>
      <c r="AZ336" s="25"/>
      <c r="BA336" s="25"/>
      <c r="BB336" s="25"/>
      <c r="BC336" s="25"/>
      <c r="BD336" s="25"/>
      <c r="BE336" s="25"/>
      <c r="BF336" s="25"/>
      <c r="BG336" s="25"/>
      <c r="BH336" s="25"/>
      <c r="BI336" s="25"/>
      <c r="BJ336" s="25"/>
      <c r="BK336" s="25"/>
      <c r="BL336" s="25"/>
      <c r="BM336" s="25"/>
      <c r="BN336" s="25"/>
      <c r="BO336" s="25"/>
      <c r="BP336" s="25"/>
      <c r="BQ336" s="25"/>
      <c r="BR336" s="25"/>
      <c r="BS336" s="25"/>
      <c r="BT336" s="25"/>
      <c r="BU336" s="25"/>
      <c r="BV336" s="25"/>
      <c r="BW336" s="25"/>
      <c r="BX336" s="25"/>
      <c r="BY336" s="25"/>
      <c r="BZ336" s="25"/>
      <c r="CA336" s="25"/>
      <c r="CB336" s="25"/>
      <c r="CC336" s="25"/>
      <c r="CD336" s="25"/>
      <c r="CE336" s="25"/>
      <c r="CF336" s="25"/>
      <c r="CG336" s="25"/>
      <c r="CH336" s="25"/>
      <c r="CI336" s="25"/>
      <c r="CJ336" s="25"/>
      <c r="CK336" s="25"/>
      <c r="CL336" s="25"/>
      <c r="CM336" s="25"/>
      <c r="CN336" s="25"/>
      <c r="CO336" s="25"/>
      <c r="CP336" s="25"/>
      <c r="CQ336" s="25"/>
      <c r="CR336" s="25"/>
      <c r="CS336" s="25"/>
    </row>
    <row r="337" spans="2:97">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c r="AV337" s="25"/>
      <c r="AW337" s="25"/>
      <c r="AX337" s="25"/>
      <c r="AY337" s="25"/>
      <c r="AZ337" s="25"/>
      <c r="BA337" s="25"/>
      <c r="BB337" s="25"/>
      <c r="BC337" s="25"/>
      <c r="BD337" s="25"/>
      <c r="BE337" s="25"/>
      <c r="BF337" s="25"/>
      <c r="BG337" s="25"/>
      <c r="BH337" s="25"/>
      <c r="BI337" s="25"/>
      <c r="BJ337" s="25"/>
      <c r="BK337" s="25"/>
      <c r="BL337" s="25"/>
      <c r="BM337" s="25"/>
      <c r="BN337" s="25"/>
      <c r="BO337" s="25"/>
      <c r="BP337" s="25"/>
      <c r="BQ337" s="25"/>
      <c r="BR337" s="25"/>
      <c r="BS337" s="25"/>
      <c r="BT337" s="25"/>
      <c r="BU337" s="25"/>
      <c r="BV337" s="25"/>
      <c r="BW337" s="25"/>
      <c r="BX337" s="25"/>
      <c r="BY337" s="25"/>
      <c r="BZ337" s="25"/>
      <c r="CA337" s="25"/>
      <c r="CB337" s="25"/>
      <c r="CC337" s="25"/>
      <c r="CD337" s="25"/>
      <c r="CE337" s="25"/>
      <c r="CF337" s="25"/>
      <c r="CG337" s="25"/>
      <c r="CH337" s="25"/>
      <c r="CI337" s="25"/>
      <c r="CJ337" s="25"/>
      <c r="CK337" s="25"/>
      <c r="CL337" s="25"/>
      <c r="CM337" s="25"/>
      <c r="CN337" s="25"/>
      <c r="CO337" s="25"/>
      <c r="CP337" s="25"/>
      <c r="CQ337" s="25"/>
      <c r="CR337" s="25"/>
      <c r="CS337" s="25"/>
    </row>
    <row r="338" spans="2:97">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c r="AV338" s="25"/>
      <c r="AW338" s="25"/>
      <c r="AX338" s="25"/>
      <c r="AY338" s="25"/>
      <c r="AZ338" s="25"/>
      <c r="BA338" s="25"/>
      <c r="BB338" s="25"/>
      <c r="BC338" s="25"/>
      <c r="BD338" s="25"/>
      <c r="BE338" s="25"/>
      <c r="BF338" s="25"/>
      <c r="BG338" s="25"/>
      <c r="BH338" s="25"/>
      <c r="BI338" s="25"/>
      <c r="BJ338" s="25"/>
      <c r="BK338" s="25"/>
      <c r="BL338" s="25"/>
      <c r="BM338" s="25"/>
      <c r="BN338" s="25"/>
      <c r="BO338" s="25"/>
      <c r="BP338" s="25"/>
      <c r="BQ338" s="25"/>
      <c r="BR338" s="25"/>
      <c r="BS338" s="25"/>
      <c r="BT338" s="25"/>
      <c r="BU338" s="25"/>
      <c r="BV338" s="25"/>
      <c r="BW338" s="25"/>
      <c r="BX338" s="25"/>
      <c r="BY338" s="25"/>
      <c r="BZ338" s="25"/>
      <c r="CA338" s="25"/>
      <c r="CB338" s="25"/>
      <c r="CC338" s="25"/>
      <c r="CD338" s="25"/>
      <c r="CE338" s="25"/>
      <c r="CF338" s="25"/>
      <c r="CG338" s="25"/>
      <c r="CH338" s="25"/>
      <c r="CI338" s="25"/>
      <c r="CJ338" s="25"/>
      <c r="CK338" s="25"/>
      <c r="CL338" s="25"/>
      <c r="CM338" s="25"/>
      <c r="CN338" s="25"/>
      <c r="CO338" s="25"/>
      <c r="CP338" s="25"/>
      <c r="CQ338" s="25"/>
      <c r="CR338" s="25"/>
      <c r="CS338" s="25"/>
    </row>
    <row r="339" spans="2:97">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c r="AV339" s="25"/>
      <c r="AW339" s="25"/>
      <c r="AX339" s="25"/>
      <c r="AY339" s="25"/>
      <c r="AZ339" s="25"/>
      <c r="BA339" s="25"/>
      <c r="BB339" s="25"/>
      <c r="BC339" s="25"/>
      <c r="BD339" s="25"/>
      <c r="BE339" s="25"/>
      <c r="BF339" s="25"/>
      <c r="BG339" s="25"/>
      <c r="BH339" s="25"/>
      <c r="BI339" s="25"/>
      <c r="BJ339" s="25"/>
      <c r="BK339" s="25"/>
      <c r="BL339" s="25"/>
      <c r="BM339" s="25"/>
      <c r="BN339" s="25"/>
      <c r="BO339" s="25"/>
      <c r="BP339" s="25"/>
      <c r="BQ339" s="25"/>
      <c r="BR339" s="25"/>
      <c r="BS339" s="25"/>
      <c r="BT339" s="25"/>
      <c r="BU339" s="25"/>
      <c r="BV339" s="25"/>
      <c r="BW339" s="25"/>
      <c r="BX339" s="25"/>
      <c r="BY339" s="25"/>
      <c r="BZ339" s="25"/>
      <c r="CA339" s="25"/>
      <c r="CB339" s="25"/>
      <c r="CC339" s="25"/>
      <c r="CD339" s="25"/>
      <c r="CE339" s="25"/>
      <c r="CF339" s="25"/>
      <c r="CG339" s="25"/>
      <c r="CH339" s="25"/>
      <c r="CI339" s="25"/>
      <c r="CJ339" s="25"/>
      <c r="CK339" s="25"/>
      <c r="CL339" s="25"/>
      <c r="CM339" s="25"/>
      <c r="CN339" s="25"/>
      <c r="CO339" s="25"/>
      <c r="CP339" s="25"/>
      <c r="CQ339" s="25"/>
      <c r="CR339" s="25"/>
      <c r="CS339" s="25"/>
    </row>
    <row r="340" spans="2:97">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c r="AV340" s="25"/>
      <c r="AW340" s="25"/>
      <c r="AX340" s="25"/>
      <c r="AY340" s="25"/>
      <c r="AZ340" s="25"/>
      <c r="BA340" s="25"/>
      <c r="BB340" s="25"/>
      <c r="BC340" s="25"/>
      <c r="BD340" s="25"/>
      <c r="BE340" s="25"/>
      <c r="BF340" s="25"/>
      <c r="BG340" s="25"/>
      <c r="BH340" s="25"/>
      <c r="BI340" s="25"/>
      <c r="BJ340" s="25"/>
      <c r="BK340" s="25"/>
      <c r="BL340" s="25"/>
      <c r="BM340" s="25"/>
      <c r="BN340" s="25"/>
      <c r="BO340" s="25"/>
      <c r="BP340" s="25"/>
      <c r="BQ340" s="25"/>
      <c r="BR340" s="25"/>
      <c r="BS340" s="25"/>
      <c r="BT340" s="25"/>
      <c r="BU340" s="25"/>
      <c r="BV340" s="25"/>
      <c r="BW340" s="25"/>
      <c r="BX340" s="25"/>
      <c r="BY340" s="25"/>
      <c r="BZ340" s="25"/>
      <c r="CA340" s="25"/>
      <c r="CB340" s="25"/>
      <c r="CC340" s="25"/>
      <c r="CD340" s="25"/>
      <c r="CE340" s="25"/>
      <c r="CF340" s="25"/>
      <c r="CG340" s="25"/>
      <c r="CH340" s="25"/>
      <c r="CI340" s="25"/>
      <c r="CJ340" s="25"/>
      <c r="CK340" s="25"/>
      <c r="CL340" s="25"/>
      <c r="CM340" s="25"/>
      <c r="CN340" s="25"/>
      <c r="CO340" s="25"/>
      <c r="CP340" s="25"/>
      <c r="CQ340" s="25"/>
      <c r="CR340" s="25"/>
      <c r="CS340" s="25"/>
    </row>
    <row r="341" spans="2:97">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c r="AV341" s="25"/>
      <c r="AW341" s="25"/>
      <c r="AX341" s="25"/>
      <c r="AY341" s="25"/>
      <c r="AZ341" s="25"/>
      <c r="BA341" s="25"/>
      <c r="BB341" s="25"/>
      <c r="BC341" s="25"/>
      <c r="BD341" s="25"/>
      <c r="BE341" s="25"/>
      <c r="BF341" s="25"/>
      <c r="BG341" s="25"/>
      <c r="BH341" s="25"/>
      <c r="BI341" s="25"/>
      <c r="BJ341" s="25"/>
      <c r="BK341" s="25"/>
      <c r="BL341" s="25"/>
      <c r="BM341" s="25"/>
      <c r="BN341" s="25"/>
      <c r="BO341" s="25"/>
      <c r="BP341" s="25"/>
      <c r="BQ341" s="25"/>
      <c r="BR341" s="25"/>
      <c r="BS341" s="25"/>
      <c r="BT341" s="25"/>
      <c r="BU341" s="25"/>
      <c r="BV341" s="25"/>
      <c r="BW341" s="25"/>
      <c r="BX341" s="25"/>
      <c r="BY341" s="25"/>
      <c r="BZ341" s="25"/>
      <c r="CA341" s="25"/>
      <c r="CB341" s="25"/>
      <c r="CC341" s="25"/>
      <c r="CD341" s="25"/>
      <c r="CE341" s="25"/>
      <c r="CF341" s="25"/>
      <c r="CG341" s="25"/>
      <c r="CH341" s="25"/>
      <c r="CI341" s="25"/>
      <c r="CJ341" s="25"/>
      <c r="CK341" s="25"/>
      <c r="CL341" s="25"/>
      <c r="CM341" s="25"/>
      <c r="CN341" s="25"/>
      <c r="CO341" s="25"/>
      <c r="CP341" s="25"/>
      <c r="CQ341" s="25"/>
      <c r="CR341" s="25"/>
      <c r="CS341" s="25"/>
    </row>
    <row r="342" spans="2:97">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c r="AV342" s="25"/>
      <c r="AW342" s="25"/>
      <c r="AX342" s="25"/>
      <c r="AY342" s="25"/>
      <c r="AZ342" s="25"/>
      <c r="BA342" s="25"/>
      <c r="BB342" s="25"/>
      <c r="BC342" s="25"/>
      <c r="BD342" s="25"/>
      <c r="BE342" s="25"/>
      <c r="BF342" s="25"/>
      <c r="BG342" s="25"/>
      <c r="BH342" s="25"/>
      <c r="BI342" s="25"/>
      <c r="BJ342" s="25"/>
      <c r="BK342" s="25"/>
      <c r="BL342" s="25"/>
      <c r="BM342" s="25"/>
      <c r="BN342" s="25"/>
      <c r="BO342" s="25"/>
      <c r="BP342" s="25"/>
      <c r="BQ342" s="25"/>
      <c r="BR342" s="25"/>
      <c r="BS342" s="25"/>
      <c r="BT342" s="25"/>
      <c r="BU342" s="25"/>
      <c r="BV342" s="25"/>
      <c r="BW342" s="25"/>
      <c r="BX342" s="25"/>
      <c r="BY342" s="25"/>
      <c r="BZ342" s="25"/>
      <c r="CA342" s="25"/>
      <c r="CB342" s="25"/>
      <c r="CC342" s="25"/>
      <c r="CD342" s="25"/>
      <c r="CE342" s="25"/>
      <c r="CF342" s="25"/>
      <c r="CG342" s="25"/>
      <c r="CH342" s="25"/>
      <c r="CI342" s="25"/>
      <c r="CJ342" s="25"/>
      <c r="CK342" s="25"/>
      <c r="CL342" s="25"/>
      <c r="CM342" s="25"/>
      <c r="CN342" s="25"/>
      <c r="CO342" s="25"/>
      <c r="CP342" s="25"/>
      <c r="CQ342" s="25"/>
      <c r="CR342" s="25"/>
      <c r="CS342" s="25"/>
    </row>
    <row r="343" spans="2:97">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c r="AV343" s="25"/>
      <c r="AW343" s="25"/>
      <c r="AX343" s="25"/>
      <c r="AY343" s="25"/>
      <c r="AZ343" s="25"/>
      <c r="BA343" s="25"/>
      <c r="BB343" s="25"/>
      <c r="BC343" s="25"/>
      <c r="BD343" s="25"/>
      <c r="BE343" s="25"/>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c r="CB343" s="25"/>
      <c r="CC343" s="25"/>
      <c r="CD343" s="25"/>
      <c r="CE343" s="25"/>
      <c r="CF343" s="25"/>
      <c r="CG343" s="25"/>
      <c r="CH343" s="25"/>
      <c r="CI343" s="25"/>
      <c r="CJ343" s="25"/>
      <c r="CK343" s="25"/>
      <c r="CL343" s="25"/>
      <c r="CM343" s="25"/>
      <c r="CN343" s="25"/>
      <c r="CO343" s="25"/>
      <c r="CP343" s="25"/>
      <c r="CQ343" s="25"/>
      <c r="CR343" s="25"/>
      <c r="CS343" s="25"/>
    </row>
    <row r="344" spans="2:97">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c r="AV344" s="25"/>
      <c r="AW344" s="25"/>
      <c r="AX344" s="25"/>
      <c r="AY344" s="25"/>
      <c r="AZ344" s="25"/>
      <c r="BA344" s="25"/>
      <c r="BB344" s="25"/>
      <c r="BC344" s="25"/>
      <c r="BD344" s="25"/>
      <c r="BE344" s="25"/>
      <c r="BF344" s="25"/>
      <c r="BG344" s="25"/>
      <c r="BH344" s="25"/>
      <c r="BI344" s="25"/>
      <c r="BJ344" s="25"/>
      <c r="BK344" s="25"/>
      <c r="BL344" s="25"/>
      <c r="BM344" s="25"/>
      <c r="BN344" s="25"/>
      <c r="BO344" s="25"/>
      <c r="BP344" s="25"/>
      <c r="BQ344" s="25"/>
      <c r="BR344" s="25"/>
      <c r="BS344" s="25"/>
      <c r="BT344" s="25"/>
      <c r="BU344" s="25"/>
      <c r="BV344" s="25"/>
      <c r="BW344" s="25"/>
      <c r="BX344" s="25"/>
      <c r="BY344" s="25"/>
      <c r="BZ344" s="25"/>
      <c r="CA344" s="25"/>
      <c r="CB344" s="25"/>
      <c r="CC344" s="25"/>
      <c r="CD344" s="25"/>
      <c r="CE344" s="25"/>
      <c r="CF344" s="25"/>
      <c r="CG344" s="25"/>
      <c r="CH344" s="25"/>
      <c r="CI344" s="25"/>
      <c r="CJ344" s="25"/>
      <c r="CK344" s="25"/>
      <c r="CL344" s="25"/>
      <c r="CM344" s="25"/>
      <c r="CN344" s="25"/>
      <c r="CO344" s="25"/>
      <c r="CP344" s="25"/>
      <c r="CQ344" s="25"/>
      <c r="CR344" s="25"/>
      <c r="CS344" s="25"/>
    </row>
    <row r="345" spans="2:97">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c r="AV345" s="25"/>
      <c r="AW345" s="25"/>
      <c r="AX345" s="25"/>
      <c r="AY345" s="25"/>
      <c r="AZ345" s="25"/>
      <c r="BA345" s="25"/>
      <c r="BB345" s="25"/>
      <c r="BC345" s="25"/>
      <c r="BD345" s="25"/>
      <c r="BE345" s="25"/>
      <c r="BF345" s="25"/>
      <c r="BG345" s="25"/>
      <c r="BH345" s="25"/>
      <c r="BI345" s="25"/>
      <c r="BJ345" s="25"/>
      <c r="BK345" s="25"/>
      <c r="BL345" s="25"/>
      <c r="BM345" s="25"/>
      <c r="BN345" s="25"/>
      <c r="BO345" s="25"/>
      <c r="BP345" s="25"/>
      <c r="BQ345" s="25"/>
      <c r="BR345" s="25"/>
      <c r="BS345" s="25"/>
      <c r="BT345" s="25"/>
      <c r="BU345" s="25"/>
      <c r="BV345" s="25"/>
      <c r="BW345" s="25"/>
      <c r="BX345" s="25"/>
      <c r="BY345" s="25"/>
      <c r="BZ345" s="25"/>
      <c r="CA345" s="25"/>
      <c r="CB345" s="25"/>
      <c r="CC345" s="25"/>
      <c r="CD345" s="25"/>
      <c r="CE345" s="25"/>
      <c r="CF345" s="25"/>
      <c r="CG345" s="25"/>
      <c r="CH345" s="25"/>
      <c r="CI345" s="25"/>
      <c r="CJ345" s="25"/>
      <c r="CK345" s="25"/>
      <c r="CL345" s="25"/>
      <c r="CM345" s="25"/>
      <c r="CN345" s="25"/>
      <c r="CO345" s="25"/>
      <c r="CP345" s="25"/>
      <c r="CQ345" s="25"/>
      <c r="CR345" s="25"/>
      <c r="CS345" s="25"/>
    </row>
    <row r="346" spans="2:97">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c r="AV346" s="25"/>
      <c r="AW346" s="25"/>
      <c r="AX346" s="25"/>
      <c r="AY346" s="25"/>
      <c r="AZ346" s="25"/>
      <c r="BA346" s="25"/>
      <c r="BB346" s="25"/>
      <c r="BC346" s="25"/>
      <c r="BD346" s="25"/>
      <c r="BE346" s="25"/>
      <c r="BF346" s="25"/>
      <c r="BG346" s="25"/>
      <c r="BH346" s="25"/>
      <c r="BI346" s="25"/>
      <c r="BJ346" s="25"/>
      <c r="BK346" s="25"/>
      <c r="BL346" s="25"/>
      <c r="BM346" s="25"/>
      <c r="BN346" s="25"/>
      <c r="BO346" s="25"/>
      <c r="BP346" s="25"/>
      <c r="BQ346" s="25"/>
      <c r="BR346" s="25"/>
      <c r="BS346" s="25"/>
      <c r="BT346" s="25"/>
      <c r="BU346" s="25"/>
      <c r="BV346" s="25"/>
      <c r="BW346" s="25"/>
      <c r="BX346" s="25"/>
      <c r="BY346" s="25"/>
      <c r="BZ346" s="25"/>
      <c r="CA346" s="25"/>
      <c r="CB346" s="25"/>
      <c r="CC346" s="25"/>
      <c r="CD346" s="25"/>
      <c r="CE346" s="25"/>
      <c r="CF346" s="25"/>
      <c r="CG346" s="25"/>
      <c r="CH346" s="25"/>
      <c r="CI346" s="25"/>
      <c r="CJ346" s="25"/>
      <c r="CK346" s="25"/>
      <c r="CL346" s="25"/>
      <c r="CM346" s="25"/>
      <c r="CN346" s="25"/>
      <c r="CO346" s="25"/>
      <c r="CP346" s="25"/>
      <c r="CQ346" s="25"/>
      <c r="CR346" s="25"/>
      <c r="CS346" s="25"/>
    </row>
    <row r="347" spans="2:97">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c r="AV347" s="25"/>
      <c r="AW347" s="25"/>
      <c r="AX347" s="25"/>
      <c r="AY347" s="25"/>
      <c r="AZ347" s="25"/>
      <c r="BA347" s="25"/>
      <c r="BB347" s="25"/>
      <c r="BC347" s="25"/>
      <c r="BD347" s="25"/>
      <c r="BE347" s="25"/>
      <c r="BF347" s="25"/>
      <c r="BG347" s="25"/>
      <c r="BH347" s="25"/>
      <c r="BI347" s="25"/>
      <c r="BJ347" s="25"/>
      <c r="BK347" s="25"/>
      <c r="BL347" s="25"/>
      <c r="BM347" s="25"/>
      <c r="BN347" s="25"/>
      <c r="BO347" s="25"/>
      <c r="BP347" s="25"/>
      <c r="BQ347" s="25"/>
      <c r="BR347" s="25"/>
      <c r="BS347" s="25"/>
      <c r="BT347" s="25"/>
      <c r="BU347" s="25"/>
      <c r="BV347" s="25"/>
      <c r="BW347" s="25"/>
      <c r="BX347" s="25"/>
      <c r="BY347" s="25"/>
      <c r="BZ347" s="25"/>
      <c r="CA347" s="25"/>
      <c r="CB347" s="25"/>
      <c r="CC347" s="25"/>
      <c r="CD347" s="25"/>
      <c r="CE347" s="25"/>
      <c r="CF347" s="25"/>
      <c r="CG347" s="25"/>
      <c r="CH347" s="25"/>
      <c r="CI347" s="25"/>
      <c r="CJ347" s="25"/>
      <c r="CK347" s="25"/>
      <c r="CL347" s="25"/>
      <c r="CM347" s="25"/>
      <c r="CN347" s="25"/>
      <c r="CO347" s="25"/>
      <c r="CP347" s="25"/>
      <c r="CQ347" s="25"/>
      <c r="CR347" s="25"/>
      <c r="CS347" s="25"/>
    </row>
    <row r="348" spans="2:97">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c r="AV348" s="25"/>
      <c r="AW348" s="25"/>
      <c r="AX348" s="25"/>
      <c r="AY348" s="25"/>
      <c r="AZ348" s="25"/>
      <c r="BA348" s="25"/>
      <c r="BB348" s="25"/>
      <c r="BC348" s="25"/>
      <c r="BD348" s="25"/>
      <c r="BE348" s="25"/>
      <c r="BF348" s="25"/>
      <c r="BG348" s="25"/>
      <c r="BH348" s="25"/>
      <c r="BI348" s="25"/>
      <c r="BJ348" s="25"/>
      <c r="BK348" s="25"/>
      <c r="BL348" s="25"/>
      <c r="BM348" s="25"/>
      <c r="BN348" s="25"/>
      <c r="BO348" s="25"/>
      <c r="BP348" s="25"/>
      <c r="BQ348" s="25"/>
      <c r="BR348" s="25"/>
      <c r="BS348" s="25"/>
      <c r="BT348" s="25"/>
      <c r="BU348" s="25"/>
      <c r="BV348" s="25"/>
      <c r="BW348" s="25"/>
      <c r="BX348" s="25"/>
      <c r="BY348" s="25"/>
      <c r="BZ348" s="25"/>
      <c r="CA348" s="25"/>
      <c r="CB348" s="25"/>
      <c r="CC348" s="25"/>
      <c r="CD348" s="25"/>
      <c r="CE348" s="25"/>
      <c r="CF348" s="25"/>
      <c r="CG348" s="25"/>
      <c r="CH348" s="25"/>
      <c r="CI348" s="25"/>
      <c r="CJ348" s="25"/>
      <c r="CK348" s="25"/>
      <c r="CL348" s="25"/>
      <c r="CM348" s="25"/>
      <c r="CN348" s="25"/>
      <c r="CO348" s="25"/>
      <c r="CP348" s="25"/>
      <c r="CQ348" s="25"/>
      <c r="CR348" s="25"/>
      <c r="CS348" s="25"/>
    </row>
    <row r="349" spans="2:97">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c r="AV349" s="25"/>
      <c r="AW349" s="25"/>
      <c r="AX349" s="25"/>
      <c r="AY349" s="25"/>
      <c r="AZ349" s="25"/>
      <c r="BA349" s="25"/>
      <c r="BB349" s="25"/>
      <c r="BC349" s="25"/>
      <c r="BD349" s="25"/>
      <c r="BE349" s="25"/>
      <c r="BF349" s="25"/>
      <c r="BG349" s="25"/>
      <c r="BH349" s="25"/>
      <c r="BI349" s="25"/>
      <c r="BJ349" s="25"/>
      <c r="BK349" s="25"/>
      <c r="BL349" s="25"/>
      <c r="BM349" s="25"/>
      <c r="BN349" s="25"/>
      <c r="BO349" s="25"/>
      <c r="BP349" s="25"/>
      <c r="BQ349" s="25"/>
      <c r="BR349" s="25"/>
      <c r="BS349" s="25"/>
      <c r="BT349" s="25"/>
      <c r="BU349" s="25"/>
      <c r="BV349" s="25"/>
      <c r="BW349" s="25"/>
      <c r="BX349" s="25"/>
      <c r="BY349" s="25"/>
      <c r="BZ349" s="25"/>
      <c r="CA349" s="25"/>
      <c r="CB349" s="25"/>
      <c r="CC349" s="25"/>
      <c r="CD349" s="25"/>
      <c r="CE349" s="25"/>
      <c r="CF349" s="25"/>
      <c r="CG349" s="25"/>
      <c r="CH349" s="25"/>
      <c r="CI349" s="25"/>
      <c r="CJ349" s="25"/>
      <c r="CK349" s="25"/>
      <c r="CL349" s="25"/>
      <c r="CM349" s="25"/>
      <c r="CN349" s="25"/>
      <c r="CO349" s="25"/>
      <c r="CP349" s="25"/>
      <c r="CQ349" s="25"/>
      <c r="CR349" s="25"/>
      <c r="CS349" s="25"/>
    </row>
    <row r="350" spans="2:97">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c r="AV350" s="25"/>
      <c r="AW350" s="25"/>
      <c r="AX350" s="25"/>
      <c r="AY350" s="25"/>
      <c r="AZ350" s="25"/>
      <c r="BA350" s="25"/>
      <c r="BB350" s="25"/>
      <c r="BC350" s="25"/>
      <c r="BD350" s="25"/>
      <c r="BE350" s="25"/>
      <c r="BF350" s="25"/>
      <c r="BG350" s="25"/>
      <c r="BH350" s="25"/>
      <c r="BI350" s="25"/>
      <c r="BJ350" s="25"/>
      <c r="BK350" s="25"/>
      <c r="BL350" s="25"/>
      <c r="BM350" s="25"/>
      <c r="BN350" s="25"/>
      <c r="BO350" s="25"/>
      <c r="BP350" s="25"/>
      <c r="BQ350" s="25"/>
      <c r="BR350" s="25"/>
      <c r="BS350" s="25"/>
      <c r="BT350" s="25"/>
      <c r="BU350" s="25"/>
      <c r="BV350" s="25"/>
      <c r="BW350" s="25"/>
      <c r="BX350" s="25"/>
      <c r="BY350" s="25"/>
      <c r="BZ350" s="25"/>
      <c r="CA350" s="25"/>
      <c r="CB350" s="25"/>
      <c r="CC350" s="25"/>
      <c r="CD350" s="25"/>
      <c r="CE350" s="25"/>
      <c r="CF350" s="25"/>
      <c r="CG350" s="25"/>
      <c r="CH350" s="25"/>
      <c r="CI350" s="25"/>
      <c r="CJ350" s="25"/>
      <c r="CK350" s="25"/>
      <c r="CL350" s="25"/>
      <c r="CM350" s="25"/>
      <c r="CN350" s="25"/>
      <c r="CO350" s="25"/>
      <c r="CP350" s="25"/>
      <c r="CQ350" s="25"/>
      <c r="CR350" s="25"/>
      <c r="CS350" s="25"/>
    </row>
    <row r="351" spans="2:97">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c r="AV351" s="25"/>
      <c r="AW351" s="25"/>
      <c r="AX351" s="25"/>
      <c r="AY351" s="25"/>
      <c r="AZ351" s="25"/>
      <c r="BA351" s="25"/>
      <c r="BB351" s="25"/>
      <c r="BC351" s="25"/>
      <c r="BD351" s="25"/>
      <c r="BE351" s="25"/>
      <c r="BF351" s="25"/>
      <c r="BG351" s="25"/>
      <c r="BH351" s="25"/>
      <c r="BI351" s="25"/>
      <c r="BJ351" s="25"/>
      <c r="BK351" s="25"/>
      <c r="BL351" s="25"/>
      <c r="BM351" s="25"/>
      <c r="BN351" s="25"/>
      <c r="BO351" s="25"/>
      <c r="BP351" s="25"/>
      <c r="BQ351" s="25"/>
      <c r="BR351" s="25"/>
      <c r="BS351" s="25"/>
      <c r="BT351" s="25"/>
      <c r="BU351" s="25"/>
      <c r="BV351" s="25"/>
      <c r="BW351" s="25"/>
      <c r="BX351" s="25"/>
      <c r="BY351" s="25"/>
      <c r="BZ351" s="25"/>
      <c r="CA351" s="25"/>
      <c r="CB351" s="25"/>
      <c r="CC351" s="25"/>
      <c r="CD351" s="25"/>
      <c r="CE351" s="25"/>
      <c r="CF351" s="25"/>
      <c r="CG351" s="25"/>
      <c r="CH351" s="25"/>
      <c r="CI351" s="25"/>
      <c r="CJ351" s="25"/>
      <c r="CK351" s="25"/>
      <c r="CL351" s="25"/>
      <c r="CM351" s="25"/>
      <c r="CN351" s="25"/>
      <c r="CO351" s="25"/>
      <c r="CP351" s="25"/>
      <c r="CQ351" s="25"/>
      <c r="CR351" s="25"/>
      <c r="CS351" s="25"/>
    </row>
    <row r="352" spans="2:97">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c r="AV352" s="25"/>
      <c r="AW352" s="25"/>
      <c r="AX352" s="25"/>
      <c r="AY352" s="25"/>
      <c r="AZ352" s="25"/>
      <c r="BA352" s="25"/>
      <c r="BB352" s="25"/>
      <c r="BC352" s="25"/>
      <c r="BD352" s="25"/>
      <c r="BE352" s="25"/>
      <c r="BF352" s="25"/>
      <c r="BG352" s="25"/>
      <c r="BH352" s="25"/>
      <c r="BI352" s="25"/>
      <c r="BJ352" s="25"/>
      <c r="BK352" s="25"/>
      <c r="BL352" s="25"/>
      <c r="BM352" s="25"/>
      <c r="BN352" s="25"/>
      <c r="BO352" s="25"/>
      <c r="BP352" s="25"/>
      <c r="BQ352" s="25"/>
      <c r="BR352" s="25"/>
      <c r="BS352" s="25"/>
      <c r="BT352" s="25"/>
      <c r="BU352" s="25"/>
      <c r="BV352" s="25"/>
      <c r="BW352" s="25"/>
      <c r="BX352" s="25"/>
      <c r="BY352" s="25"/>
      <c r="BZ352" s="25"/>
      <c r="CA352" s="25"/>
      <c r="CB352" s="25"/>
      <c r="CC352" s="25"/>
      <c r="CD352" s="25"/>
      <c r="CE352" s="25"/>
      <c r="CF352" s="25"/>
      <c r="CG352" s="25"/>
      <c r="CH352" s="25"/>
      <c r="CI352" s="25"/>
      <c r="CJ352" s="25"/>
      <c r="CK352" s="25"/>
      <c r="CL352" s="25"/>
      <c r="CM352" s="25"/>
      <c r="CN352" s="25"/>
      <c r="CO352" s="25"/>
      <c r="CP352" s="25"/>
      <c r="CQ352" s="25"/>
      <c r="CR352" s="25"/>
      <c r="CS352" s="25"/>
    </row>
    <row r="353" spans="2:97">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c r="AV353" s="25"/>
      <c r="AW353" s="25"/>
      <c r="AX353" s="25"/>
      <c r="AY353" s="25"/>
      <c r="AZ353" s="25"/>
      <c r="BA353" s="25"/>
      <c r="BB353" s="25"/>
      <c r="BC353" s="25"/>
      <c r="BD353" s="25"/>
      <c r="BE353" s="25"/>
      <c r="BF353" s="25"/>
      <c r="BG353" s="25"/>
      <c r="BH353" s="25"/>
      <c r="BI353" s="25"/>
      <c r="BJ353" s="25"/>
      <c r="BK353" s="25"/>
      <c r="BL353" s="25"/>
      <c r="BM353" s="25"/>
      <c r="BN353" s="25"/>
      <c r="BO353" s="25"/>
      <c r="BP353" s="25"/>
      <c r="BQ353" s="25"/>
      <c r="BR353" s="25"/>
      <c r="BS353" s="25"/>
      <c r="BT353" s="25"/>
      <c r="BU353" s="25"/>
      <c r="BV353" s="25"/>
      <c r="BW353" s="25"/>
      <c r="BX353" s="25"/>
      <c r="BY353" s="25"/>
      <c r="BZ353" s="25"/>
      <c r="CA353" s="25"/>
      <c r="CB353" s="25"/>
      <c r="CC353" s="25"/>
      <c r="CD353" s="25"/>
      <c r="CE353" s="25"/>
      <c r="CF353" s="25"/>
      <c r="CG353" s="25"/>
      <c r="CH353" s="25"/>
      <c r="CI353" s="25"/>
      <c r="CJ353" s="25"/>
      <c r="CK353" s="25"/>
      <c r="CL353" s="25"/>
      <c r="CM353" s="25"/>
      <c r="CN353" s="25"/>
      <c r="CO353" s="25"/>
      <c r="CP353" s="25"/>
      <c r="CQ353" s="25"/>
      <c r="CR353" s="25"/>
      <c r="CS353" s="25"/>
    </row>
    <row r="354" spans="2:97">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c r="AV354" s="25"/>
      <c r="AW354" s="25"/>
      <c r="AX354" s="25"/>
      <c r="AY354" s="25"/>
      <c r="AZ354" s="25"/>
      <c r="BA354" s="25"/>
      <c r="BB354" s="25"/>
      <c r="BC354" s="25"/>
      <c r="BD354" s="25"/>
      <c r="BE354" s="25"/>
      <c r="BF354" s="25"/>
      <c r="BG354" s="25"/>
      <c r="BH354" s="25"/>
      <c r="BI354" s="25"/>
      <c r="BJ354" s="25"/>
      <c r="BK354" s="25"/>
      <c r="BL354" s="25"/>
      <c r="BM354" s="25"/>
      <c r="BN354" s="25"/>
      <c r="BO354" s="25"/>
      <c r="BP354" s="25"/>
      <c r="BQ354" s="25"/>
      <c r="BR354" s="25"/>
      <c r="BS354" s="25"/>
      <c r="BT354" s="25"/>
      <c r="BU354" s="25"/>
      <c r="BV354" s="25"/>
      <c r="BW354" s="25"/>
      <c r="BX354" s="25"/>
      <c r="BY354" s="25"/>
      <c r="BZ354" s="25"/>
      <c r="CA354" s="25"/>
      <c r="CB354" s="25"/>
      <c r="CC354" s="25"/>
      <c r="CD354" s="25"/>
      <c r="CE354" s="25"/>
      <c r="CF354" s="25"/>
      <c r="CG354" s="25"/>
      <c r="CH354" s="25"/>
      <c r="CI354" s="25"/>
      <c r="CJ354" s="25"/>
      <c r="CK354" s="25"/>
      <c r="CL354" s="25"/>
      <c r="CM354" s="25"/>
      <c r="CN354" s="25"/>
      <c r="CO354" s="25"/>
      <c r="CP354" s="25"/>
      <c r="CQ354" s="25"/>
      <c r="CR354" s="25"/>
      <c r="CS354" s="25"/>
    </row>
    <row r="355" spans="2:97">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c r="AV355" s="25"/>
      <c r="AW355" s="25"/>
      <c r="AX355" s="25"/>
      <c r="AY355" s="25"/>
      <c r="AZ355" s="25"/>
      <c r="BA355" s="25"/>
      <c r="BB355" s="25"/>
      <c r="BC355" s="25"/>
      <c r="BD355" s="25"/>
      <c r="BE355" s="25"/>
      <c r="BF355" s="25"/>
      <c r="BG355" s="25"/>
      <c r="BH355" s="25"/>
      <c r="BI355" s="25"/>
      <c r="BJ355" s="25"/>
      <c r="BK355" s="25"/>
      <c r="BL355" s="25"/>
      <c r="BM355" s="25"/>
      <c r="BN355" s="25"/>
      <c r="BO355" s="25"/>
      <c r="BP355" s="25"/>
      <c r="BQ355" s="25"/>
      <c r="BR355" s="25"/>
      <c r="BS355" s="25"/>
      <c r="BT355" s="25"/>
      <c r="BU355" s="25"/>
      <c r="BV355" s="25"/>
      <c r="BW355" s="25"/>
      <c r="BX355" s="25"/>
      <c r="BY355" s="25"/>
      <c r="BZ355" s="25"/>
      <c r="CA355" s="25"/>
      <c r="CB355" s="25"/>
      <c r="CC355" s="25"/>
      <c r="CD355" s="25"/>
      <c r="CE355" s="25"/>
      <c r="CF355" s="25"/>
      <c r="CG355" s="25"/>
      <c r="CH355" s="25"/>
      <c r="CI355" s="25"/>
      <c r="CJ355" s="25"/>
      <c r="CK355" s="25"/>
      <c r="CL355" s="25"/>
      <c r="CM355" s="25"/>
      <c r="CN355" s="25"/>
      <c r="CO355" s="25"/>
      <c r="CP355" s="25"/>
      <c r="CQ355" s="25"/>
      <c r="CR355" s="25"/>
      <c r="CS355" s="25"/>
    </row>
    <row r="356" spans="2:97">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c r="AV356" s="25"/>
      <c r="AW356" s="25"/>
      <c r="AX356" s="25"/>
      <c r="AY356" s="25"/>
      <c r="AZ356" s="25"/>
      <c r="BA356" s="25"/>
      <c r="BB356" s="25"/>
      <c r="BC356" s="25"/>
      <c r="BD356" s="25"/>
      <c r="BE356" s="25"/>
      <c r="BF356" s="25"/>
      <c r="BG356" s="25"/>
      <c r="BH356" s="25"/>
      <c r="BI356" s="25"/>
      <c r="BJ356" s="25"/>
      <c r="BK356" s="25"/>
      <c r="BL356" s="25"/>
      <c r="BM356" s="25"/>
      <c r="BN356" s="25"/>
      <c r="BO356" s="25"/>
      <c r="BP356" s="25"/>
      <c r="BQ356" s="25"/>
      <c r="BR356" s="25"/>
      <c r="BS356" s="25"/>
      <c r="BT356" s="25"/>
      <c r="BU356" s="25"/>
      <c r="BV356" s="25"/>
      <c r="BW356" s="25"/>
      <c r="BX356" s="25"/>
      <c r="BY356" s="25"/>
      <c r="BZ356" s="25"/>
      <c r="CA356" s="25"/>
      <c r="CB356" s="25"/>
      <c r="CC356" s="25"/>
      <c r="CD356" s="25"/>
      <c r="CE356" s="25"/>
      <c r="CF356" s="25"/>
      <c r="CG356" s="25"/>
      <c r="CH356" s="25"/>
      <c r="CI356" s="25"/>
      <c r="CJ356" s="25"/>
      <c r="CK356" s="25"/>
      <c r="CL356" s="25"/>
      <c r="CM356" s="25"/>
      <c r="CN356" s="25"/>
      <c r="CO356" s="25"/>
      <c r="CP356" s="25"/>
      <c r="CQ356" s="25"/>
      <c r="CR356" s="25"/>
      <c r="CS356" s="25"/>
    </row>
    <row r="357" spans="2:97">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c r="AV357" s="25"/>
      <c r="AW357" s="25"/>
      <c r="AX357" s="25"/>
      <c r="AY357" s="25"/>
      <c r="AZ357" s="25"/>
      <c r="BA357" s="25"/>
      <c r="BB357" s="25"/>
      <c r="BC357" s="25"/>
      <c r="BD357" s="25"/>
      <c r="BE357" s="25"/>
      <c r="BF357" s="25"/>
      <c r="BG357" s="25"/>
      <c r="BH357" s="25"/>
      <c r="BI357" s="25"/>
      <c r="BJ357" s="25"/>
      <c r="BK357" s="25"/>
      <c r="BL357" s="25"/>
      <c r="BM357" s="25"/>
      <c r="BN357" s="25"/>
      <c r="BO357" s="25"/>
      <c r="BP357" s="25"/>
      <c r="BQ357" s="25"/>
      <c r="BR357" s="25"/>
      <c r="BS357" s="25"/>
      <c r="BT357" s="25"/>
      <c r="BU357" s="25"/>
      <c r="BV357" s="25"/>
      <c r="BW357" s="25"/>
      <c r="BX357" s="25"/>
      <c r="BY357" s="25"/>
      <c r="BZ357" s="25"/>
      <c r="CA357" s="25"/>
      <c r="CB357" s="25"/>
      <c r="CC357" s="25"/>
      <c r="CD357" s="25"/>
      <c r="CE357" s="25"/>
      <c r="CF357" s="25"/>
      <c r="CG357" s="25"/>
      <c r="CH357" s="25"/>
      <c r="CI357" s="25"/>
      <c r="CJ357" s="25"/>
      <c r="CK357" s="25"/>
      <c r="CL357" s="25"/>
      <c r="CM357" s="25"/>
      <c r="CN357" s="25"/>
      <c r="CO357" s="25"/>
      <c r="CP357" s="25"/>
      <c r="CQ357" s="25"/>
      <c r="CR357" s="25"/>
      <c r="CS357" s="25"/>
    </row>
    <row r="358" spans="2:97">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c r="AV358" s="25"/>
      <c r="AW358" s="25"/>
      <c r="AX358" s="25"/>
      <c r="AY358" s="25"/>
      <c r="AZ358" s="25"/>
      <c r="BA358" s="25"/>
      <c r="BB358" s="25"/>
      <c r="BC358" s="25"/>
      <c r="BD358" s="25"/>
      <c r="BE358" s="25"/>
      <c r="BF358" s="25"/>
      <c r="BG358" s="25"/>
      <c r="BH358" s="25"/>
      <c r="BI358" s="25"/>
      <c r="BJ358" s="25"/>
      <c r="BK358" s="25"/>
      <c r="BL358" s="25"/>
      <c r="BM358" s="25"/>
      <c r="BN358" s="25"/>
      <c r="BO358" s="25"/>
      <c r="BP358" s="25"/>
      <c r="BQ358" s="25"/>
      <c r="BR358" s="25"/>
      <c r="BS358" s="25"/>
      <c r="BT358" s="25"/>
      <c r="BU358" s="25"/>
      <c r="BV358" s="25"/>
      <c r="BW358" s="25"/>
      <c r="BX358" s="25"/>
      <c r="BY358" s="25"/>
      <c r="BZ358" s="25"/>
      <c r="CA358" s="25"/>
      <c r="CB358" s="25"/>
      <c r="CC358" s="25"/>
      <c r="CD358" s="25"/>
      <c r="CE358" s="25"/>
      <c r="CF358" s="25"/>
      <c r="CG358" s="25"/>
      <c r="CH358" s="25"/>
      <c r="CI358" s="25"/>
      <c r="CJ358" s="25"/>
      <c r="CK358" s="25"/>
      <c r="CL358" s="25"/>
      <c r="CM358" s="25"/>
      <c r="CN358" s="25"/>
      <c r="CO358" s="25"/>
      <c r="CP358" s="25"/>
      <c r="CQ358" s="25"/>
      <c r="CR358" s="25"/>
      <c r="CS358" s="25"/>
    </row>
    <row r="359" spans="2:97">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c r="AV359" s="25"/>
      <c r="AW359" s="25"/>
      <c r="AX359" s="25"/>
      <c r="AY359" s="25"/>
      <c r="AZ359" s="25"/>
      <c r="BA359" s="25"/>
      <c r="BB359" s="25"/>
      <c r="BC359" s="25"/>
      <c r="BD359" s="25"/>
      <c r="BE359" s="25"/>
      <c r="BF359" s="25"/>
      <c r="BG359" s="25"/>
      <c r="BH359" s="25"/>
      <c r="BI359" s="25"/>
      <c r="BJ359" s="25"/>
      <c r="BK359" s="25"/>
      <c r="BL359" s="25"/>
      <c r="BM359" s="25"/>
      <c r="BN359" s="25"/>
      <c r="BO359" s="25"/>
      <c r="BP359" s="25"/>
      <c r="BQ359" s="25"/>
      <c r="BR359" s="25"/>
      <c r="BS359" s="25"/>
      <c r="BT359" s="25"/>
      <c r="BU359" s="25"/>
      <c r="BV359" s="25"/>
      <c r="BW359" s="25"/>
      <c r="BX359" s="25"/>
      <c r="BY359" s="25"/>
      <c r="BZ359" s="25"/>
      <c r="CA359" s="25"/>
      <c r="CB359" s="25"/>
      <c r="CC359" s="25"/>
      <c r="CD359" s="25"/>
      <c r="CE359" s="25"/>
      <c r="CF359" s="25"/>
      <c r="CG359" s="25"/>
      <c r="CH359" s="25"/>
      <c r="CI359" s="25"/>
      <c r="CJ359" s="25"/>
      <c r="CK359" s="25"/>
      <c r="CL359" s="25"/>
      <c r="CM359" s="25"/>
      <c r="CN359" s="25"/>
      <c r="CO359" s="25"/>
      <c r="CP359" s="25"/>
      <c r="CQ359" s="25"/>
      <c r="CR359" s="25"/>
      <c r="CS359" s="25"/>
    </row>
    <row r="360" spans="2:97">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c r="AV360" s="25"/>
      <c r="AW360" s="25"/>
      <c r="AX360" s="25"/>
      <c r="AY360" s="25"/>
      <c r="AZ360" s="25"/>
      <c r="BA360" s="25"/>
      <c r="BB360" s="25"/>
      <c r="BC360" s="25"/>
      <c r="BD360" s="25"/>
      <c r="BE360" s="25"/>
      <c r="BF360" s="25"/>
      <c r="BG360" s="25"/>
      <c r="BH360" s="25"/>
      <c r="BI360" s="25"/>
      <c r="BJ360" s="25"/>
      <c r="BK360" s="25"/>
      <c r="BL360" s="25"/>
      <c r="BM360" s="25"/>
      <c r="BN360" s="25"/>
      <c r="BO360" s="25"/>
      <c r="BP360" s="25"/>
      <c r="BQ360" s="25"/>
      <c r="BR360" s="25"/>
      <c r="BS360" s="25"/>
      <c r="BT360" s="25"/>
      <c r="BU360" s="25"/>
      <c r="BV360" s="25"/>
      <c r="BW360" s="25"/>
      <c r="BX360" s="25"/>
      <c r="BY360" s="25"/>
      <c r="BZ360" s="25"/>
      <c r="CA360" s="25"/>
      <c r="CB360" s="25"/>
      <c r="CC360" s="25"/>
      <c r="CD360" s="25"/>
      <c r="CE360" s="25"/>
      <c r="CF360" s="25"/>
      <c r="CG360" s="25"/>
      <c r="CH360" s="25"/>
      <c r="CI360" s="25"/>
      <c r="CJ360" s="25"/>
      <c r="CK360" s="25"/>
      <c r="CL360" s="25"/>
      <c r="CM360" s="25"/>
      <c r="CN360" s="25"/>
      <c r="CO360" s="25"/>
      <c r="CP360" s="25"/>
      <c r="CQ360" s="25"/>
      <c r="CR360" s="25"/>
      <c r="CS360" s="25"/>
    </row>
    <row r="361" spans="2:97">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c r="AV361" s="25"/>
      <c r="AW361" s="25"/>
      <c r="AX361" s="25"/>
      <c r="AY361" s="25"/>
      <c r="AZ361" s="25"/>
      <c r="BA361" s="25"/>
      <c r="BB361" s="25"/>
      <c r="BC361" s="25"/>
      <c r="BD361" s="25"/>
      <c r="BE361" s="25"/>
      <c r="BF361" s="25"/>
      <c r="BG361" s="25"/>
      <c r="BH361" s="25"/>
      <c r="BI361" s="25"/>
      <c r="BJ361" s="25"/>
      <c r="BK361" s="25"/>
      <c r="BL361" s="25"/>
      <c r="BM361" s="25"/>
      <c r="BN361" s="25"/>
      <c r="BO361" s="25"/>
      <c r="BP361" s="25"/>
      <c r="BQ361" s="25"/>
      <c r="BR361" s="25"/>
      <c r="BS361" s="25"/>
      <c r="BT361" s="25"/>
      <c r="BU361" s="25"/>
      <c r="BV361" s="25"/>
      <c r="BW361" s="25"/>
      <c r="BX361" s="25"/>
      <c r="BY361" s="25"/>
      <c r="BZ361" s="25"/>
      <c r="CA361" s="25"/>
      <c r="CB361" s="25"/>
      <c r="CC361" s="25"/>
      <c r="CD361" s="25"/>
      <c r="CE361" s="25"/>
      <c r="CF361" s="25"/>
      <c r="CG361" s="25"/>
      <c r="CH361" s="25"/>
      <c r="CI361" s="25"/>
      <c r="CJ361" s="25"/>
      <c r="CK361" s="25"/>
      <c r="CL361" s="25"/>
      <c r="CM361" s="25"/>
      <c r="CN361" s="25"/>
      <c r="CO361" s="25"/>
      <c r="CP361" s="25"/>
      <c r="CQ361" s="25"/>
      <c r="CR361" s="25"/>
      <c r="CS361" s="25"/>
    </row>
    <row r="362" spans="2:97">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c r="AV362" s="25"/>
      <c r="AW362" s="25"/>
      <c r="AX362" s="25"/>
      <c r="AY362" s="25"/>
      <c r="AZ362" s="25"/>
      <c r="BA362" s="25"/>
      <c r="BB362" s="25"/>
      <c r="BC362" s="25"/>
      <c r="BD362" s="25"/>
      <c r="BE362" s="25"/>
      <c r="BF362" s="25"/>
      <c r="BG362" s="25"/>
      <c r="BH362" s="25"/>
      <c r="BI362" s="25"/>
      <c r="BJ362" s="25"/>
      <c r="BK362" s="25"/>
      <c r="BL362" s="25"/>
      <c r="BM362" s="25"/>
      <c r="BN362" s="25"/>
      <c r="BO362" s="25"/>
      <c r="BP362" s="25"/>
      <c r="BQ362" s="25"/>
      <c r="BR362" s="25"/>
      <c r="BS362" s="25"/>
      <c r="BT362" s="25"/>
      <c r="BU362" s="25"/>
      <c r="BV362" s="25"/>
      <c r="BW362" s="25"/>
      <c r="BX362" s="25"/>
      <c r="BY362" s="25"/>
      <c r="BZ362" s="25"/>
      <c r="CA362" s="25"/>
      <c r="CB362" s="25"/>
      <c r="CC362" s="25"/>
      <c r="CD362" s="25"/>
      <c r="CE362" s="25"/>
      <c r="CF362" s="25"/>
      <c r="CG362" s="25"/>
      <c r="CH362" s="25"/>
      <c r="CI362" s="25"/>
      <c r="CJ362" s="25"/>
      <c r="CK362" s="25"/>
      <c r="CL362" s="25"/>
      <c r="CM362" s="25"/>
      <c r="CN362" s="25"/>
      <c r="CO362" s="25"/>
      <c r="CP362" s="25"/>
      <c r="CQ362" s="25"/>
      <c r="CR362" s="25"/>
      <c r="CS362" s="25"/>
    </row>
    <row r="363" spans="2:97">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c r="AV363" s="25"/>
      <c r="AW363" s="25"/>
      <c r="AX363" s="25"/>
      <c r="AY363" s="25"/>
      <c r="AZ363" s="25"/>
      <c r="BA363" s="25"/>
      <c r="BB363" s="25"/>
      <c r="BC363" s="25"/>
      <c r="BD363" s="25"/>
      <c r="BE363" s="25"/>
      <c r="BF363" s="25"/>
      <c r="BG363" s="25"/>
      <c r="BH363" s="25"/>
      <c r="BI363" s="25"/>
      <c r="BJ363" s="25"/>
      <c r="BK363" s="25"/>
      <c r="BL363" s="25"/>
      <c r="BM363" s="25"/>
      <c r="BN363" s="25"/>
      <c r="BO363" s="25"/>
      <c r="BP363" s="25"/>
      <c r="BQ363" s="25"/>
      <c r="BR363" s="25"/>
      <c r="BS363" s="25"/>
      <c r="BT363" s="25"/>
      <c r="BU363" s="25"/>
      <c r="BV363" s="25"/>
      <c r="BW363" s="25"/>
      <c r="BX363" s="25"/>
      <c r="BY363" s="25"/>
      <c r="BZ363" s="25"/>
      <c r="CA363" s="25"/>
      <c r="CB363" s="25"/>
      <c r="CC363" s="25"/>
      <c r="CD363" s="25"/>
      <c r="CE363" s="25"/>
      <c r="CF363" s="25"/>
      <c r="CG363" s="25"/>
      <c r="CH363" s="25"/>
      <c r="CI363" s="25"/>
      <c r="CJ363" s="25"/>
      <c r="CK363" s="25"/>
      <c r="CL363" s="25"/>
      <c r="CM363" s="25"/>
      <c r="CN363" s="25"/>
      <c r="CO363" s="25"/>
      <c r="CP363" s="25"/>
      <c r="CQ363" s="25"/>
      <c r="CR363" s="25"/>
      <c r="CS363" s="25"/>
    </row>
    <row r="364" spans="2:97">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c r="AV364" s="25"/>
      <c r="AW364" s="25"/>
      <c r="AX364" s="25"/>
      <c r="AY364" s="25"/>
      <c r="AZ364" s="25"/>
      <c r="BA364" s="25"/>
      <c r="BB364" s="25"/>
      <c r="BC364" s="25"/>
      <c r="BD364" s="25"/>
      <c r="BE364" s="25"/>
      <c r="BF364" s="25"/>
      <c r="BG364" s="25"/>
      <c r="BH364" s="25"/>
      <c r="BI364" s="25"/>
      <c r="BJ364" s="25"/>
      <c r="BK364" s="25"/>
      <c r="BL364" s="25"/>
      <c r="BM364" s="25"/>
      <c r="BN364" s="25"/>
      <c r="BO364" s="25"/>
      <c r="BP364" s="25"/>
      <c r="BQ364" s="25"/>
      <c r="BR364" s="25"/>
      <c r="BS364" s="25"/>
      <c r="BT364" s="25"/>
      <c r="BU364" s="25"/>
      <c r="BV364" s="25"/>
      <c r="BW364" s="25"/>
      <c r="BX364" s="25"/>
      <c r="BY364" s="25"/>
      <c r="BZ364" s="25"/>
      <c r="CA364" s="25"/>
      <c r="CB364" s="25"/>
      <c r="CC364" s="25"/>
      <c r="CD364" s="25"/>
      <c r="CE364" s="25"/>
      <c r="CF364" s="25"/>
      <c r="CG364" s="25"/>
      <c r="CH364" s="25"/>
      <c r="CI364" s="25"/>
      <c r="CJ364" s="25"/>
      <c r="CK364" s="25"/>
      <c r="CL364" s="25"/>
      <c r="CM364" s="25"/>
      <c r="CN364" s="25"/>
      <c r="CO364" s="25"/>
      <c r="CP364" s="25"/>
      <c r="CQ364" s="25"/>
      <c r="CR364" s="25"/>
      <c r="CS364" s="25"/>
    </row>
    <row r="365" spans="2:97">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c r="AV365" s="25"/>
      <c r="AW365" s="25"/>
      <c r="AX365" s="25"/>
      <c r="AY365" s="25"/>
      <c r="AZ365" s="25"/>
      <c r="BA365" s="25"/>
      <c r="BB365" s="25"/>
      <c r="BC365" s="25"/>
      <c r="BD365" s="25"/>
      <c r="BE365" s="25"/>
      <c r="BF365" s="25"/>
      <c r="BG365" s="25"/>
      <c r="BH365" s="25"/>
      <c r="BI365" s="25"/>
      <c r="BJ365" s="25"/>
      <c r="BK365" s="25"/>
      <c r="BL365" s="25"/>
      <c r="BM365" s="25"/>
      <c r="BN365" s="25"/>
      <c r="BO365" s="25"/>
      <c r="BP365" s="25"/>
      <c r="BQ365" s="25"/>
      <c r="BR365" s="25"/>
      <c r="BS365" s="25"/>
      <c r="BT365" s="25"/>
      <c r="BU365" s="25"/>
      <c r="BV365" s="25"/>
      <c r="BW365" s="25"/>
      <c r="BX365" s="25"/>
      <c r="BY365" s="25"/>
      <c r="BZ365" s="25"/>
      <c r="CA365" s="25"/>
      <c r="CB365" s="25"/>
      <c r="CC365" s="25"/>
      <c r="CD365" s="25"/>
      <c r="CE365" s="25"/>
      <c r="CF365" s="25"/>
      <c r="CG365" s="25"/>
      <c r="CH365" s="25"/>
      <c r="CI365" s="25"/>
      <c r="CJ365" s="25"/>
      <c r="CK365" s="25"/>
      <c r="CL365" s="25"/>
      <c r="CM365" s="25"/>
      <c r="CN365" s="25"/>
      <c r="CO365" s="25"/>
      <c r="CP365" s="25"/>
      <c r="CQ365" s="25"/>
      <c r="CR365" s="25"/>
      <c r="CS365" s="25"/>
    </row>
    <row r="366" spans="2:97">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c r="AV366" s="25"/>
      <c r="AW366" s="25"/>
      <c r="AX366" s="25"/>
      <c r="AY366" s="25"/>
      <c r="AZ366" s="25"/>
      <c r="BA366" s="25"/>
      <c r="BB366" s="25"/>
      <c r="BC366" s="25"/>
      <c r="BD366" s="25"/>
      <c r="BE366" s="25"/>
      <c r="BF366" s="25"/>
      <c r="BG366" s="25"/>
      <c r="BH366" s="25"/>
      <c r="BI366" s="25"/>
      <c r="BJ366" s="25"/>
      <c r="BK366" s="25"/>
      <c r="BL366" s="25"/>
      <c r="BM366" s="25"/>
      <c r="BN366" s="25"/>
      <c r="BO366" s="25"/>
      <c r="BP366" s="25"/>
      <c r="BQ366" s="25"/>
      <c r="BR366" s="25"/>
      <c r="BS366" s="25"/>
      <c r="BT366" s="25"/>
      <c r="BU366" s="25"/>
      <c r="BV366" s="25"/>
      <c r="BW366" s="25"/>
      <c r="BX366" s="25"/>
      <c r="BY366" s="25"/>
      <c r="BZ366" s="25"/>
      <c r="CA366" s="25"/>
      <c r="CB366" s="25"/>
      <c r="CC366" s="25"/>
      <c r="CD366" s="25"/>
      <c r="CE366" s="25"/>
      <c r="CF366" s="25"/>
      <c r="CG366" s="25"/>
      <c r="CH366" s="25"/>
      <c r="CI366" s="25"/>
      <c r="CJ366" s="25"/>
      <c r="CK366" s="25"/>
      <c r="CL366" s="25"/>
      <c r="CM366" s="25"/>
      <c r="CN366" s="25"/>
      <c r="CO366" s="25"/>
      <c r="CP366" s="25"/>
      <c r="CQ366" s="25"/>
      <c r="CR366" s="25"/>
      <c r="CS366" s="25"/>
    </row>
    <row r="367" spans="2:97">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c r="AV367" s="25"/>
      <c r="AW367" s="25"/>
      <c r="AX367" s="25"/>
      <c r="AY367" s="25"/>
      <c r="AZ367" s="25"/>
      <c r="BA367" s="25"/>
      <c r="BB367" s="25"/>
      <c r="BC367" s="25"/>
      <c r="BD367" s="25"/>
      <c r="BE367" s="25"/>
      <c r="BF367" s="25"/>
      <c r="BG367" s="25"/>
      <c r="BH367" s="25"/>
      <c r="BI367" s="25"/>
      <c r="BJ367" s="25"/>
      <c r="BK367" s="25"/>
      <c r="BL367" s="25"/>
      <c r="BM367" s="25"/>
      <c r="BN367" s="25"/>
      <c r="BO367" s="25"/>
      <c r="BP367" s="25"/>
      <c r="BQ367" s="25"/>
      <c r="BR367" s="25"/>
      <c r="BS367" s="25"/>
      <c r="BT367" s="25"/>
      <c r="BU367" s="25"/>
      <c r="BV367" s="25"/>
      <c r="BW367" s="25"/>
      <c r="BX367" s="25"/>
      <c r="BY367" s="25"/>
      <c r="BZ367" s="25"/>
      <c r="CA367" s="25"/>
      <c r="CB367" s="25"/>
      <c r="CC367" s="25"/>
      <c r="CD367" s="25"/>
      <c r="CE367" s="25"/>
      <c r="CF367" s="25"/>
      <c r="CG367" s="25"/>
      <c r="CH367" s="25"/>
      <c r="CI367" s="25"/>
      <c r="CJ367" s="25"/>
      <c r="CK367" s="25"/>
      <c r="CL367" s="25"/>
      <c r="CM367" s="25"/>
      <c r="CN367" s="25"/>
      <c r="CO367" s="25"/>
      <c r="CP367" s="25"/>
      <c r="CQ367" s="25"/>
      <c r="CR367" s="25"/>
      <c r="CS367" s="25"/>
    </row>
    <row r="368" spans="2:97">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c r="AV368" s="25"/>
      <c r="AW368" s="25"/>
      <c r="AX368" s="25"/>
      <c r="AY368" s="25"/>
      <c r="AZ368" s="25"/>
      <c r="BA368" s="25"/>
      <c r="BB368" s="25"/>
      <c r="BC368" s="25"/>
      <c r="BD368" s="25"/>
      <c r="BE368" s="25"/>
      <c r="BF368" s="25"/>
      <c r="BG368" s="25"/>
      <c r="BH368" s="25"/>
      <c r="BI368" s="25"/>
      <c r="BJ368" s="25"/>
      <c r="BK368" s="25"/>
      <c r="BL368" s="25"/>
      <c r="BM368" s="25"/>
      <c r="BN368" s="25"/>
      <c r="BO368" s="25"/>
      <c r="BP368" s="25"/>
      <c r="BQ368" s="25"/>
      <c r="BR368" s="25"/>
      <c r="BS368" s="25"/>
      <c r="BT368" s="25"/>
      <c r="BU368" s="25"/>
      <c r="BV368" s="25"/>
      <c r="BW368" s="25"/>
      <c r="BX368" s="25"/>
      <c r="BY368" s="25"/>
      <c r="BZ368" s="25"/>
      <c r="CA368" s="25"/>
      <c r="CB368" s="25"/>
      <c r="CC368" s="25"/>
      <c r="CD368" s="25"/>
      <c r="CE368" s="25"/>
      <c r="CF368" s="25"/>
      <c r="CG368" s="25"/>
      <c r="CH368" s="25"/>
      <c r="CI368" s="25"/>
      <c r="CJ368" s="25"/>
      <c r="CK368" s="25"/>
      <c r="CL368" s="25"/>
      <c r="CM368" s="25"/>
      <c r="CN368" s="25"/>
      <c r="CO368" s="25"/>
      <c r="CP368" s="25"/>
      <c r="CQ368" s="25"/>
      <c r="CR368" s="25"/>
      <c r="CS368" s="25"/>
    </row>
    <row r="369" spans="2:97">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c r="AV369" s="25"/>
      <c r="AW369" s="25"/>
      <c r="AX369" s="25"/>
      <c r="AY369" s="25"/>
      <c r="AZ369" s="25"/>
      <c r="BA369" s="25"/>
      <c r="BB369" s="25"/>
      <c r="BC369" s="25"/>
      <c r="BD369" s="25"/>
      <c r="BE369" s="25"/>
      <c r="BF369" s="25"/>
      <c r="BG369" s="25"/>
      <c r="BH369" s="25"/>
      <c r="BI369" s="25"/>
      <c r="BJ369" s="25"/>
      <c r="BK369" s="25"/>
      <c r="BL369" s="25"/>
      <c r="BM369" s="25"/>
      <c r="BN369" s="25"/>
      <c r="BO369" s="25"/>
      <c r="BP369" s="25"/>
      <c r="BQ369" s="25"/>
      <c r="BR369" s="25"/>
      <c r="BS369" s="25"/>
      <c r="BT369" s="25"/>
      <c r="BU369" s="25"/>
      <c r="BV369" s="25"/>
      <c r="BW369" s="25"/>
      <c r="BX369" s="25"/>
      <c r="BY369" s="25"/>
      <c r="BZ369" s="25"/>
      <c r="CA369" s="25"/>
      <c r="CB369" s="25"/>
      <c r="CC369" s="25"/>
      <c r="CD369" s="25"/>
      <c r="CE369" s="25"/>
      <c r="CF369" s="25"/>
      <c r="CG369" s="25"/>
      <c r="CH369" s="25"/>
      <c r="CI369" s="25"/>
      <c r="CJ369" s="25"/>
      <c r="CK369" s="25"/>
      <c r="CL369" s="25"/>
      <c r="CM369" s="25"/>
      <c r="CN369" s="25"/>
      <c r="CO369" s="25"/>
      <c r="CP369" s="25"/>
      <c r="CQ369" s="25"/>
      <c r="CR369" s="25"/>
      <c r="CS369" s="25"/>
    </row>
    <row r="370" spans="2:97">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c r="AV370" s="25"/>
      <c r="AW370" s="25"/>
      <c r="AX370" s="25"/>
      <c r="AY370" s="25"/>
      <c r="AZ370" s="25"/>
      <c r="BA370" s="25"/>
      <c r="BB370" s="25"/>
      <c r="BC370" s="25"/>
      <c r="BD370" s="25"/>
      <c r="BE370" s="25"/>
      <c r="BF370" s="25"/>
      <c r="BG370" s="25"/>
      <c r="BH370" s="25"/>
      <c r="BI370" s="25"/>
      <c r="BJ370" s="25"/>
      <c r="BK370" s="25"/>
      <c r="BL370" s="25"/>
      <c r="BM370" s="25"/>
      <c r="BN370" s="25"/>
      <c r="BO370" s="25"/>
      <c r="BP370" s="25"/>
      <c r="BQ370" s="25"/>
      <c r="BR370" s="25"/>
      <c r="BS370" s="25"/>
      <c r="BT370" s="25"/>
      <c r="BU370" s="25"/>
      <c r="BV370" s="25"/>
      <c r="BW370" s="25"/>
      <c r="BX370" s="25"/>
      <c r="BY370" s="25"/>
      <c r="BZ370" s="25"/>
      <c r="CA370" s="25"/>
      <c r="CB370" s="25"/>
      <c r="CC370" s="25"/>
      <c r="CD370" s="25"/>
      <c r="CE370" s="25"/>
      <c r="CF370" s="25"/>
      <c r="CG370" s="25"/>
      <c r="CH370" s="25"/>
      <c r="CI370" s="25"/>
      <c r="CJ370" s="25"/>
      <c r="CK370" s="25"/>
      <c r="CL370" s="25"/>
      <c r="CM370" s="25"/>
      <c r="CN370" s="25"/>
      <c r="CO370" s="25"/>
      <c r="CP370" s="25"/>
      <c r="CQ370" s="25"/>
      <c r="CR370" s="25"/>
      <c r="CS370" s="25"/>
    </row>
    <row r="371" spans="2:97">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c r="AV371" s="25"/>
      <c r="AW371" s="25"/>
      <c r="AX371" s="25"/>
      <c r="AY371" s="25"/>
      <c r="AZ371" s="25"/>
      <c r="BA371" s="25"/>
      <c r="BB371" s="25"/>
      <c r="BC371" s="25"/>
      <c r="BD371" s="25"/>
      <c r="BE371" s="25"/>
      <c r="BF371" s="25"/>
      <c r="BG371" s="25"/>
      <c r="BH371" s="25"/>
      <c r="BI371" s="25"/>
      <c r="BJ371" s="25"/>
      <c r="BK371" s="25"/>
      <c r="BL371" s="25"/>
      <c r="BM371" s="25"/>
      <c r="BN371" s="25"/>
      <c r="BO371" s="25"/>
      <c r="BP371" s="25"/>
      <c r="BQ371" s="25"/>
      <c r="BR371" s="25"/>
      <c r="BS371" s="25"/>
      <c r="BT371" s="25"/>
      <c r="BU371" s="25"/>
      <c r="BV371" s="25"/>
      <c r="BW371" s="25"/>
      <c r="BX371" s="25"/>
      <c r="BY371" s="25"/>
      <c r="BZ371" s="25"/>
      <c r="CA371" s="25"/>
      <c r="CB371" s="25"/>
      <c r="CC371" s="25"/>
      <c r="CD371" s="25"/>
      <c r="CE371" s="25"/>
      <c r="CF371" s="25"/>
      <c r="CG371" s="25"/>
      <c r="CH371" s="25"/>
      <c r="CI371" s="25"/>
      <c r="CJ371" s="25"/>
      <c r="CK371" s="25"/>
      <c r="CL371" s="25"/>
      <c r="CM371" s="25"/>
      <c r="CN371" s="25"/>
      <c r="CO371" s="25"/>
      <c r="CP371" s="25"/>
      <c r="CQ371" s="25"/>
      <c r="CR371" s="25"/>
      <c r="CS371" s="25"/>
    </row>
    <row r="372" spans="2:97">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c r="AV372" s="25"/>
      <c r="AW372" s="25"/>
      <c r="AX372" s="25"/>
      <c r="AY372" s="25"/>
      <c r="AZ372" s="25"/>
      <c r="BA372" s="25"/>
      <c r="BB372" s="25"/>
      <c r="BC372" s="25"/>
      <c r="BD372" s="25"/>
      <c r="BE372" s="25"/>
      <c r="BF372" s="25"/>
      <c r="BG372" s="25"/>
      <c r="BH372" s="25"/>
      <c r="BI372" s="25"/>
      <c r="BJ372" s="25"/>
      <c r="BK372" s="25"/>
      <c r="BL372" s="25"/>
      <c r="BM372" s="25"/>
      <c r="BN372" s="25"/>
      <c r="BO372" s="25"/>
      <c r="BP372" s="25"/>
      <c r="BQ372" s="25"/>
      <c r="BR372" s="25"/>
      <c r="BS372" s="25"/>
      <c r="BT372" s="25"/>
      <c r="BU372" s="25"/>
      <c r="BV372" s="25"/>
      <c r="BW372" s="25"/>
      <c r="BX372" s="25"/>
      <c r="BY372" s="25"/>
      <c r="BZ372" s="25"/>
      <c r="CA372" s="25"/>
      <c r="CB372" s="25"/>
      <c r="CC372" s="25"/>
      <c r="CD372" s="25"/>
      <c r="CE372" s="25"/>
      <c r="CF372" s="25"/>
      <c r="CG372" s="25"/>
      <c r="CH372" s="25"/>
      <c r="CI372" s="25"/>
      <c r="CJ372" s="25"/>
      <c r="CK372" s="25"/>
      <c r="CL372" s="25"/>
      <c r="CM372" s="25"/>
      <c r="CN372" s="25"/>
      <c r="CO372" s="25"/>
      <c r="CP372" s="25"/>
      <c r="CQ372" s="25"/>
      <c r="CR372" s="25"/>
      <c r="CS372" s="25"/>
    </row>
    <row r="373" spans="2:97">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c r="AV373" s="25"/>
      <c r="AW373" s="25"/>
      <c r="AX373" s="25"/>
      <c r="AY373" s="25"/>
      <c r="AZ373" s="25"/>
      <c r="BA373" s="25"/>
      <c r="BB373" s="25"/>
      <c r="BC373" s="25"/>
      <c r="BD373" s="25"/>
      <c r="BE373" s="25"/>
      <c r="BF373" s="25"/>
      <c r="BG373" s="25"/>
      <c r="BH373" s="25"/>
      <c r="BI373" s="25"/>
      <c r="BJ373" s="25"/>
      <c r="BK373" s="25"/>
      <c r="BL373" s="25"/>
      <c r="BM373" s="25"/>
      <c r="BN373" s="25"/>
      <c r="BO373" s="25"/>
      <c r="BP373" s="25"/>
      <c r="BQ373" s="25"/>
      <c r="BR373" s="25"/>
      <c r="BS373" s="25"/>
      <c r="BT373" s="25"/>
      <c r="BU373" s="25"/>
      <c r="BV373" s="25"/>
      <c r="BW373" s="25"/>
      <c r="BX373" s="25"/>
      <c r="BY373" s="25"/>
      <c r="BZ373" s="25"/>
      <c r="CA373" s="25"/>
      <c r="CB373" s="25"/>
      <c r="CC373" s="25"/>
      <c r="CD373" s="25"/>
      <c r="CE373" s="25"/>
      <c r="CF373" s="25"/>
      <c r="CG373" s="25"/>
      <c r="CH373" s="25"/>
      <c r="CI373" s="25"/>
      <c r="CJ373" s="25"/>
      <c r="CK373" s="25"/>
      <c r="CL373" s="25"/>
      <c r="CM373" s="25"/>
      <c r="CN373" s="25"/>
      <c r="CO373" s="25"/>
      <c r="CP373" s="25"/>
      <c r="CQ373" s="25"/>
      <c r="CR373" s="25"/>
      <c r="CS373" s="25"/>
    </row>
    <row r="374" spans="2:97">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c r="AV374" s="25"/>
      <c r="AW374" s="25"/>
      <c r="AX374" s="25"/>
      <c r="AY374" s="25"/>
      <c r="AZ374" s="25"/>
      <c r="BA374" s="25"/>
      <c r="BB374" s="25"/>
      <c r="BC374" s="25"/>
      <c r="BD374" s="25"/>
      <c r="BE374" s="25"/>
      <c r="BF374" s="25"/>
      <c r="BG374" s="25"/>
      <c r="BH374" s="25"/>
      <c r="BI374" s="25"/>
      <c r="BJ374" s="25"/>
      <c r="BK374" s="25"/>
      <c r="BL374" s="25"/>
      <c r="BM374" s="25"/>
      <c r="BN374" s="25"/>
      <c r="BO374" s="25"/>
      <c r="BP374" s="25"/>
      <c r="BQ374" s="25"/>
      <c r="BR374" s="25"/>
      <c r="BS374" s="25"/>
      <c r="BT374" s="25"/>
      <c r="BU374" s="25"/>
      <c r="BV374" s="25"/>
      <c r="BW374" s="25"/>
      <c r="BX374" s="25"/>
      <c r="BY374" s="25"/>
      <c r="BZ374" s="25"/>
      <c r="CA374" s="25"/>
      <c r="CB374" s="25"/>
      <c r="CC374" s="25"/>
      <c r="CD374" s="25"/>
      <c r="CE374" s="25"/>
      <c r="CF374" s="25"/>
      <c r="CG374" s="25"/>
      <c r="CH374" s="25"/>
      <c r="CI374" s="25"/>
      <c r="CJ374" s="25"/>
      <c r="CK374" s="25"/>
      <c r="CL374" s="25"/>
      <c r="CM374" s="25"/>
      <c r="CN374" s="25"/>
      <c r="CO374" s="25"/>
      <c r="CP374" s="25"/>
      <c r="CQ374" s="25"/>
      <c r="CR374" s="25"/>
      <c r="CS374" s="25"/>
    </row>
    <row r="375" spans="2:97">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c r="AV375" s="25"/>
      <c r="AW375" s="25"/>
      <c r="AX375" s="25"/>
      <c r="AY375" s="25"/>
      <c r="AZ375" s="25"/>
      <c r="BA375" s="25"/>
      <c r="BB375" s="25"/>
      <c r="BC375" s="25"/>
      <c r="BD375" s="25"/>
      <c r="BE375" s="25"/>
      <c r="BF375" s="25"/>
      <c r="BG375" s="25"/>
      <c r="BH375" s="25"/>
      <c r="BI375" s="25"/>
      <c r="BJ375" s="25"/>
      <c r="BK375" s="25"/>
      <c r="BL375" s="25"/>
      <c r="BM375" s="25"/>
      <c r="BN375" s="25"/>
      <c r="BO375" s="25"/>
      <c r="BP375" s="25"/>
      <c r="BQ375" s="25"/>
      <c r="BR375" s="25"/>
      <c r="BS375" s="25"/>
      <c r="BT375" s="25"/>
      <c r="BU375" s="25"/>
      <c r="BV375" s="25"/>
      <c r="BW375" s="25"/>
      <c r="BX375" s="25"/>
      <c r="BY375" s="25"/>
      <c r="BZ375" s="25"/>
      <c r="CA375" s="25"/>
      <c r="CB375" s="25"/>
      <c r="CC375" s="25"/>
      <c r="CD375" s="25"/>
      <c r="CE375" s="25"/>
      <c r="CF375" s="25"/>
      <c r="CG375" s="25"/>
      <c r="CH375" s="25"/>
      <c r="CI375" s="25"/>
      <c r="CJ375" s="25"/>
      <c r="CK375" s="25"/>
      <c r="CL375" s="25"/>
      <c r="CM375" s="25"/>
      <c r="CN375" s="25"/>
      <c r="CO375" s="25"/>
      <c r="CP375" s="25"/>
      <c r="CQ375" s="25"/>
      <c r="CR375" s="25"/>
      <c r="CS375" s="25"/>
    </row>
    <row r="376" spans="2:97">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c r="AV376" s="25"/>
      <c r="AW376" s="25"/>
      <c r="AX376" s="25"/>
      <c r="AY376" s="25"/>
      <c r="AZ376" s="25"/>
      <c r="BA376" s="25"/>
      <c r="BB376" s="25"/>
      <c r="BC376" s="25"/>
      <c r="BD376" s="25"/>
      <c r="BE376" s="25"/>
      <c r="BF376" s="25"/>
      <c r="BG376" s="25"/>
      <c r="BH376" s="25"/>
      <c r="BI376" s="25"/>
      <c r="BJ376" s="25"/>
      <c r="BK376" s="25"/>
      <c r="BL376" s="25"/>
      <c r="BM376" s="25"/>
      <c r="BN376" s="25"/>
      <c r="BO376" s="25"/>
      <c r="BP376" s="25"/>
      <c r="BQ376" s="25"/>
      <c r="BR376" s="25"/>
      <c r="BS376" s="25"/>
      <c r="BT376" s="25"/>
      <c r="BU376" s="25"/>
      <c r="BV376" s="25"/>
      <c r="BW376" s="25"/>
      <c r="BX376" s="25"/>
      <c r="BY376" s="25"/>
      <c r="BZ376" s="25"/>
      <c r="CA376" s="25"/>
      <c r="CB376" s="25"/>
      <c r="CC376" s="25"/>
      <c r="CD376" s="25"/>
      <c r="CE376" s="25"/>
      <c r="CF376" s="25"/>
      <c r="CG376" s="25"/>
      <c r="CH376" s="25"/>
      <c r="CI376" s="25"/>
      <c r="CJ376" s="25"/>
      <c r="CK376" s="25"/>
      <c r="CL376" s="25"/>
      <c r="CM376" s="25"/>
      <c r="CN376" s="25"/>
      <c r="CO376" s="25"/>
      <c r="CP376" s="25"/>
      <c r="CQ376" s="25"/>
      <c r="CR376" s="25"/>
      <c r="CS376" s="25"/>
    </row>
    <row r="377" spans="2:97">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c r="AV377" s="25"/>
      <c r="AW377" s="25"/>
      <c r="AX377" s="25"/>
      <c r="AY377" s="25"/>
      <c r="AZ377" s="25"/>
      <c r="BA377" s="25"/>
      <c r="BB377" s="25"/>
      <c r="BC377" s="25"/>
      <c r="BD377" s="25"/>
      <c r="BE377" s="25"/>
      <c r="BF377" s="25"/>
      <c r="BG377" s="25"/>
      <c r="BH377" s="25"/>
      <c r="BI377" s="25"/>
      <c r="BJ377" s="25"/>
      <c r="BK377" s="25"/>
      <c r="BL377" s="25"/>
      <c r="BM377" s="25"/>
      <c r="BN377" s="25"/>
      <c r="BO377" s="25"/>
      <c r="BP377" s="25"/>
      <c r="BQ377" s="25"/>
      <c r="BR377" s="25"/>
      <c r="BS377" s="25"/>
      <c r="BT377" s="25"/>
      <c r="BU377" s="25"/>
      <c r="BV377" s="25"/>
      <c r="BW377" s="25"/>
      <c r="BX377" s="25"/>
      <c r="BY377" s="25"/>
      <c r="BZ377" s="25"/>
      <c r="CA377" s="25"/>
      <c r="CB377" s="25"/>
      <c r="CC377" s="25"/>
      <c r="CD377" s="25"/>
      <c r="CE377" s="25"/>
      <c r="CF377" s="25"/>
      <c r="CG377" s="25"/>
      <c r="CH377" s="25"/>
      <c r="CI377" s="25"/>
      <c r="CJ377" s="25"/>
      <c r="CK377" s="25"/>
      <c r="CL377" s="25"/>
      <c r="CM377" s="25"/>
      <c r="CN377" s="25"/>
      <c r="CO377" s="25"/>
      <c r="CP377" s="25"/>
      <c r="CQ377" s="25"/>
      <c r="CR377" s="25"/>
      <c r="CS377" s="25"/>
    </row>
    <row r="378" spans="2:97">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c r="AV378" s="25"/>
      <c r="AW378" s="25"/>
      <c r="AX378" s="25"/>
      <c r="AY378" s="25"/>
      <c r="AZ378" s="25"/>
      <c r="BA378" s="25"/>
      <c r="BB378" s="25"/>
      <c r="BC378" s="25"/>
      <c r="BD378" s="25"/>
      <c r="BE378" s="25"/>
      <c r="BF378" s="25"/>
      <c r="BG378" s="25"/>
      <c r="BH378" s="25"/>
      <c r="BI378" s="25"/>
      <c r="BJ378" s="25"/>
      <c r="BK378" s="25"/>
      <c r="BL378" s="25"/>
      <c r="BM378" s="25"/>
      <c r="BN378" s="25"/>
      <c r="BO378" s="25"/>
      <c r="BP378" s="25"/>
      <c r="BQ378" s="25"/>
      <c r="BR378" s="25"/>
      <c r="BS378" s="25"/>
      <c r="BT378" s="25"/>
      <c r="BU378" s="25"/>
      <c r="BV378" s="25"/>
      <c r="BW378" s="25"/>
      <c r="BX378" s="25"/>
      <c r="BY378" s="25"/>
      <c r="BZ378" s="25"/>
      <c r="CA378" s="25"/>
      <c r="CB378" s="25"/>
      <c r="CC378" s="25"/>
      <c r="CD378" s="25"/>
      <c r="CE378" s="25"/>
      <c r="CF378" s="25"/>
      <c r="CG378" s="25"/>
      <c r="CH378" s="25"/>
      <c r="CI378" s="25"/>
      <c r="CJ378" s="25"/>
      <c r="CK378" s="25"/>
      <c r="CL378" s="25"/>
      <c r="CM378" s="25"/>
      <c r="CN378" s="25"/>
      <c r="CO378" s="25"/>
      <c r="CP378" s="25"/>
      <c r="CQ378" s="25"/>
      <c r="CR378" s="25"/>
      <c r="CS378" s="25"/>
    </row>
    <row r="379" spans="2:97">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c r="AV379" s="25"/>
      <c r="AW379" s="25"/>
      <c r="AX379" s="25"/>
      <c r="AY379" s="25"/>
      <c r="AZ379" s="25"/>
      <c r="BA379" s="25"/>
      <c r="BB379" s="25"/>
      <c r="BC379" s="25"/>
      <c r="BD379" s="25"/>
      <c r="BE379" s="25"/>
      <c r="BF379" s="25"/>
      <c r="BG379" s="25"/>
      <c r="BH379" s="25"/>
      <c r="BI379" s="25"/>
      <c r="BJ379" s="25"/>
      <c r="BK379" s="25"/>
      <c r="BL379" s="25"/>
      <c r="BM379" s="25"/>
      <c r="BN379" s="25"/>
      <c r="BO379" s="25"/>
      <c r="BP379" s="25"/>
      <c r="BQ379" s="25"/>
      <c r="BR379" s="25"/>
      <c r="BS379" s="25"/>
      <c r="BT379" s="25"/>
      <c r="BU379" s="25"/>
      <c r="BV379" s="25"/>
      <c r="BW379" s="25"/>
      <c r="BX379" s="25"/>
      <c r="BY379" s="25"/>
      <c r="BZ379" s="25"/>
      <c r="CA379" s="25"/>
      <c r="CB379" s="25"/>
      <c r="CC379" s="25"/>
      <c r="CD379" s="25"/>
      <c r="CE379" s="25"/>
      <c r="CF379" s="25"/>
      <c r="CG379" s="25"/>
      <c r="CH379" s="25"/>
      <c r="CI379" s="25"/>
      <c r="CJ379" s="25"/>
      <c r="CK379" s="25"/>
      <c r="CL379" s="25"/>
      <c r="CM379" s="25"/>
      <c r="CN379" s="25"/>
      <c r="CO379" s="25"/>
      <c r="CP379" s="25"/>
      <c r="CQ379" s="25"/>
      <c r="CR379" s="25"/>
      <c r="CS379" s="25"/>
    </row>
    <row r="380" spans="2:97">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c r="AV380" s="25"/>
      <c r="AW380" s="25"/>
      <c r="AX380" s="25"/>
      <c r="AY380" s="25"/>
      <c r="AZ380" s="25"/>
      <c r="BA380" s="25"/>
      <c r="BB380" s="25"/>
      <c r="BC380" s="25"/>
      <c r="BD380" s="25"/>
      <c r="BE380" s="25"/>
      <c r="BF380" s="25"/>
      <c r="BG380" s="25"/>
      <c r="BH380" s="25"/>
      <c r="BI380" s="25"/>
      <c r="BJ380" s="25"/>
      <c r="BK380" s="25"/>
      <c r="BL380" s="25"/>
      <c r="BM380" s="25"/>
      <c r="BN380" s="25"/>
      <c r="BO380" s="25"/>
      <c r="BP380" s="25"/>
      <c r="BQ380" s="25"/>
      <c r="BR380" s="25"/>
      <c r="BS380" s="25"/>
      <c r="BT380" s="25"/>
      <c r="BU380" s="25"/>
      <c r="BV380" s="25"/>
      <c r="BW380" s="25"/>
      <c r="BX380" s="25"/>
      <c r="BY380" s="25"/>
      <c r="BZ380" s="25"/>
      <c r="CA380" s="25"/>
      <c r="CB380" s="25"/>
      <c r="CC380" s="25"/>
      <c r="CD380" s="25"/>
      <c r="CE380" s="25"/>
      <c r="CF380" s="25"/>
      <c r="CG380" s="25"/>
      <c r="CH380" s="25"/>
      <c r="CI380" s="25"/>
      <c r="CJ380" s="25"/>
      <c r="CK380" s="25"/>
      <c r="CL380" s="25"/>
      <c r="CM380" s="25"/>
      <c r="CN380" s="25"/>
      <c r="CO380" s="25"/>
      <c r="CP380" s="25"/>
      <c r="CQ380" s="25"/>
      <c r="CR380" s="25"/>
      <c r="CS380" s="25"/>
    </row>
    <row r="381" spans="2:97">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c r="AV381" s="25"/>
      <c r="AW381" s="25"/>
      <c r="AX381" s="25"/>
      <c r="AY381" s="25"/>
      <c r="AZ381" s="25"/>
      <c r="BA381" s="25"/>
      <c r="BB381" s="25"/>
      <c r="BC381" s="25"/>
      <c r="BD381" s="25"/>
      <c r="BE381" s="25"/>
      <c r="BF381" s="25"/>
      <c r="BG381" s="25"/>
      <c r="BH381" s="25"/>
      <c r="BI381" s="25"/>
      <c r="BJ381" s="25"/>
      <c r="BK381" s="25"/>
      <c r="BL381" s="25"/>
      <c r="BM381" s="25"/>
      <c r="BN381" s="25"/>
      <c r="BO381" s="25"/>
      <c r="BP381" s="25"/>
      <c r="BQ381" s="25"/>
      <c r="BR381" s="25"/>
      <c r="BS381" s="25"/>
      <c r="BT381" s="25"/>
      <c r="BU381" s="25"/>
      <c r="BV381" s="25"/>
      <c r="BW381" s="25"/>
      <c r="BX381" s="25"/>
      <c r="BY381" s="25"/>
      <c r="BZ381" s="25"/>
      <c r="CA381" s="25"/>
      <c r="CB381" s="25"/>
      <c r="CC381" s="25"/>
      <c r="CD381" s="25"/>
      <c r="CE381" s="25"/>
      <c r="CF381" s="25"/>
      <c r="CG381" s="25"/>
      <c r="CH381" s="25"/>
      <c r="CI381" s="25"/>
      <c r="CJ381" s="25"/>
      <c r="CK381" s="25"/>
      <c r="CL381" s="25"/>
      <c r="CM381" s="25"/>
      <c r="CN381" s="25"/>
      <c r="CO381" s="25"/>
      <c r="CP381" s="25"/>
      <c r="CQ381" s="25"/>
      <c r="CR381" s="25"/>
      <c r="CS381" s="25"/>
    </row>
    <row r="382" spans="2:97">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c r="AV382" s="25"/>
      <c r="AW382" s="25"/>
      <c r="AX382" s="25"/>
      <c r="AY382" s="25"/>
      <c r="AZ382" s="25"/>
      <c r="BA382" s="25"/>
      <c r="BB382" s="25"/>
      <c r="BC382" s="25"/>
      <c r="BD382" s="25"/>
      <c r="BE382" s="25"/>
      <c r="BF382" s="25"/>
      <c r="BG382" s="25"/>
      <c r="BH382" s="25"/>
      <c r="BI382" s="25"/>
      <c r="BJ382" s="25"/>
      <c r="BK382" s="25"/>
      <c r="BL382" s="25"/>
      <c r="BM382" s="25"/>
      <c r="BN382" s="25"/>
      <c r="BO382" s="25"/>
      <c r="BP382" s="25"/>
      <c r="BQ382" s="25"/>
      <c r="BR382" s="25"/>
      <c r="BS382" s="25"/>
      <c r="BT382" s="25"/>
      <c r="BU382" s="25"/>
      <c r="BV382" s="25"/>
      <c r="BW382" s="25"/>
      <c r="BX382" s="25"/>
      <c r="BY382" s="25"/>
      <c r="BZ382" s="25"/>
      <c r="CA382" s="25"/>
      <c r="CB382" s="25"/>
      <c r="CC382" s="25"/>
      <c r="CD382" s="25"/>
      <c r="CE382" s="25"/>
      <c r="CF382" s="25"/>
      <c r="CG382" s="25"/>
      <c r="CH382" s="25"/>
      <c r="CI382" s="25"/>
      <c r="CJ382" s="25"/>
      <c r="CK382" s="25"/>
      <c r="CL382" s="25"/>
      <c r="CM382" s="25"/>
      <c r="CN382" s="25"/>
      <c r="CO382" s="25"/>
      <c r="CP382" s="25"/>
      <c r="CQ382" s="25"/>
      <c r="CR382" s="25"/>
      <c r="CS382" s="25"/>
    </row>
    <row r="383" spans="2:97">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c r="AV383" s="25"/>
      <c r="AW383" s="25"/>
      <c r="AX383" s="25"/>
      <c r="AY383" s="25"/>
      <c r="AZ383" s="25"/>
      <c r="BA383" s="25"/>
      <c r="BB383" s="25"/>
      <c r="BC383" s="25"/>
      <c r="BD383" s="25"/>
      <c r="BE383" s="25"/>
      <c r="BF383" s="25"/>
      <c r="BG383" s="25"/>
      <c r="BH383" s="25"/>
      <c r="BI383" s="25"/>
      <c r="BJ383" s="25"/>
      <c r="BK383" s="25"/>
      <c r="BL383" s="25"/>
      <c r="BM383" s="25"/>
      <c r="BN383" s="25"/>
      <c r="BO383" s="25"/>
      <c r="BP383" s="25"/>
      <c r="BQ383" s="25"/>
      <c r="BR383" s="25"/>
      <c r="BS383" s="25"/>
      <c r="BT383" s="25"/>
      <c r="BU383" s="25"/>
      <c r="BV383" s="25"/>
      <c r="BW383" s="25"/>
      <c r="BX383" s="25"/>
      <c r="BY383" s="25"/>
      <c r="BZ383" s="25"/>
      <c r="CA383" s="25"/>
      <c r="CB383" s="25"/>
      <c r="CC383" s="25"/>
      <c r="CD383" s="25"/>
      <c r="CE383" s="25"/>
      <c r="CF383" s="25"/>
      <c r="CG383" s="25"/>
      <c r="CH383" s="25"/>
      <c r="CI383" s="25"/>
      <c r="CJ383" s="25"/>
      <c r="CK383" s="25"/>
      <c r="CL383" s="25"/>
      <c r="CM383" s="25"/>
      <c r="CN383" s="25"/>
      <c r="CO383" s="25"/>
      <c r="CP383" s="25"/>
      <c r="CQ383" s="25"/>
      <c r="CR383" s="25"/>
      <c r="CS383" s="25"/>
    </row>
    <row r="384" spans="2:97">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c r="AV384" s="25"/>
      <c r="AW384" s="25"/>
      <c r="AX384" s="25"/>
      <c r="AY384" s="25"/>
      <c r="AZ384" s="25"/>
      <c r="BA384" s="25"/>
      <c r="BB384" s="25"/>
      <c r="BC384" s="25"/>
      <c r="BD384" s="25"/>
      <c r="BE384" s="25"/>
      <c r="BF384" s="25"/>
      <c r="BG384" s="25"/>
      <c r="BH384" s="25"/>
      <c r="BI384" s="25"/>
      <c r="BJ384" s="25"/>
      <c r="BK384" s="25"/>
      <c r="BL384" s="25"/>
      <c r="BM384" s="25"/>
      <c r="BN384" s="25"/>
      <c r="BO384" s="25"/>
      <c r="BP384" s="25"/>
      <c r="BQ384" s="25"/>
      <c r="BR384" s="25"/>
      <c r="BS384" s="25"/>
      <c r="BT384" s="25"/>
      <c r="BU384" s="25"/>
      <c r="BV384" s="25"/>
      <c r="BW384" s="25"/>
      <c r="BX384" s="25"/>
      <c r="BY384" s="25"/>
      <c r="BZ384" s="25"/>
      <c r="CA384" s="25"/>
      <c r="CB384" s="25"/>
      <c r="CC384" s="25"/>
      <c r="CD384" s="25"/>
      <c r="CE384" s="25"/>
      <c r="CF384" s="25"/>
      <c r="CG384" s="25"/>
      <c r="CH384" s="25"/>
      <c r="CI384" s="25"/>
      <c r="CJ384" s="25"/>
      <c r="CK384" s="25"/>
      <c r="CL384" s="25"/>
      <c r="CM384" s="25"/>
      <c r="CN384" s="25"/>
      <c r="CO384" s="25"/>
      <c r="CP384" s="25"/>
      <c r="CQ384" s="25"/>
      <c r="CR384" s="25"/>
      <c r="CS384" s="25"/>
    </row>
    <row r="385" spans="2:97">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c r="AV385" s="25"/>
      <c r="AW385" s="25"/>
      <c r="AX385" s="25"/>
      <c r="AY385" s="25"/>
      <c r="AZ385" s="25"/>
      <c r="BA385" s="25"/>
      <c r="BB385" s="25"/>
      <c r="BC385" s="25"/>
      <c r="BD385" s="25"/>
      <c r="BE385" s="25"/>
      <c r="BF385" s="25"/>
      <c r="BG385" s="25"/>
      <c r="BH385" s="25"/>
      <c r="BI385" s="25"/>
      <c r="BJ385" s="25"/>
      <c r="BK385" s="25"/>
      <c r="BL385" s="25"/>
      <c r="BM385" s="25"/>
      <c r="BN385" s="25"/>
      <c r="BO385" s="25"/>
      <c r="BP385" s="25"/>
      <c r="BQ385" s="25"/>
      <c r="BR385" s="25"/>
      <c r="BS385" s="25"/>
      <c r="BT385" s="25"/>
      <c r="BU385" s="25"/>
      <c r="BV385" s="25"/>
      <c r="BW385" s="25"/>
      <c r="BX385" s="25"/>
      <c r="BY385" s="25"/>
      <c r="BZ385" s="25"/>
      <c r="CA385" s="25"/>
      <c r="CB385" s="25"/>
      <c r="CC385" s="25"/>
      <c r="CD385" s="25"/>
      <c r="CE385" s="25"/>
      <c r="CF385" s="25"/>
      <c r="CG385" s="25"/>
      <c r="CH385" s="25"/>
      <c r="CI385" s="25"/>
      <c r="CJ385" s="25"/>
      <c r="CK385" s="25"/>
      <c r="CL385" s="25"/>
      <c r="CM385" s="25"/>
      <c r="CN385" s="25"/>
      <c r="CO385" s="25"/>
      <c r="CP385" s="25"/>
      <c r="CQ385" s="25"/>
      <c r="CR385" s="25"/>
      <c r="CS385" s="25"/>
    </row>
    <row r="386" spans="2:97">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c r="AV386" s="25"/>
      <c r="AW386" s="25"/>
      <c r="AX386" s="25"/>
      <c r="AY386" s="25"/>
      <c r="AZ386" s="25"/>
      <c r="BA386" s="25"/>
      <c r="BB386" s="25"/>
      <c r="BC386" s="25"/>
      <c r="BD386" s="25"/>
      <c r="BE386" s="25"/>
      <c r="BF386" s="25"/>
      <c r="BG386" s="25"/>
      <c r="BH386" s="25"/>
      <c r="BI386" s="25"/>
      <c r="BJ386" s="25"/>
      <c r="BK386" s="25"/>
      <c r="BL386" s="25"/>
      <c r="BM386" s="25"/>
      <c r="BN386" s="25"/>
      <c r="BO386" s="25"/>
      <c r="BP386" s="25"/>
      <c r="BQ386" s="25"/>
      <c r="BR386" s="25"/>
      <c r="BS386" s="25"/>
      <c r="BT386" s="25"/>
      <c r="BU386" s="25"/>
      <c r="BV386" s="25"/>
      <c r="BW386" s="25"/>
      <c r="BX386" s="25"/>
      <c r="BY386" s="25"/>
      <c r="BZ386" s="25"/>
      <c r="CA386" s="25"/>
      <c r="CB386" s="25"/>
      <c r="CC386" s="25"/>
      <c r="CD386" s="25"/>
      <c r="CE386" s="25"/>
      <c r="CF386" s="25"/>
      <c r="CG386" s="25"/>
      <c r="CH386" s="25"/>
      <c r="CI386" s="25"/>
      <c r="CJ386" s="25"/>
      <c r="CK386" s="25"/>
      <c r="CL386" s="25"/>
      <c r="CM386" s="25"/>
      <c r="CN386" s="25"/>
      <c r="CO386" s="25"/>
      <c r="CP386" s="25"/>
      <c r="CQ386" s="25"/>
      <c r="CR386" s="25"/>
      <c r="CS386" s="25"/>
    </row>
    <row r="387" spans="2:97">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c r="AV387" s="25"/>
      <c r="AW387" s="25"/>
      <c r="AX387" s="25"/>
      <c r="AY387" s="25"/>
      <c r="AZ387" s="25"/>
      <c r="BA387" s="25"/>
      <c r="BB387" s="25"/>
      <c r="BC387" s="25"/>
      <c r="BD387" s="25"/>
      <c r="BE387" s="25"/>
      <c r="BF387" s="25"/>
      <c r="BG387" s="25"/>
      <c r="BH387" s="25"/>
      <c r="BI387" s="25"/>
      <c r="BJ387" s="25"/>
      <c r="BK387" s="25"/>
      <c r="BL387" s="25"/>
      <c r="BM387" s="25"/>
      <c r="BN387" s="25"/>
      <c r="BO387" s="25"/>
      <c r="BP387" s="25"/>
      <c r="BQ387" s="25"/>
      <c r="BR387" s="25"/>
      <c r="BS387" s="25"/>
      <c r="BT387" s="25"/>
      <c r="BU387" s="25"/>
      <c r="BV387" s="25"/>
      <c r="BW387" s="25"/>
      <c r="BX387" s="25"/>
      <c r="BY387" s="25"/>
      <c r="BZ387" s="25"/>
      <c r="CA387" s="25"/>
      <c r="CB387" s="25"/>
      <c r="CC387" s="25"/>
      <c r="CD387" s="25"/>
      <c r="CE387" s="25"/>
      <c r="CF387" s="25"/>
      <c r="CG387" s="25"/>
      <c r="CH387" s="25"/>
      <c r="CI387" s="25"/>
      <c r="CJ387" s="25"/>
      <c r="CK387" s="25"/>
      <c r="CL387" s="25"/>
      <c r="CM387" s="25"/>
      <c r="CN387" s="25"/>
      <c r="CO387" s="25"/>
      <c r="CP387" s="25"/>
      <c r="CQ387" s="25"/>
      <c r="CR387" s="25"/>
      <c r="CS387" s="25"/>
    </row>
    <row r="388" spans="2:97">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c r="AV388" s="25"/>
      <c r="AW388" s="25"/>
      <c r="AX388" s="25"/>
      <c r="AY388" s="25"/>
      <c r="AZ388" s="25"/>
      <c r="BA388" s="25"/>
      <c r="BB388" s="25"/>
      <c r="BC388" s="25"/>
      <c r="BD388" s="25"/>
      <c r="BE388" s="25"/>
      <c r="BF388" s="25"/>
      <c r="BG388" s="25"/>
      <c r="BH388" s="25"/>
      <c r="BI388" s="25"/>
      <c r="BJ388" s="25"/>
      <c r="BK388" s="25"/>
      <c r="BL388" s="25"/>
      <c r="BM388" s="25"/>
      <c r="BN388" s="25"/>
      <c r="BO388" s="25"/>
      <c r="BP388" s="25"/>
      <c r="BQ388" s="25"/>
      <c r="BR388" s="25"/>
      <c r="BS388" s="25"/>
      <c r="BT388" s="25"/>
      <c r="BU388" s="25"/>
      <c r="BV388" s="25"/>
      <c r="BW388" s="25"/>
      <c r="BX388" s="25"/>
      <c r="BY388" s="25"/>
      <c r="BZ388" s="25"/>
      <c r="CA388" s="25"/>
      <c r="CB388" s="25"/>
      <c r="CC388" s="25"/>
      <c r="CD388" s="25"/>
      <c r="CE388" s="25"/>
      <c r="CF388" s="25"/>
      <c r="CG388" s="25"/>
      <c r="CH388" s="25"/>
      <c r="CI388" s="25"/>
      <c r="CJ388" s="25"/>
      <c r="CK388" s="25"/>
      <c r="CL388" s="25"/>
      <c r="CM388" s="25"/>
      <c r="CN388" s="25"/>
      <c r="CO388" s="25"/>
      <c r="CP388" s="25"/>
      <c r="CQ388" s="25"/>
      <c r="CR388" s="25"/>
      <c r="CS388" s="25"/>
    </row>
    <row r="389" spans="2:97">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c r="AV389" s="25"/>
      <c r="AW389" s="25"/>
      <c r="AX389" s="25"/>
      <c r="AY389" s="25"/>
      <c r="AZ389" s="25"/>
      <c r="BA389" s="25"/>
      <c r="BB389" s="25"/>
      <c r="BC389" s="25"/>
      <c r="BD389" s="25"/>
      <c r="BE389" s="25"/>
      <c r="BF389" s="25"/>
      <c r="BG389" s="25"/>
      <c r="BH389" s="25"/>
      <c r="BI389" s="25"/>
      <c r="BJ389" s="25"/>
      <c r="BK389" s="25"/>
      <c r="BL389" s="25"/>
      <c r="BM389" s="25"/>
      <c r="BN389" s="25"/>
      <c r="BO389" s="25"/>
      <c r="BP389" s="25"/>
      <c r="BQ389" s="25"/>
      <c r="BR389" s="25"/>
      <c r="BS389" s="25"/>
      <c r="BT389" s="25"/>
      <c r="BU389" s="25"/>
      <c r="BV389" s="25"/>
      <c r="BW389" s="25"/>
      <c r="BX389" s="25"/>
      <c r="BY389" s="25"/>
      <c r="BZ389" s="25"/>
      <c r="CA389" s="25"/>
      <c r="CB389" s="25"/>
      <c r="CC389" s="25"/>
      <c r="CD389" s="25"/>
      <c r="CE389" s="25"/>
      <c r="CF389" s="25"/>
      <c r="CG389" s="25"/>
      <c r="CH389" s="25"/>
      <c r="CI389" s="25"/>
      <c r="CJ389" s="25"/>
      <c r="CK389" s="25"/>
      <c r="CL389" s="25"/>
      <c r="CM389" s="25"/>
      <c r="CN389" s="25"/>
      <c r="CO389" s="25"/>
      <c r="CP389" s="25"/>
      <c r="CQ389" s="25"/>
      <c r="CR389" s="25"/>
      <c r="CS389" s="25"/>
    </row>
    <row r="390" spans="2:97">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c r="AV390" s="25"/>
      <c r="AW390" s="25"/>
      <c r="AX390" s="25"/>
      <c r="AY390" s="25"/>
      <c r="AZ390" s="25"/>
      <c r="BA390" s="25"/>
      <c r="BB390" s="25"/>
      <c r="BC390" s="25"/>
      <c r="BD390" s="25"/>
      <c r="BE390" s="25"/>
      <c r="BF390" s="25"/>
      <c r="BG390" s="25"/>
      <c r="BH390" s="25"/>
      <c r="BI390" s="25"/>
      <c r="BJ390" s="25"/>
      <c r="BK390" s="25"/>
      <c r="BL390" s="25"/>
      <c r="BM390" s="25"/>
      <c r="BN390" s="25"/>
      <c r="BO390" s="25"/>
      <c r="BP390" s="25"/>
      <c r="BQ390" s="25"/>
      <c r="BR390" s="25"/>
      <c r="BS390" s="25"/>
      <c r="BT390" s="25"/>
      <c r="BU390" s="25"/>
      <c r="BV390" s="25"/>
      <c r="BW390" s="25"/>
      <c r="BX390" s="25"/>
      <c r="BY390" s="25"/>
      <c r="BZ390" s="25"/>
      <c r="CA390" s="25"/>
      <c r="CB390" s="25"/>
      <c r="CC390" s="25"/>
      <c r="CD390" s="25"/>
      <c r="CE390" s="25"/>
      <c r="CF390" s="25"/>
      <c r="CG390" s="25"/>
      <c r="CH390" s="25"/>
      <c r="CI390" s="25"/>
      <c r="CJ390" s="25"/>
      <c r="CK390" s="25"/>
      <c r="CL390" s="25"/>
      <c r="CM390" s="25"/>
      <c r="CN390" s="25"/>
      <c r="CO390" s="25"/>
      <c r="CP390" s="25"/>
      <c r="CQ390" s="25"/>
      <c r="CR390" s="25"/>
      <c r="CS390" s="25"/>
    </row>
    <row r="391" spans="2:97">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c r="AV391" s="25"/>
      <c r="AW391" s="25"/>
      <c r="AX391" s="25"/>
      <c r="AY391" s="25"/>
      <c r="AZ391" s="25"/>
      <c r="BA391" s="25"/>
      <c r="BB391" s="25"/>
      <c r="BC391" s="25"/>
      <c r="BD391" s="25"/>
      <c r="BE391" s="25"/>
      <c r="BF391" s="25"/>
      <c r="BG391" s="25"/>
      <c r="BH391" s="25"/>
      <c r="BI391" s="25"/>
      <c r="BJ391" s="25"/>
      <c r="BK391" s="25"/>
      <c r="BL391" s="25"/>
      <c r="BM391" s="25"/>
      <c r="BN391" s="25"/>
      <c r="BO391" s="25"/>
      <c r="BP391" s="25"/>
      <c r="BQ391" s="25"/>
      <c r="BR391" s="25"/>
      <c r="BS391" s="25"/>
      <c r="BT391" s="25"/>
      <c r="BU391" s="25"/>
      <c r="BV391" s="25"/>
      <c r="BW391" s="25"/>
      <c r="BX391" s="25"/>
      <c r="BY391" s="25"/>
      <c r="BZ391" s="25"/>
      <c r="CA391" s="25"/>
      <c r="CB391" s="25"/>
      <c r="CC391" s="25"/>
      <c r="CD391" s="25"/>
      <c r="CE391" s="25"/>
      <c r="CF391" s="25"/>
      <c r="CG391" s="25"/>
      <c r="CH391" s="25"/>
      <c r="CI391" s="25"/>
      <c r="CJ391" s="25"/>
      <c r="CK391" s="25"/>
      <c r="CL391" s="25"/>
      <c r="CM391" s="25"/>
      <c r="CN391" s="25"/>
      <c r="CO391" s="25"/>
      <c r="CP391" s="25"/>
      <c r="CQ391" s="25"/>
      <c r="CR391" s="25"/>
      <c r="CS391" s="25"/>
    </row>
    <row r="392" spans="2:97">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c r="AV392" s="25"/>
      <c r="AW392" s="25"/>
      <c r="AX392" s="25"/>
      <c r="AY392" s="25"/>
      <c r="AZ392" s="25"/>
      <c r="BA392" s="25"/>
      <c r="BB392" s="25"/>
      <c r="BC392" s="25"/>
      <c r="BD392" s="25"/>
      <c r="BE392" s="25"/>
      <c r="BF392" s="25"/>
      <c r="BG392" s="25"/>
      <c r="BH392" s="25"/>
      <c r="BI392" s="25"/>
      <c r="BJ392" s="25"/>
      <c r="BK392" s="25"/>
      <c r="BL392" s="25"/>
      <c r="BM392" s="25"/>
      <c r="BN392" s="25"/>
      <c r="BO392" s="25"/>
      <c r="BP392" s="25"/>
      <c r="BQ392" s="25"/>
      <c r="BR392" s="25"/>
      <c r="BS392" s="25"/>
      <c r="BT392" s="25"/>
      <c r="BU392" s="25"/>
      <c r="BV392" s="25"/>
      <c r="BW392" s="25"/>
      <c r="BX392" s="25"/>
      <c r="BY392" s="25"/>
      <c r="BZ392" s="25"/>
      <c r="CA392" s="25"/>
      <c r="CB392" s="25"/>
      <c r="CC392" s="25"/>
      <c r="CD392" s="25"/>
      <c r="CE392" s="25"/>
      <c r="CF392" s="25"/>
      <c r="CG392" s="25"/>
      <c r="CH392" s="25"/>
      <c r="CI392" s="25"/>
      <c r="CJ392" s="25"/>
      <c r="CK392" s="25"/>
      <c r="CL392" s="25"/>
      <c r="CM392" s="25"/>
      <c r="CN392" s="25"/>
      <c r="CO392" s="25"/>
      <c r="CP392" s="25"/>
      <c r="CQ392" s="25"/>
      <c r="CR392" s="25"/>
      <c r="CS392" s="25"/>
    </row>
    <row r="393" spans="2:97">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c r="AV393" s="25"/>
      <c r="AW393" s="25"/>
      <c r="AX393" s="25"/>
      <c r="AY393" s="25"/>
      <c r="AZ393" s="25"/>
      <c r="BA393" s="25"/>
      <c r="BB393" s="25"/>
      <c r="BC393" s="25"/>
      <c r="BD393" s="25"/>
      <c r="BE393" s="25"/>
      <c r="BF393" s="25"/>
      <c r="BG393" s="25"/>
      <c r="BH393" s="25"/>
      <c r="BI393" s="25"/>
      <c r="BJ393" s="25"/>
      <c r="BK393" s="25"/>
      <c r="BL393" s="25"/>
      <c r="BM393" s="25"/>
      <c r="BN393" s="25"/>
      <c r="BO393" s="25"/>
      <c r="BP393" s="25"/>
      <c r="BQ393" s="25"/>
      <c r="BR393" s="25"/>
      <c r="BS393" s="25"/>
      <c r="BT393" s="25"/>
      <c r="BU393" s="25"/>
      <c r="BV393" s="25"/>
      <c r="BW393" s="25"/>
      <c r="BX393" s="25"/>
      <c r="BY393" s="25"/>
      <c r="BZ393" s="25"/>
      <c r="CA393" s="25"/>
      <c r="CB393" s="25"/>
      <c r="CC393" s="25"/>
      <c r="CD393" s="25"/>
      <c r="CE393" s="25"/>
      <c r="CF393" s="25"/>
      <c r="CG393" s="25"/>
      <c r="CH393" s="25"/>
      <c r="CI393" s="25"/>
      <c r="CJ393" s="25"/>
      <c r="CK393" s="25"/>
      <c r="CL393" s="25"/>
      <c r="CM393" s="25"/>
      <c r="CN393" s="25"/>
      <c r="CO393" s="25"/>
      <c r="CP393" s="25"/>
      <c r="CQ393" s="25"/>
      <c r="CR393" s="25"/>
      <c r="CS393" s="25"/>
    </row>
    <row r="394" spans="2:97">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c r="AV394" s="25"/>
      <c r="AW394" s="25"/>
      <c r="AX394" s="25"/>
      <c r="AY394" s="25"/>
      <c r="AZ394" s="25"/>
      <c r="BA394" s="25"/>
      <c r="BB394" s="25"/>
      <c r="BC394" s="25"/>
      <c r="BD394" s="25"/>
      <c r="BE394" s="25"/>
      <c r="BF394" s="25"/>
      <c r="BG394" s="25"/>
      <c r="BH394" s="25"/>
      <c r="BI394" s="25"/>
      <c r="BJ394" s="25"/>
      <c r="BK394" s="25"/>
      <c r="BL394" s="25"/>
      <c r="BM394" s="25"/>
      <c r="BN394" s="25"/>
      <c r="BO394" s="25"/>
      <c r="BP394" s="25"/>
      <c r="BQ394" s="25"/>
      <c r="BR394" s="25"/>
      <c r="BS394" s="25"/>
      <c r="BT394" s="25"/>
      <c r="BU394" s="25"/>
      <c r="BV394" s="25"/>
      <c r="BW394" s="25"/>
      <c r="BX394" s="25"/>
      <c r="BY394" s="25"/>
      <c r="BZ394" s="25"/>
      <c r="CA394" s="25"/>
      <c r="CB394" s="25"/>
      <c r="CC394" s="25"/>
      <c r="CD394" s="25"/>
      <c r="CE394" s="25"/>
      <c r="CF394" s="25"/>
      <c r="CG394" s="25"/>
      <c r="CH394" s="25"/>
      <c r="CI394" s="25"/>
      <c r="CJ394" s="25"/>
      <c r="CK394" s="25"/>
      <c r="CL394" s="25"/>
      <c r="CM394" s="25"/>
      <c r="CN394" s="25"/>
      <c r="CO394" s="25"/>
      <c r="CP394" s="25"/>
      <c r="CQ394" s="25"/>
      <c r="CR394" s="25"/>
      <c r="CS394" s="25"/>
    </row>
    <row r="395" spans="2:97">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c r="AV395" s="25"/>
      <c r="AW395" s="25"/>
      <c r="AX395" s="25"/>
      <c r="AY395" s="25"/>
      <c r="AZ395" s="25"/>
      <c r="BA395" s="25"/>
      <c r="BB395" s="25"/>
      <c r="BC395" s="25"/>
      <c r="BD395" s="25"/>
      <c r="BE395" s="25"/>
      <c r="BF395" s="25"/>
      <c r="BG395" s="25"/>
      <c r="BH395" s="25"/>
      <c r="BI395" s="25"/>
      <c r="BJ395" s="25"/>
      <c r="BK395" s="25"/>
      <c r="BL395" s="25"/>
      <c r="BM395" s="25"/>
      <c r="BN395" s="25"/>
      <c r="BO395" s="25"/>
      <c r="BP395" s="25"/>
      <c r="BQ395" s="25"/>
      <c r="BR395" s="25"/>
      <c r="BS395" s="25"/>
      <c r="BT395" s="25"/>
      <c r="BU395" s="25"/>
      <c r="BV395" s="25"/>
      <c r="BW395" s="25"/>
      <c r="BX395" s="25"/>
      <c r="BY395" s="25"/>
      <c r="BZ395" s="25"/>
      <c r="CA395" s="25"/>
      <c r="CB395" s="25"/>
      <c r="CC395" s="25"/>
      <c r="CD395" s="25"/>
      <c r="CE395" s="25"/>
      <c r="CF395" s="25"/>
      <c r="CG395" s="25"/>
      <c r="CH395" s="25"/>
      <c r="CI395" s="25"/>
      <c r="CJ395" s="25"/>
      <c r="CK395" s="25"/>
      <c r="CL395" s="25"/>
      <c r="CM395" s="25"/>
      <c r="CN395" s="25"/>
      <c r="CO395" s="25"/>
      <c r="CP395" s="25"/>
      <c r="CQ395" s="25"/>
      <c r="CR395" s="25"/>
      <c r="CS395" s="25"/>
    </row>
    <row r="396" spans="2:97">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c r="AV396" s="25"/>
      <c r="AW396" s="25"/>
      <c r="AX396" s="25"/>
      <c r="AY396" s="25"/>
      <c r="AZ396" s="25"/>
      <c r="BA396" s="25"/>
      <c r="BB396" s="25"/>
      <c r="BC396" s="25"/>
      <c r="BD396" s="25"/>
      <c r="BE396" s="25"/>
      <c r="BF396" s="25"/>
      <c r="BG396" s="25"/>
      <c r="BH396" s="25"/>
      <c r="BI396" s="25"/>
      <c r="BJ396" s="25"/>
      <c r="BK396" s="25"/>
      <c r="BL396" s="25"/>
      <c r="BM396" s="25"/>
      <c r="BN396" s="25"/>
      <c r="BO396" s="25"/>
      <c r="BP396" s="25"/>
      <c r="BQ396" s="25"/>
      <c r="BR396" s="25"/>
      <c r="BS396" s="25"/>
      <c r="BT396" s="25"/>
      <c r="BU396" s="25"/>
      <c r="BV396" s="25"/>
      <c r="BW396" s="25"/>
      <c r="BX396" s="25"/>
      <c r="BY396" s="25"/>
      <c r="BZ396" s="25"/>
      <c r="CA396" s="25"/>
      <c r="CB396" s="25"/>
      <c r="CC396" s="25"/>
      <c r="CD396" s="25"/>
      <c r="CE396" s="25"/>
      <c r="CF396" s="25"/>
      <c r="CG396" s="25"/>
      <c r="CH396" s="25"/>
      <c r="CI396" s="25"/>
      <c r="CJ396" s="25"/>
      <c r="CK396" s="25"/>
      <c r="CL396" s="25"/>
      <c r="CM396" s="25"/>
      <c r="CN396" s="25"/>
      <c r="CO396" s="25"/>
      <c r="CP396" s="25"/>
      <c r="CQ396" s="25"/>
      <c r="CR396" s="25"/>
      <c r="CS396" s="25"/>
    </row>
    <row r="397" spans="2:97">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c r="AV397" s="25"/>
      <c r="AW397" s="25"/>
      <c r="AX397" s="25"/>
      <c r="AY397" s="25"/>
      <c r="AZ397" s="25"/>
      <c r="BA397" s="25"/>
      <c r="BB397" s="25"/>
      <c r="BC397" s="25"/>
      <c r="BD397" s="25"/>
      <c r="BE397" s="25"/>
      <c r="BF397" s="25"/>
      <c r="BG397" s="25"/>
      <c r="BH397" s="25"/>
      <c r="BI397" s="25"/>
      <c r="BJ397" s="25"/>
      <c r="BK397" s="25"/>
      <c r="BL397" s="25"/>
      <c r="BM397" s="25"/>
      <c r="BN397" s="25"/>
      <c r="BO397" s="25"/>
      <c r="BP397" s="25"/>
      <c r="BQ397" s="25"/>
      <c r="BR397" s="25"/>
      <c r="BS397" s="25"/>
      <c r="BT397" s="25"/>
      <c r="BU397" s="25"/>
      <c r="BV397" s="25"/>
      <c r="BW397" s="25"/>
      <c r="BX397" s="25"/>
      <c r="BY397" s="25"/>
      <c r="BZ397" s="25"/>
      <c r="CA397" s="25"/>
      <c r="CB397" s="25"/>
      <c r="CC397" s="25"/>
      <c r="CD397" s="25"/>
      <c r="CE397" s="25"/>
      <c r="CF397" s="25"/>
      <c r="CG397" s="25"/>
      <c r="CH397" s="25"/>
      <c r="CI397" s="25"/>
      <c r="CJ397" s="25"/>
      <c r="CK397" s="25"/>
      <c r="CL397" s="25"/>
      <c r="CM397" s="25"/>
      <c r="CN397" s="25"/>
      <c r="CO397" s="25"/>
      <c r="CP397" s="25"/>
      <c r="CQ397" s="25"/>
      <c r="CR397" s="25"/>
      <c r="CS397" s="25"/>
    </row>
    <row r="398" spans="2:97">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c r="AV398" s="25"/>
      <c r="AW398" s="25"/>
      <c r="AX398" s="25"/>
      <c r="AY398" s="25"/>
      <c r="AZ398" s="25"/>
      <c r="BA398" s="25"/>
      <c r="BB398" s="25"/>
      <c r="BC398" s="25"/>
      <c r="BD398" s="25"/>
      <c r="BE398" s="25"/>
      <c r="BF398" s="25"/>
      <c r="BG398" s="25"/>
      <c r="BH398" s="25"/>
      <c r="BI398" s="25"/>
      <c r="BJ398" s="25"/>
      <c r="BK398" s="25"/>
      <c r="BL398" s="25"/>
      <c r="BM398" s="25"/>
      <c r="BN398" s="25"/>
      <c r="BO398" s="25"/>
      <c r="BP398" s="25"/>
      <c r="BQ398" s="25"/>
      <c r="BR398" s="25"/>
      <c r="BS398" s="25"/>
      <c r="BT398" s="25"/>
      <c r="BU398" s="25"/>
      <c r="BV398" s="25"/>
      <c r="BW398" s="25"/>
      <c r="BX398" s="25"/>
      <c r="BY398" s="25"/>
      <c r="BZ398" s="25"/>
      <c r="CA398" s="25"/>
      <c r="CB398" s="25"/>
      <c r="CC398" s="25"/>
      <c r="CD398" s="25"/>
      <c r="CE398" s="25"/>
      <c r="CF398" s="25"/>
      <c r="CG398" s="25"/>
      <c r="CH398" s="25"/>
      <c r="CI398" s="25"/>
      <c r="CJ398" s="25"/>
      <c r="CK398" s="25"/>
      <c r="CL398" s="25"/>
      <c r="CM398" s="25"/>
      <c r="CN398" s="25"/>
      <c r="CO398" s="25"/>
      <c r="CP398" s="25"/>
      <c r="CQ398" s="25"/>
      <c r="CR398" s="25"/>
      <c r="CS398" s="25"/>
    </row>
    <row r="399" spans="2:97">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c r="AV399" s="25"/>
      <c r="AW399" s="25"/>
      <c r="AX399" s="25"/>
      <c r="AY399" s="25"/>
      <c r="AZ399" s="25"/>
      <c r="BA399" s="25"/>
      <c r="BB399" s="25"/>
      <c r="BC399" s="25"/>
      <c r="BD399" s="25"/>
      <c r="BE399" s="25"/>
      <c r="BF399" s="25"/>
      <c r="BG399" s="25"/>
      <c r="BH399" s="25"/>
      <c r="BI399" s="25"/>
      <c r="BJ399" s="25"/>
      <c r="BK399" s="25"/>
      <c r="BL399" s="25"/>
      <c r="BM399" s="25"/>
      <c r="BN399" s="25"/>
      <c r="BO399" s="25"/>
      <c r="BP399" s="25"/>
      <c r="BQ399" s="25"/>
      <c r="BR399" s="25"/>
      <c r="BS399" s="25"/>
      <c r="BT399" s="25"/>
      <c r="BU399" s="25"/>
      <c r="BV399" s="25"/>
      <c r="BW399" s="25"/>
      <c r="BX399" s="25"/>
      <c r="BY399" s="25"/>
      <c r="BZ399" s="25"/>
      <c r="CA399" s="25"/>
      <c r="CB399" s="25"/>
      <c r="CC399" s="25"/>
      <c r="CD399" s="25"/>
      <c r="CE399" s="25"/>
      <c r="CF399" s="25"/>
      <c r="CG399" s="25"/>
      <c r="CH399" s="25"/>
      <c r="CI399" s="25"/>
      <c r="CJ399" s="25"/>
      <c r="CK399" s="25"/>
      <c r="CL399" s="25"/>
      <c r="CM399" s="25"/>
      <c r="CN399" s="25"/>
      <c r="CO399" s="25"/>
      <c r="CP399" s="25"/>
      <c r="CQ399" s="25"/>
      <c r="CR399" s="25"/>
      <c r="CS399" s="25"/>
    </row>
    <row r="400" spans="2:97">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c r="AV400" s="25"/>
      <c r="AW400" s="25"/>
      <c r="AX400" s="25"/>
      <c r="AY400" s="25"/>
      <c r="AZ400" s="25"/>
      <c r="BA400" s="25"/>
      <c r="BB400" s="25"/>
      <c r="BC400" s="25"/>
      <c r="BD400" s="25"/>
      <c r="BE400" s="25"/>
      <c r="BF400" s="25"/>
      <c r="BG400" s="25"/>
      <c r="BH400" s="25"/>
      <c r="BI400" s="25"/>
      <c r="BJ400" s="25"/>
      <c r="BK400" s="25"/>
      <c r="BL400" s="25"/>
      <c r="BM400" s="25"/>
      <c r="BN400" s="25"/>
      <c r="BO400" s="25"/>
      <c r="BP400" s="25"/>
      <c r="BQ400" s="25"/>
      <c r="BR400" s="25"/>
      <c r="BS400" s="25"/>
      <c r="BT400" s="25"/>
      <c r="BU400" s="25"/>
      <c r="BV400" s="25"/>
      <c r="BW400" s="25"/>
      <c r="BX400" s="25"/>
      <c r="BY400" s="25"/>
      <c r="BZ400" s="25"/>
      <c r="CA400" s="25"/>
      <c r="CB400" s="25"/>
      <c r="CC400" s="25"/>
      <c r="CD400" s="25"/>
      <c r="CE400" s="25"/>
      <c r="CF400" s="25"/>
      <c r="CG400" s="25"/>
      <c r="CH400" s="25"/>
      <c r="CI400" s="25"/>
      <c r="CJ400" s="25"/>
      <c r="CK400" s="25"/>
      <c r="CL400" s="25"/>
      <c r="CM400" s="25"/>
      <c r="CN400" s="25"/>
      <c r="CO400" s="25"/>
      <c r="CP400" s="25"/>
      <c r="CQ400" s="25"/>
      <c r="CR400" s="25"/>
      <c r="CS400" s="25"/>
    </row>
    <row r="401" spans="2:97">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c r="AV401" s="25"/>
      <c r="AW401" s="25"/>
      <c r="AX401" s="25"/>
      <c r="AY401" s="25"/>
      <c r="AZ401" s="25"/>
      <c r="BA401" s="25"/>
      <c r="BB401" s="25"/>
      <c r="BC401" s="25"/>
      <c r="BD401" s="25"/>
      <c r="BE401" s="25"/>
      <c r="BF401" s="25"/>
      <c r="BG401" s="25"/>
      <c r="BH401" s="25"/>
      <c r="BI401" s="25"/>
      <c r="BJ401" s="25"/>
      <c r="BK401" s="25"/>
      <c r="BL401" s="25"/>
      <c r="BM401" s="25"/>
      <c r="BN401" s="25"/>
      <c r="BO401" s="25"/>
      <c r="BP401" s="25"/>
      <c r="BQ401" s="25"/>
      <c r="BR401" s="25"/>
      <c r="BS401" s="25"/>
      <c r="BT401" s="25"/>
      <c r="BU401" s="25"/>
      <c r="BV401" s="25"/>
      <c r="BW401" s="25"/>
      <c r="BX401" s="25"/>
      <c r="BY401" s="25"/>
      <c r="BZ401" s="25"/>
      <c r="CA401" s="25"/>
      <c r="CB401" s="25"/>
      <c r="CC401" s="25"/>
      <c r="CD401" s="25"/>
      <c r="CE401" s="25"/>
      <c r="CF401" s="25"/>
      <c r="CG401" s="25"/>
      <c r="CH401" s="25"/>
      <c r="CI401" s="25"/>
      <c r="CJ401" s="25"/>
      <c r="CK401" s="25"/>
      <c r="CL401" s="25"/>
      <c r="CM401" s="25"/>
      <c r="CN401" s="25"/>
      <c r="CO401" s="25"/>
      <c r="CP401" s="25"/>
      <c r="CQ401" s="25"/>
      <c r="CR401" s="25"/>
      <c r="CS401" s="25"/>
    </row>
    <row r="402" spans="2:97">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c r="AV402" s="25"/>
      <c r="AW402" s="25"/>
      <c r="AX402" s="25"/>
      <c r="AY402" s="25"/>
      <c r="AZ402" s="25"/>
      <c r="BA402" s="25"/>
      <c r="BB402" s="25"/>
      <c r="BC402" s="25"/>
      <c r="BD402" s="25"/>
      <c r="BE402" s="25"/>
      <c r="BF402" s="25"/>
      <c r="BG402" s="25"/>
      <c r="BH402" s="25"/>
      <c r="BI402" s="25"/>
      <c r="BJ402" s="25"/>
      <c r="BK402" s="25"/>
      <c r="BL402" s="25"/>
      <c r="BM402" s="25"/>
      <c r="BN402" s="25"/>
      <c r="BO402" s="25"/>
      <c r="BP402" s="25"/>
      <c r="BQ402" s="25"/>
      <c r="BR402" s="25"/>
      <c r="BS402" s="25"/>
      <c r="BT402" s="25"/>
      <c r="BU402" s="25"/>
      <c r="BV402" s="25"/>
      <c r="BW402" s="25"/>
      <c r="BX402" s="25"/>
      <c r="BY402" s="25"/>
      <c r="BZ402" s="25"/>
      <c r="CA402" s="25"/>
      <c r="CB402" s="25"/>
      <c r="CC402" s="25"/>
      <c r="CD402" s="25"/>
      <c r="CE402" s="25"/>
      <c r="CF402" s="25"/>
      <c r="CG402" s="25"/>
      <c r="CH402" s="25"/>
      <c r="CI402" s="25"/>
      <c r="CJ402" s="25"/>
      <c r="CK402" s="25"/>
      <c r="CL402" s="25"/>
      <c r="CM402" s="25"/>
      <c r="CN402" s="25"/>
      <c r="CO402" s="25"/>
      <c r="CP402" s="25"/>
      <c r="CQ402" s="25"/>
      <c r="CR402" s="25"/>
      <c r="CS402" s="25"/>
    </row>
    <row r="403" spans="2:97">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c r="AV403" s="25"/>
      <c r="AW403" s="25"/>
      <c r="AX403" s="25"/>
      <c r="AY403" s="25"/>
      <c r="AZ403" s="25"/>
      <c r="BA403" s="25"/>
      <c r="BB403" s="25"/>
      <c r="BC403" s="25"/>
      <c r="BD403" s="25"/>
      <c r="BE403" s="25"/>
      <c r="BF403" s="25"/>
      <c r="BG403" s="25"/>
      <c r="BH403" s="25"/>
      <c r="BI403" s="25"/>
      <c r="BJ403" s="25"/>
      <c r="BK403" s="25"/>
      <c r="BL403" s="25"/>
      <c r="BM403" s="25"/>
      <c r="BN403" s="25"/>
      <c r="BO403" s="25"/>
      <c r="BP403" s="25"/>
      <c r="BQ403" s="25"/>
      <c r="BR403" s="25"/>
      <c r="BS403" s="25"/>
      <c r="BT403" s="25"/>
      <c r="BU403" s="25"/>
      <c r="BV403" s="25"/>
      <c r="BW403" s="25"/>
      <c r="BX403" s="25"/>
      <c r="BY403" s="25"/>
      <c r="BZ403" s="25"/>
      <c r="CA403" s="25"/>
      <c r="CB403" s="25"/>
      <c r="CC403" s="25"/>
      <c r="CD403" s="25"/>
      <c r="CE403" s="25"/>
      <c r="CF403" s="25"/>
      <c r="CG403" s="25"/>
      <c r="CH403" s="25"/>
      <c r="CI403" s="25"/>
      <c r="CJ403" s="25"/>
      <c r="CK403" s="25"/>
      <c r="CL403" s="25"/>
      <c r="CM403" s="25"/>
      <c r="CN403" s="25"/>
      <c r="CO403" s="25"/>
      <c r="CP403" s="25"/>
      <c r="CQ403" s="25"/>
      <c r="CR403" s="25"/>
      <c r="CS403" s="25"/>
    </row>
    <row r="404" spans="2:97">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c r="AV404" s="25"/>
      <c r="AW404" s="25"/>
      <c r="AX404" s="25"/>
      <c r="AY404" s="25"/>
      <c r="AZ404" s="25"/>
      <c r="BA404" s="25"/>
      <c r="BB404" s="25"/>
      <c r="BC404" s="25"/>
      <c r="BD404" s="25"/>
      <c r="BE404" s="25"/>
      <c r="BF404" s="25"/>
      <c r="BG404" s="25"/>
      <c r="BH404" s="25"/>
      <c r="BI404" s="25"/>
      <c r="BJ404" s="25"/>
      <c r="BK404" s="25"/>
      <c r="BL404" s="25"/>
      <c r="BM404" s="25"/>
      <c r="BN404" s="25"/>
      <c r="BO404" s="25"/>
      <c r="BP404" s="25"/>
      <c r="BQ404" s="25"/>
      <c r="BR404" s="25"/>
      <c r="BS404" s="25"/>
      <c r="BT404" s="25"/>
      <c r="BU404" s="25"/>
      <c r="BV404" s="25"/>
      <c r="BW404" s="25"/>
      <c r="BX404" s="25"/>
      <c r="BY404" s="25"/>
      <c r="BZ404" s="25"/>
      <c r="CA404" s="25"/>
      <c r="CB404" s="25"/>
      <c r="CC404" s="25"/>
      <c r="CD404" s="25"/>
      <c r="CE404" s="25"/>
      <c r="CF404" s="25"/>
      <c r="CG404" s="25"/>
      <c r="CH404" s="25"/>
      <c r="CI404" s="25"/>
      <c r="CJ404" s="25"/>
      <c r="CK404" s="25"/>
      <c r="CL404" s="25"/>
      <c r="CM404" s="25"/>
      <c r="CN404" s="25"/>
      <c r="CO404" s="25"/>
      <c r="CP404" s="25"/>
      <c r="CQ404" s="25"/>
      <c r="CR404" s="25"/>
      <c r="CS404" s="25"/>
    </row>
    <row r="405" spans="2:97">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c r="AV405" s="25"/>
      <c r="AW405" s="25"/>
      <c r="AX405" s="25"/>
      <c r="AY405" s="25"/>
      <c r="AZ405" s="25"/>
      <c r="BA405" s="25"/>
      <c r="BB405" s="25"/>
      <c r="BC405" s="25"/>
      <c r="BD405" s="25"/>
      <c r="BE405" s="25"/>
      <c r="BF405" s="25"/>
      <c r="BG405" s="25"/>
      <c r="BH405" s="25"/>
      <c r="BI405" s="25"/>
      <c r="BJ405" s="25"/>
      <c r="BK405" s="25"/>
      <c r="BL405" s="25"/>
      <c r="BM405" s="25"/>
      <c r="BN405" s="25"/>
      <c r="BO405" s="25"/>
      <c r="BP405" s="25"/>
      <c r="BQ405" s="25"/>
      <c r="BR405" s="25"/>
      <c r="BS405" s="25"/>
      <c r="BT405" s="25"/>
      <c r="BU405" s="25"/>
      <c r="BV405" s="25"/>
      <c r="BW405" s="25"/>
      <c r="BX405" s="25"/>
      <c r="BY405" s="25"/>
      <c r="BZ405" s="25"/>
      <c r="CA405" s="25"/>
      <c r="CB405" s="25"/>
      <c r="CC405" s="25"/>
      <c r="CD405" s="25"/>
      <c r="CE405" s="25"/>
      <c r="CF405" s="25"/>
      <c r="CG405" s="25"/>
      <c r="CH405" s="25"/>
      <c r="CI405" s="25"/>
      <c r="CJ405" s="25"/>
      <c r="CK405" s="25"/>
      <c r="CL405" s="25"/>
      <c r="CM405" s="25"/>
      <c r="CN405" s="25"/>
      <c r="CO405" s="25"/>
      <c r="CP405" s="25"/>
      <c r="CQ405" s="25"/>
      <c r="CR405" s="25"/>
      <c r="CS405" s="25"/>
    </row>
    <row r="406" spans="2:97">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c r="AV406" s="25"/>
      <c r="AW406" s="25"/>
      <c r="AX406" s="25"/>
      <c r="AY406" s="25"/>
      <c r="AZ406" s="25"/>
      <c r="BA406" s="25"/>
      <c r="BB406" s="25"/>
      <c r="BC406" s="25"/>
      <c r="BD406" s="25"/>
      <c r="BE406" s="25"/>
      <c r="BF406" s="25"/>
      <c r="BG406" s="25"/>
      <c r="BH406" s="25"/>
      <c r="BI406" s="25"/>
      <c r="BJ406" s="25"/>
      <c r="BK406" s="25"/>
      <c r="BL406" s="25"/>
      <c r="BM406" s="25"/>
      <c r="BN406" s="25"/>
      <c r="BO406" s="25"/>
      <c r="BP406" s="25"/>
      <c r="BQ406" s="25"/>
      <c r="BR406" s="25"/>
      <c r="BS406" s="25"/>
      <c r="BT406" s="25"/>
      <c r="BU406" s="25"/>
      <c r="BV406" s="25"/>
      <c r="BW406" s="25"/>
      <c r="BX406" s="25"/>
      <c r="BY406" s="25"/>
      <c r="BZ406" s="25"/>
      <c r="CA406" s="25"/>
      <c r="CB406" s="25"/>
      <c r="CC406" s="25"/>
      <c r="CD406" s="25"/>
      <c r="CE406" s="25"/>
      <c r="CF406" s="25"/>
      <c r="CG406" s="25"/>
      <c r="CH406" s="25"/>
      <c r="CI406" s="25"/>
      <c r="CJ406" s="25"/>
      <c r="CK406" s="25"/>
      <c r="CL406" s="25"/>
      <c r="CM406" s="25"/>
      <c r="CN406" s="25"/>
      <c r="CO406" s="25"/>
      <c r="CP406" s="25"/>
      <c r="CQ406" s="25"/>
      <c r="CR406" s="25"/>
      <c r="CS406" s="25"/>
    </row>
    <row r="407" spans="2:97">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c r="AV407" s="25"/>
      <c r="AW407" s="25"/>
      <c r="AX407" s="25"/>
      <c r="AY407" s="25"/>
      <c r="AZ407" s="25"/>
      <c r="BA407" s="25"/>
      <c r="BB407" s="25"/>
      <c r="BC407" s="25"/>
      <c r="BD407" s="25"/>
      <c r="BE407" s="25"/>
      <c r="BF407" s="25"/>
      <c r="BG407" s="25"/>
      <c r="BH407" s="25"/>
      <c r="BI407" s="25"/>
      <c r="BJ407" s="25"/>
      <c r="BK407" s="25"/>
      <c r="BL407" s="25"/>
      <c r="BM407" s="25"/>
      <c r="BN407" s="25"/>
      <c r="BO407" s="25"/>
      <c r="BP407" s="25"/>
      <c r="BQ407" s="25"/>
      <c r="BR407" s="25"/>
      <c r="BS407" s="25"/>
      <c r="BT407" s="25"/>
      <c r="BU407" s="25"/>
      <c r="BV407" s="25"/>
      <c r="BW407" s="25"/>
      <c r="BX407" s="25"/>
      <c r="BY407" s="25"/>
      <c r="BZ407" s="25"/>
      <c r="CA407" s="25"/>
      <c r="CB407" s="25"/>
      <c r="CC407" s="25"/>
      <c r="CD407" s="25"/>
      <c r="CE407" s="25"/>
      <c r="CF407" s="25"/>
      <c r="CG407" s="25"/>
      <c r="CH407" s="25"/>
      <c r="CI407" s="25"/>
      <c r="CJ407" s="25"/>
      <c r="CK407" s="25"/>
      <c r="CL407" s="25"/>
      <c r="CM407" s="25"/>
      <c r="CN407" s="25"/>
      <c r="CO407" s="25"/>
      <c r="CP407" s="25"/>
      <c r="CQ407" s="25"/>
      <c r="CR407" s="25"/>
      <c r="CS407" s="25"/>
    </row>
    <row r="408" spans="2:97">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c r="AV408" s="25"/>
      <c r="AW408" s="25"/>
      <c r="AX408" s="25"/>
      <c r="AY408" s="25"/>
      <c r="AZ408" s="25"/>
      <c r="BA408" s="25"/>
      <c r="BB408" s="25"/>
      <c r="BC408" s="25"/>
      <c r="BD408" s="25"/>
      <c r="BE408" s="25"/>
      <c r="BF408" s="25"/>
      <c r="BG408" s="25"/>
      <c r="BH408" s="25"/>
      <c r="BI408" s="25"/>
      <c r="BJ408" s="25"/>
      <c r="BK408" s="25"/>
      <c r="BL408" s="25"/>
      <c r="BM408" s="25"/>
      <c r="BN408" s="25"/>
      <c r="BO408" s="25"/>
      <c r="BP408" s="25"/>
      <c r="BQ408" s="25"/>
      <c r="BR408" s="25"/>
      <c r="BS408" s="25"/>
      <c r="BT408" s="25"/>
      <c r="BU408" s="25"/>
      <c r="BV408" s="25"/>
      <c r="BW408" s="25"/>
      <c r="BX408" s="25"/>
      <c r="BY408" s="25"/>
      <c r="BZ408" s="25"/>
      <c r="CA408" s="25"/>
      <c r="CB408" s="25"/>
      <c r="CC408" s="25"/>
      <c r="CD408" s="25"/>
      <c r="CE408" s="25"/>
      <c r="CF408" s="25"/>
      <c r="CG408" s="25"/>
      <c r="CH408" s="25"/>
      <c r="CI408" s="25"/>
      <c r="CJ408" s="25"/>
      <c r="CK408" s="25"/>
      <c r="CL408" s="25"/>
      <c r="CM408" s="25"/>
      <c r="CN408" s="25"/>
      <c r="CO408" s="25"/>
      <c r="CP408" s="25"/>
      <c r="CQ408" s="25"/>
      <c r="CR408" s="25"/>
      <c r="CS408" s="25"/>
    </row>
    <row r="409" spans="2:97">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c r="AV409" s="25"/>
      <c r="AW409" s="25"/>
      <c r="AX409" s="25"/>
      <c r="AY409" s="25"/>
      <c r="AZ409" s="25"/>
      <c r="BA409" s="25"/>
      <c r="BB409" s="25"/>
      <c r="BC409" s="25"/>
      <c r="BD409" s="25"/>
      <c r="BE409" s="25"/>
      <c r="BF409" s="25"/>
      <c r="BG409" s="25"/>
      <c r="BH409" s="25"/>
      <c r="BI409" s="25"/>
      <c r="BJ409" s="25"/>
      <c r="BK409" s="25"/>
      <c r="BL409" s="25"/>
      <c r="BM409" s="25"/>
      <c r="BN409" s="25"/>
      <c r="BO409" s="25"/>
      <c r="BP409" s="25"/>
      <c r="BQ409" s="25"/>
      <c r="BR409" s="25"/>
      <c r="BS409" s="25"/>
      <c r="BT409" s="25"/>
      <c r="BU409" s="25"/>
      <c r="BV409" s="25"/>
      <c r="BW409" s="25"/>
      <c r="BX409" s="25"/>
      <c r="BY409" s="25"/>
      <c r="BZ409" s="25"/>
      <c r="CA409" s="25"/>
      <c r="CB409" s="25"/>
      <c r="CC409" s="25"/>
      <c r="CD409" s="25"/>
      <c r="CE409" s="25"/>
      <c r="CF409" s="25"/>
      <c r="CG409" s="25"/>
      <c r="CH409" s="25"/>
      <c r="CI409" s="25"/>
      <c r="CJ409" s="25"/>
      <c r="CK409" s="25"/>
      <c r="CL409" s="25"/>
      <c r="CM409" s="25"/>
      <c r="CN409" s="25"/>
      <c r="CO409" s="25"/>
      <c r="CP409" s="25"/>
      <c r="CQ409" s="25"/>
      <c r="CR409" s="25"/>
      <c r="CS409" s="25"/>
    </row>
    <row r="410" spans="2:97">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c r="AV410" s="25"/>
      <c r="AW410" s="25"/>
      <c r="AX410" s="25"/>
      <c r="AY410" s="25"/>
      <c r="AZ410" s="25"/>
      <c r="BA410" s="25"/>
      <c r="BB410" s="25"/>
      <c r="BC410" s="25"/>
      <c r="BD410" s="25"/>
      <c r="BE410" s="25"/>
      <c r="BF410" s="25"/>
      <c r="BG410" s="25"/>
      <c r="BH410" s="25"/>
      <c r="BI410" s="25"/>
      <c r="BJ410" s="25"/>
      <c r="BK410" s="25"/>
      <c r="BL410" s="25"/>
      <c r="BM410" s="25"/>
      <c r="BN410" s="25"/>
      <c r="BO410" s="25"/>
      <c r="BP410" s="25"/>
      <c r="BQ410" s="25"/>
      <c r="BR410" s="25"/>
      <c r="BS410" s="25"/>
      <c r="BT410" s="25"/>
      <c r="BU410" s="25"/>
      <c r="BV410" s="25"/>
      <c r="BW410" s="25"/>
      <c r="BX410" s="25"/>
      <c r="BY410" s="25"/>
      <c r="BZ410" s="25"/>
      <c r="CA410" s="25"/>
      <c r="CB410" s="25"/>
      <c r="CC410" s="25"/>
      <c r="CD410" s="25"/>
      <c r="CE410" s="25"/>
      <c r="CF410" s="25"/>
      <c r="CG410" s="25"/>
      <c r="CH410" s="25"/>
      <c r="CI410" s="25"/>
      <c r="CJ410" s="25"/>
      <c r="CK410" s="25"/>
      <c r="CL410" s="25"/>
      <c r="CM410" s="25"/>
      <c r="CN410" s="25"/>
      <c r="CO410" s="25"/>
      <c r="CP410" s="25"/>
      <c r="CQ410" s="25"/>
      <c r="CR410" s="25"/>
      <c r="CS410" s="25"/>
    </row>
    <row r="411" spans="2:97">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c r="AV411" s="25"/>
      <c r="AW411" s="25"/>
      <c r="AX411" s="25"/>
      <c r="AY411" s="25"/>
      <c r="AZ411" s="25"/>
      <c r="BA411" s="25"/>
      <c r="BB411" s="25"/>
      <c r="BC411" s="25"/>
      <c r="BD411" s="25"/>
      <c r="BE411" s="25"/>
      <c r="BF411" s="25"/>
      <c r="BG411" s="25"/>
      <c r="BH411" s="25"/>
      <c r="BI411" s="25"/>
      <c r="BJ411" s="25"/>
      <c r="BK411" s="25"/>
      <c r="BL411" s="25"/>
      <c r="BM411" s="25"/>
      <c r="BN411" s="25"/>
      <c r="BO411" s="25"/>
      <c r="BP411" s="25"/>
      <c r="BQ411" s="25"/>
      <c r="BR411" s="25"/>
      <c r="BS411" s="25"/>
      <c r="BT411" s="25"/>
      <c r="BU411" s="25"/>
      <c r="BV411" s="25"/>
      <c r="BW411" s="25"/>
      <c r="BX411" s="25"/>
      <c r="BY411" s="25"/>
      <c r="BZ411" s="25"/>
      <c r="CA411" s="25"/>
      <c r="CB411" s="25"/>
      <c r="CC411" s="25"/>
      <c r="CD411" s="25"/>
      <c r="CE411" s="25"/>
      <c r="CF411" s="25"/>
      <c r="CG411" s="25"/>
      <c r="CH411" s="25"/>
      <c r="CI411" s="25"/>
      <c r="CJ411" s="25"/>
      <c r="CK411" s="25"/>
      <c r="CL411" s="25"/>
      <c r="CM411" s="25"/>
      <c r="CN411" s="25"/>
      <c r="CO411" s="25"/>
      <c r="CP411" s="25"/>
      <c r="CQ411" s="25"/>
      <c r="CR411" s="25"/>
      <c r="CS411" s="25"/>
    </row>
    <row r="412" spans="2:97">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c r="AV412" s="25"/>
      <c r="AW412" s="25"/>
      <c r="AX412" s="25"/>
      <c r="AY412" s="25"/>
      <c r="AZ412" s="25"/>
      <c r="BA412" s="25"/>
      <c r="BB412" s="25"/>
      <c r="BC412" s="25"/>
      <c r="BD412" s="25"/>
      <c r="BE412" s="25"/>
      <c r="BF412" s="25"/>
      <c r="BG412" s="25"/>
      <c r="BH412" s="25"/>
      <c r="BI412" s="25"/>
      <c r="BJ412" s="25"/>
      <c r="BK412" s="25"/>
      <c r="BL412" s="25"/>
      <c r="BM412" s="25"/>
      <c r="BN412" s="25"/>
      <c r="BO412" s="25"/>
      <c r="BP412" s="25"/>
      <c r="BQ412" s="25"/>
      <c r="BR412" s="25"/>
      <c r="BS412" s="25"/>
      <c r="BT412" s="25"/>
      <c r="BU412" s="25"/>
      <c r="BV412" s="25"/>
      <c r="BW412" s="25"/>
      <c r="BX412" s="25"/>
      <c r="BY412" s="25"/>
      <c r="BZ412" s="25"/>
      <c r="CA412" s="25"/>
      <c r="CB412" s="25"/>
      <c r="CC412" s="25"/>
      <c r="CD412" s="25"/>
      <c r="CE412" s="25"/>
      <c r="CF412" s="25"/>
      <c r="CG412" s="25"/>
      <c r="CH412" s="25"/>
      <c r="CI412" s="25"/>
      <c r="CJ412" s="25"/>
      <c r="CK412" s="25"/>
      <c r="CL412" s="25"/>
      <c r="CM412" s="25"/>
      <c r="CN412" s="25"/>
      <c r="CO412" s="25"/>
      <c r="CP412" s="25"/>
      <c r="CQ412" s="25"/>
      <c r="CR412" s="25"/>
      <c r="CS412" s="25"/>
    </row>
    <row r="413" spans="2:97">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c r="AV413" s="25"/>
      <c r="AW413" s="25"/>
      <c r="AX413" s="25"/>
      <c r="AY413" s="25"/>
      <c r="AZ413" s="25"/>
      <c r="BA413" s="25"/>
      <c r="BB413" s="25"/>
      <c r="BC413" s="25"/>
      <c r="BD413" s="25"/>
      <c r="BE413" s="25"/>
      <c r="BF413" s="25"/>
      <c r="BG413" s="25"/>
      <c r="BH413" s="25"/>
      <c r="BI413" s="25"/>
      <c r="BJ413" s="25"/>
      <c r="BK413" s="25"/>
      <c r="BL413" s="25"/>
      <c r="BM413" s="25"/>
      <c r="BN413" s="25"/>
      <c r="BO413" s="25"/>
      <c r="BP413" s="25"/>
      <c r="BQ413" s="25"/>
      <c r="BR413" s="25"/>
      <c r="BS413" s="25"/>
      <c r="BT413" s="25"/>
      <c r="BU413" s="25"/>
      <c r="BV413" s="25"/>
      <c r="BW413" s="25"/>
      <c r="BX413" s="25"/>
      <c r="BY413" s="25"/>
      <c r="BZ413" s="25"/>
      <c r="CA413" s="25"/>
      <c r="CB413" s="25"/>
      <c r="CC413" s="25"/>
      <c r="CD413" s="25"/>
      <c r="CE413" s="25"/>
      <c r="CF413" s="25"/>
      <c r="CG413" s="25"/>
      <c r="CH413" s="25"/>
      <c r="CI413" s="25"/>
      <c r="CJ413" s="25"/>
      <c r="CK413" s="25"/>
      <c r="CL413" s="25"/>
      <c r="CM413" s="25"/>
      <c r="CN413" s="25"/>
      <c r="CO413" s="25"/>
      <c r="CP413" s="25"/>
      <c r="CQ413" s="25"/>
      <c r="CR413" s="25"/>
      <c r="CS413" s="25"/>
    </row>
    <row r="414" spans="2:97">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c r="AV414" s="25"/>
      <c r="AW414" s="25"/>
      <c r="AX414" s="25"/>
      <c r="AY414" s="25"/>
      <c r="AZ414" s="25"/>
      <c r="BA414" s="25"/>
      <c r="BB414" s="25"/>
      <c r="BC414" s="25"/>
      <c r="BD414" s="25"/>
      <c r="BE414" s="25"/>
      <c r="BF414" s="25"/>
      <c r="BG414" s="25"/>
      <c r="BH414" s="25"/>
      <c r="BI414" s="25"/>
      <c r="BJ414" s="25"/>
      <c r="BK414" s="25"/>
      <c r="BL414" s="25"/>
      <c r="BM414" s="25"/>
      <c r="BN414" s="25"/>
      <c r="BO414" s="25"/>
      <c r="BP414" s="25"/>
      <c r="BQ414" s="25"/>
      <c r="BR414" s="25"/>
      <c r="BS414" s="25"/>
      <c r="BT414" s="25"/>
      <c r="BU414" s="25"/>
      <c r="BV414" s="25"/>
      <c r="BW414" s="25"/>
      <c r="BX414" s="25"/>
      <c r="BY414" s="25"/>
      <c r="BZ414" s="25"/>
      <c r="CA414" s="25"/>
      <c r="CB414" s="25"/>
      <c r="CC414" s="25"/>
      <c r="CD414" s="25"/>
      <c r="CE414" s="25"/>
      <c r="CF414" s="25"/>
      <c r="CG414" s="25"/>
      <c r="CH414" s="25"/>
      <c r="CI414" s="25"/>
      <c r="CJ414" s="25"/>
      <c r="CK414" s="25"/>
      <c r="CL414" s="25"/>
      <c r="CM414" s="25"/>
      <c r="CN414" s="25"/>
      <c r="CO414" s="25"/>
      <c r="CP414" s="25"/>
      <c r="CQ414" s="25"/>
      <c r="CR414" s="25"/>
      <c r="CS414" s="25"/>
    </row>
    <row r="415" spans="2:97">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c r="AV415" s="25"/>
      <c r="AW415" s="25"/>
      <c r="AX415" s="25"/>
      <c r="AY415" s="25"/>
      <c r="AZ415" s="25"/>
      <c r="BA415" s="25"/>
      <c r="BB415" s="25"/>
      <c r="BC415" s="25"/>
      <c r="BD415" s="25"/>
      <c r="BE415" s="25"/>
      <c r="BF415" s="25"/>
      <c r="BG415" s="25"/>
      <c r="BH415" s="25"/>
      <c r="BI415" s="25"/>
      <c r="BJ415" s="25"/>
      <c r="BK415" s="25"/>
      <c r="BL415" s="25"/>
      <c r="BM415" s="25"/>
      <c r="BN415" s="25"/>
      <c r="BO415" s="25"/>
      <c r="BP415" s="25"/>
      <c r="BQ415" s="25"/>
      <c r="BR415" s="25"/>
      <c r="BS415" s="25"/>
      <c r="BT415" s="25"/>
      <c r="BU415" s="25"/>
      <c r="BV415" s="25"/>
      <c r="BW415" s="25"/>
      <c r="BX415" s="25"/>
      <c r="BY415" s="25"/>
      <c r="BZ415" s="25"/>
      <c r="CA415" s="25"/>
      <c r="CB415" s="25"/>
      <c r="CC415" s="25"/>
      <c r="CD415" s="25"/>
      <c r="CE415" s="25"/>
      <c r="CF415" s="25"/>
      <c r="CG415" s="25"/>
      <c r="CH415" s="25"/>
      <c r="CI415" s="25"/>
      <c r="CJ415" s="25"/>
      <c r="CK415" s="25"/>
      <c r="CL415" s="25"/>
      <c r="CM415" s="25"/>
      <c r="CN415" s="25"/>
      <c r="CO415" s="25"/>
      <c r="CP415" s="25"/>
      <c r="CQ415" s="25"/>
      <c r="CR415" s="25"/>
      <c r="CS415" s="25"/>
    </row>
    <row r="416" spans="2:97">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c r="AV416" s="25"/>
      <c r="AW416" s="25"/>
      <c r="AX416" s="25"/>
      <c r="AY416" s="25"/>
      <c r="AZ416" s="25"/>
      <c r="BA416" s="25"/>
      <c r="BB416" s="25"/>
      <c r="BC416" s="25"/>
      <c r="BD416" s="25"/>
      <c r="BE416" s="25"/>
      <c r="BF416" s="25"/>
      <c r="BG416" s="25"/>
      <c r="BH416" s="25"/>
      <c r="BI416" s="25"/>
      <c r="BJ416" s="25"/>
      <c r="BK416" s="25"/>
      <c r="BL416" s="25"/>
      <c r="BM416" s="25"/>
      <c r="BN416" s="25"/>
      <c r="BO416" s="25"/>
      <c r="BP416" s="25"/>
      <c r="BQ416" s="25"/>
      <c r="BR416" s="25"/>
      <c r="BS416" s="25"/>
      <c r="BT416" s="25"/>
      <c r="BU416" s="25"/>
      <c r="BV416" s="25"/>
      <c r="BW416" s="25"/>
      <c r="BX416" s="25"/>
      <c r="BY416" s="25"/>
      <c r="BZ416" s="25"/>
      <c r="CA416" s="25"/>
      <c r="CB416" s="25"/>
      <c r="CC416" s="25"/>
      <c r="CD416" s="25"/>
      <c r="CE416" s="25"/>
      <c r="CF416" s="25"/>
      <c r="CG416" s="25"/>
      <c r="CH416" s="25"/>
      <c r="CI416" s="25"/>
      <c r="CJ416" s="25"/>
      <c r="CK416" s="25"/>
      <c r="CL416" s="25"/>
      <c r="CM416" s="25"/>
      <c r="CN416" s="25"/>
      <c r="CO416" s="25"/>
      <c r="CP416" s="25"/>
      <c r="CQ416" s="25"/>
      <c r="CR416" s="25"/>
      <c r="CS416" s="25"/>
    </row>
    <row r="417" spans="2:97">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c r="AV417" s="25"/>
      <c r="AW417" s="25"/>
      <c r="AX417" s="25"/>
      <c r="AY417" s="25"/>
      <c r="AZ417" s="25"/>
      <c r="BA417" s="25"/>
      <c r="BB417" s="25"/>
      <c r="BC417" s="25"/>
      <c r="BD417" s="25"/>
      <c r="BE417" s="25"/>
      <c r="BF417" s="25"/>
      <c r="BG417" s="25"/>
      <c r="BH417" s="25"/>
      <c r="BI417" s="25"/>
      <c r="BJ417" s="25"/>
      <c r="BK417" s="25"/>
      <c r="BL417" s="25"/>
      <c r="BM417" s="25"/>
      <c r="BN417" s="25"/>
      <c r="BO417" s="25"/>
      <c r="BP417" s="25"/>
      <c r="BQ417" s="25"/>
      <c r="BR417" s="25"/>
      <c r="BS417" s="25"/>
      <c r="BT417" s="25"/>
      <c r="BU417" s="25"/>
      <c r="BV417" s="25"/>
      <c r="BW417" s="25"/>
      <c r="BX417" s="25"/>
      <c r="BY417" s="25"/>
      <c r="BZ417" s="25"/>
      <c r="CA417" s="25"/>
      <c r="CB417" s="25"/>
      <c r="CC417" s="25"/>
      <c r="CD417" s="25"/>
      <c r="CE417" s="25"/>
      <c r="CF417" s="25"/>
      <c r="CG417" s="25"/>
      <c r="CH417" s="25"/>
      <c r="CI417" s="25"/>
      <c r="CJ417" s="25"/>
      <c r="CK417" s="25"/>
      <c r="CL417" s="25"/>
      <c r="CM417" s="25"/>
      <c r="CN417" s="25"/>
      <c r="CO417" s="25"/>
      <c r="CP417" s="25"/>
      <c r="CQ417" s="25"/>
      <c r="CR417" s="25"/>
      <c r="CS417" s="25"/>
    </row>
    <row r="418" spans="2:97">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c r="AV418" s="25"/>
      <c r="AW418" s="25"/>
      <c r="AX418" s="25"/>
      <c r="AY418" s="25"/>
      <c r="AZ418" s="25"/>
      <c r="BA418" s="25"/>
      <c r="BB418" s="25"/>
      <c r="BC418" s="25"/>
      <c r="BD418" s="25"/>
      <c r="BE418" s="25"/>
      <c r="BF418" s="25"/>
      <c r="BG418" s="25"/>
      <c r="BH418" s="25"/>
      <c r="BI418" s="25"/>
      <c r="BJ418" s="25"/>
      <c r="BK418" s="25"/>
      <c r="BL418" s="25"/>
      <c r="BM418" s="25"/>
      <c r="BN418" s="25"/>
      <c r="BO418" s="25"/>
      <c r="BP418" s="25"/>
      <c r="BQ418" s="25"/>
      <c r="BR418" s="25"/>
      <c r="BS418" s="25"/>
      <c r="BT418" s="25"/>
      <c r="BU418" s="25"/>
      <c r="BV418" s="25"/>
      <c r="BW418" s="25"/>
      <c r="BX418" s="25"/>
      <c r="BY418" s="25"/>
      <c r="BZ418" s="25"/>
      <c r="CA418" s="25"/>
      <c r="CB418" s="25"/>
      <c r="CC418" s="25"/>
      <c r="CD418" s="25"/>
      <c r="CE418" s="25"/>
      <c r="CF418" s="25"/>
      <c r="CG418" s="25"/>
      <c r="CH418" s="25"/>
      <c r="CI418" s="25"/>
      <c r="CJ418" s="25"/>
      <c r="CK418" s="25"/>
      <c r="CL418" s="25"/>
      <c r="CM418" s="25"/>
      <c r="CN418" s="25"/>
      <c r="CO418" s="25"/>
      <c r="CP418" s="25"/>
      <c r="CQ418" s="25"/>
      <c r="CR418" s="25"/>
      <c r="CS418" s="25"/>
    </row>
    <row r="419" spans="2:97">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c r="AV419" s="25"/>
      <c r="AW419" s="25"/>
      <c r="AX419" s="25"/>
      <c r="AY419" s="25"/>
      <c r="AZ419" s="25"/>
      <c r="BA419" s="25"/>
      <c r="BB419" s="25"/>
      <c r="BC419" s="25"/>
      <c r="BD419" s="25"/>
      <c r="BE419" s="25"/>
      <c r="BF419" s="25"/>
      <c r="BG419" s="25"/>
      <c r="BH419" s="25"/>
      <c r="BI419" s="25"/>
      <c r="BJ419" s="25"/>
      <c r="BK419" s="25"/>
      <c r="BL419" s="25"/>
      <c r="BM419" s="25"/>
      <c r="BN419" s="25"/>
      <c r="BO419" s="25"/>
      <c r="BP419" s="25"/>
      <c r="BQ419" s="25"/>
      <c r="BR419" s="25"/>
      <c r="BS419" s="25"/>
      <c r="BT419" s="25"/>
      <c r="BU419" s="25"/>
      <c r="BV419" s="25"/>
      <c r="BW419" s="25"/>
      <c r="BX419" s="25"/>
      <c r="BY419" s="25"/>
      <c r="BZ419" s="25"/>
      <c r="CA419" s="25"/>
      <c r="CB419" s="25"/>
      <c r="CC419" s="25"/>
      <c r="CD419" s="25"/>
      <c r="CE419" s="25"/>
      <c r="CF419" s="25"/>
      <c r="CG419" s="25"/>
      <c r="CH419" s="25"/>
      <c r="CI419" s="25"/>
      <c r="CJ419" s="25"/>
      <c r="CK419" s="25"/>
      <c r="CL419" s="25"/>
      <c r="CM419" s="25"/>
      <c r="CN419" s="25"/>
      <c r="CO419" s="25"/>
      <c r="CP419" s="25"/>
      <c r="CQ419" s="25"/>
      <c r="CR419" s="25"/>
      <c r="CS419" s="25"/>
    </row>
    <row r="420" spans="2:97">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c r="AV420" s="25"/>
      <c r="AW420" s="25"/>
      <c r="AX420" s="25"/>
      <c r="AY420" s="25"/>
      <c r="AZ420" s="25"/>
      <c r="BA420" s="25"/>
      <c r="BB420" s="25"/>
      <c r="BC420" s="25"/>
      <c r="BD420" s="25"/>
      <c r="BE420" s="25"/>
      <c r="BF420" s="25"/>
      <c r="BG420" s="25"/>
      <c r="BH420" s="25"/>
      <c r="BI420" s="25"/>
      <c r="BJ420" s="25"/>
      <c r="BK420" s="25"/>
      <c r="BL420" s="25"/>
      <c r="BM420" s="25"/>
      <c r="BN420" s="25"/>
      <c r="BO420" s="25"/>
      <c r="BP420" s="25"/>
      <c r="BQ420" s="25"/>
      <c r="BR420" s="25"/>
      <c r="BS420" s="25"/>
      <c r="BT420" s="25"/>
      <c r="BU420" s="25"/>
      <c r="BV420" s="25"/>
      <c r="BW420" s="25"/>
      <c r="BX420" s="25"/>
      <c r="BY420" s="25"/>
      <c r="BZ420" s="25"/>
      <c r="CA420" s="25"/>
      <c r="CB420" s="25"/>
      <c r="CC420" s="25"/>
      <c r="CD420" s="25"/>
      <c r="CE420" s="25"/>
      <c r="CF420" s="25"/>
      <c r="CG420" s="25"/>
      <c r="CH420" s="25"/>
      <c r="CI420" s="25"/>
      <c r="CJ420" s="25"/>
      <c r="CK420" s="25"/>
      <c r="CL420" s="25"/>
      <c r="CM420" s="25"/>
      <c r="CN420" s="25"/>
      <c r="CO420" s="25"/>
      <c r="CP420" s="25"/>
      <c r="CQ420" s="25"/>
      <c r="CR420" s="25"/>
      <c r="CS420" s="25"/>
    </row>
    <row r="421" spans="2:97">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c r="AV421" s="25"/>
      <c r="AW421" s="25"/>
      <c r="AX421" s="25"/>
      <c r="AY421" s="25"/>
      <c r="AZ421" s="25"/>
      <c r="BA421" s="25"/>
      <c r="BB421" s="25"/>
      <c r="BC421" s="25"/>
      <c r="BD421" s="25"/>
      <c r="BE421" s="25"/>
      <c r="BF421" s="25"/>
      <c r="BG421" s="25"/>
      <c r="BH421" s="25"/>
      <c r="BI421" s="25"/>
      <c r="BJ421" s="25"/>
      <c r="BK421" s="25"/>
      <c r="BL421" s="25"/>
      <c r="BM421" s="25"/>
      <c r="BN421" s="25"/>
      <c r="BO421" s="25"/>
      <c r="BP421" s="25"/>
      <c r="BQ421" s="25"/>
      <c r="BR421" s="25"/>
      <c r="BS421" s="25"/>
      <c r="BT421" s="25"/>
      <c r="BU421" s="25"/>
      <c r="BV421" s="25"/>
      <c r="BW421" s="25"/>
      <c r="BX421" s="25"/>
      <c r="BY421" s="25"/>
      <c r="BZ421" s="25"/>
      <c r="CA421" s="25"/>
      <c r="CB421" s="25"/>
      <c r="CC421" s="25"/>
      <c r="CD421" s="25"/>
      <c r="CE421" s="25"/>
      <c r="CF421" s="25"/>
      <c r="CG421" s="25"/>
      <c r="CH421" s="25"/>
      <c r="CI421" s="25"/>
      <c r="CJ421" s="25"/>
      <c r="CK421" s="25"/>
      <c r="CL421" s="25"/>
      <c r="CM421" s="25"/>
      <c r="CN421" s="25"/>
      <c r="CO421" s="25"/>
      <c r="CP421" s="25"/>
      <c r="CQ421" s="25"/>
      <c r="CR421" s="25"/>
      <c r="CS421" s="25"/>
    </row>
    <row r="422" spans="2:97">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c r="AV422" s="25"/>
      <c r="AW422" s="25"/>
      <c r="AX422" s="25"/>
      <c r="AY422" s="25"/>
      <c r="AZ422" s="25"/>
      <c r="BA422" s="25"/>
      <c r="BB422" s="25"/>
      <c r="BC422" s="25"/>
      <c r="BD422" s="25"/>
      <c r="BE422" s="25"/>
      <c r="BF422" s="25"/>
      <c r="BG422" s="25"/>
      <c r="BH422" s="25"/>
      <c r="BI422" s="25"/>
      <c r="BJ422" s="25"/>
      <c r="BK422" s="25"/>
      <c r="BL422" s="25"/>
      <c r="BM422" s="25"/>
      <c r="BN422" s="25"/>
      <c r="BO422" s="25"/>
      <c r="BP422" s="25"/>
      <c r="BQ422" s="25"/>
      <c r="BR422" s="25"/>
      <c r="BS422" s="25"/>
      <c r="BT422" s="25"/>
      <c r="BU422" s="25"/>
      <c r="BV422" s="25"/>
      <c r="BW422" s="25"/>
      <c r="BX422" s="25"/>
      <c r="BY422" s="25"/>
      <c r="BZ422" s="25"/>
      <c r="CA422" s="25"/>
      <c r="CB422" s="25"/>
      <c r="CC422" s="25"/>
      <c r="CD422" s="25"/>
      <c r="CE422" s="25"/>
      <c r="CF422" s="25"/>
      <c r="CG422" s="25"/>
      <c r="CH422" s="25"/>
      <c r="CI422" s="25"/>
      <c r="CJ422" s="25"/>
      <c r="CK422" s="25"/>
      <c r="CL422" s="25"/>
      <c r="CM422" s="25"/>
      <c r="CN422" s="25"/>
      <c r="CO422" s="25"/>
      <c r="CP422" s="25"/>
      <c r="CQ422" s="25"/>
      <c r="CR422" s="25"/>
      <c r="CS422" s="25"/>
    </row>
    <row r="423" spans="2:97">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c r="AV423" s="25"/>
      <c r="AW423" s="25"/>
      <c r="AX423" s="25"/>
      <c r="AY423" s="25"/>
      <c r="AZ423" s="25"/>
      <c r="BA423" s="25"/>
      <c r="BB423" s="25"/>
      <c r="BC423" s="25"/>
      <c r="BD423" s="25"/>
      <c r="BE423" s="25"/>
      <c r="BF423" s="25"/>
      <c r="BG423" s="25"/>
      <c r="BH423" s="25"/>
      <c r="BI423" s="25"/>
      <c r="BJ423" s="25"/>
      <c r="BK423" s="25"/>
      <c r="BL423" s="25"/>
      <c r="BM423" s="25"/>
      <c r="BN423" s="25"/>
      <c r="BO423" s="25"/>
      <c r="BP423" s="25"/>
      <c r="BQ423" s="25"/>
      <c r="BR423" s="25"/>
      <c r="BS423" s="25"/>
      <c r="BT423" s="25"/>
      <c r="BU423" s="25"/>
      <c r="BV423" s="25"/>
      <c r="BW423" s="25"/>
      <c r="BX423" s="25"/>
      <c r="BY423" s="25"/>
      <c r="BZ423" s="25"/>
      <c r="CA423" s="25"/>
      <c r="CB423" s="25"/>
      <c r="CC423" s="25"/>
      <c r="CD423" s="25"/>
      <c r="CE423" s="25"/>
      <c r="CF423" s="25"/>
      <c r="CG423" s="25"/>
      <c r="CH423" s="25"/>
      <c r="CI423" s="25"/>
      <c r="CJ423" s="25"/>
      <c r="CK423" s="25"/>
      <c r="CL423" s="25"/>
      <c r="CM423" s="25"/>
      <c r="CN423" s="25"/>
      <c r="CO423" s="25"/>
      <c r="CP423" s="25"/>
      <c r="CQ423" s="25"/>
      <c r="CR423" s="25"/>
      <c r="CS423" s="25"/>
    </row>
    <row r="424" spans="2:97">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c r="AV424" s="25"/>
      <c r="AW424" s="25"/>
      <c r="AX424" s="25"/>
      <c r="AY424" s="25"/>
      <c r="AZ424" s="25"/>
      <c r="BA424" s="25"/>
      <c r="BB424" s="25"/>
      <c r="BC424" s="25"/>
      <c r="BD424" s="25"/>
      <c r="BE424" s="25"/>
      <c r="BF424" s="25"/>
      <c r="BG424" s="25"/>
      <c r="BH424" s="25"/>
      <c r="BI424" s="25"/>
      <c r="BJ424" s="25"/>
      <c r="BK424" s="25"/>
      <c r="BL424" s="25"/>
      <c r="BM424" s="25"/>
      <c r="BN424" s="25"/>
      <c r="BO424" s="25"/>
      <c r="BP424" s="25"/>
      <c r="BQ424" s="25"/>
      <c r="BR424" s="25"/>
      <c r="BS424" s="25"/>
      <c r="BT424" s="25"/>
      <c r="BU424" s="25"/>
      <c r="BV424" s="25"/>
      <c r="BW424" s="25"/>
      <c r="BX424" s="25"/>
      <c r="BY424" s="25"/>
      <c r="BZ424" s="25"/>
      <c r="CA424" s="25"/>
      <c r="CB424" s="25"/>
      <c r="CC424" s="25"/>
      <c r="CD424" s="25"/>
      <c r="CE424" s="25"/>
      <c r="CF424" s="25"/>
      <c r="CG424" s="25"/>
      <c r="CH424" s="25"/>
      <c r="CI424" s="25"/>
      <c r="CJ424" s="25"/>
      <c r="CK424" s="25"/>
      <c r="CL424" s="25"/>
      <c r="CM424" s="25"/>
      <c r="CN424" s="25"/>
      <c r="CO424" s="25"/>
      <c r="CP424" s="25"/>
      <c r="CQ424" s="25"/>
      <c r="CR424" s="25"/>
      <c r="CS424" s="25"/>
    </row>
    <row r="425" spans="2:97">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c r="AV425" s="25"/>
      <c r="AW425" s="25"/>
      <c r="AX425" s="25"/>
      <c r="AY425" s="25"/>
      <c r="AZ425" s="25"/>
      <c r="BA425" s="25"/>
      <c r="BB425" s="25"/>
      <c r="BC425" s="25"/>
      <c r="BD425" s="25"/>
      <c r="BE425" s="25"/>
      <c r="BF425" s="25"/>
      <c r="BG425" s="25"/>
      <c r="BH425" s="25"/>
      <c r="BI425" s="25"/>
      <c r="BJ425" s="25"/>
      <c r="BK425" s="25"/>
      <c r="BL425" s="25"/>
      <c r="BM425" s="25"/>
      <c r="BN425" s="25"/>
      <c r="BO425" s="25"/>
      <c r="BP425" s="25"/>
      <c r="BQ425" s="25"/>
      <c r="BR425" s="25"/>
      <c r="BS425" s="25"/>
      <c r="BT425" s="25"/>
      <c r="BU425" s="25"/>
      <c r="BV425" s="25"/>
      <c r="BW425" s="25"/>
      <c r="BX425" s="25"/>
      <c r="BY425" s="25"/>
      <c r="BZ425" s="25"/>
      <c r="CA425" s="25"/>
      <c r="CB425" s="25"/>
      <c r="CC425" s="25"/>
      <c r="CD425" s="25"/>
      <c r="CE425" s="25"/>
      <c r="CF425" s="25"/>
      <c r="CG425" s="25"/>
      <c r="CH425" s="25"/>
      <c r="CI425" s="25"/>
      <c r="CJ425" s="25"/>
      <c r="CK425" s="25"/>
      <c r="CL425" s="25"/>
      <c r="CM425" s="25"/>
      <c r="CN425" s="25"/>
      <c r="CO425" s="25"/>
      <c r="CP425" s="25"/>
      <c r="CQ425" s="25"/>
      <c r="CR425" s="25"/>
      <c r="CS425" s="25"/>
    </row>
    <row r="426" spans="2:97">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c r="AV426" s="25"/>
      <c r="AW426" s="25"/>
      <c r="AX426" s="25"/>
      <c r="AY426" s="25"/>
      <c r="AZ426" s="25"/>
      <c r="BA426" s="25"/>
      <c r="BB426" s="25"/>
      <c r="BC426" s="25"/>
      <c r="BD426" s="25"/>
      <c r="BE426" s="25"/>
      <c r="BF426" s="25"/>
      <c r="BG426" s="25"/>
      <c r="BH426" s="25"/>
      <c r="BI426" s="25"/>
      <c r="BJ426" s="25"/>
      <c r="BK426" s="25"/>
      <c r="BL426" s="25"/>
      <c r="BM426" s="25"/>
      <c r="BN426" s="25"/>
      <c r="BO426" s="25"/>
      <c r="BP426" s="25"/>
      <c r="BQ426" s="25"/>
      <c r="BR426" s="25"/>
      <c r="BS426" s="25"/>
      <c r="BT426" s="25"/>
      <c r="BU426" s="25"/>
      <c r="BV426" s="25"/>
      <c r="BW426" s="25"/>
      <c r="BX426" s="25"/>
      <c r="BY426" s="25"/>
      <c r="BZ426" s="25"/>
      <c r="CA426" s="25"/>
      <c r="CB426" s="25"/>
      <c r="CC426" s="25"/>
      <c r="CD426" s="25"/>
      <c r="CE426" s="25"/>
      <c r="CF426" s="25"/>
      <c r="CG426" s="25"/>
      <c r="CH426" s="25"/>
      <c r="CI426" s="25"/>
      <c r="CJ426" s="25"/>
      <c r="CK426" s="25"/>
      <c r="CL426" s="25"/>
      <c r="CM426" s="25"/>
      <c r="CN426" s="25"/>
      <c r="CO426" s="25"/>
      <c r="CP426" s="25"/>
      <c r="CQ426" s="25"/>
      <c r="CR426" s="25"/>
      <c r="CS426" s="25"/>
    </row>
    <row r="427" spans="2:97">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c r="AV427" s="25"/>
      <c r="AW427" s="25"/>
      <c r="AX427" s="25"/>
      <c r="AY427" s="25"/>
      <c r="AZ427" s="25"/>
      <c r="BA427" s="25"/>
      <c r="BB427" s="25"/>
      <c r="BC427" s="25"/>
      <c r="BD427" s="25"/>
      <c r="BE427" s="25"/>
      <c r="BF427" s="25"/>
      <c r="BG427" s="25"/>
      <c r="BH427" s="25"/>
      <c r="BI427" s="25"/>
      <c r="BJ427" s="25"/>
      <c r="BK427" s="25"/>
      <c r="BL427" s="25"/>
      <c r="BM427" s="25"/>
      <c r="BN427" s="25"/>
      <c r="BO427" s="25"/>
      <c r="BP427" s="25"/>
      <c r="BQ427" s="25"/>
      <c r="BR427" s="25"/>
      <c r="BS427" s="25"/>
      <c r="BT427" s="25"/>
      <c r="BU427" s="25"/>
      <c r="BV427" s="25"/>
      <c r="BW427" s="25"/>
      <c r="BX427" s="25"/>
      <c r="BY427" s="25"/>
      <c r="BZ427" s="25"/>
      <c r="CA427" s="25"/>
      <c r="CB427" s="25"/>
      <c r="CC427" s="25"/>
      <c r="CD427" s="25"/>
      <c r="CE427" s="25"/>
      <c r="CF427" s="25"/>
      <c r="CG427" s="25"/>
      <c r="CH427" s="25"/>
      <c r="CI427" s="25"/>
      <c r="CJ427" s="25"/>
      <c r="CK427" s="25"/>
      <c r="CL427" s="25"/>
      <c r="CM427" s="25"/>
      <c r="CN427" s="25"/>
      <c r="CO427" s="25"/>
      <c r="CP427" s="25"/>
      <c r="CQ427" s="25"/>
      <c r="CR427" s="25"/>
      <c r="CS427" s="25"/>
    </row>
    <row r="428" spans="2:97">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c r="AV428" s="25"/>
      <c r="AW428" s="25"/>
      <c r="AX428" s="25"/>
      <c r="AY428" s="25"/>
      <c r="AZ428" s="25"/>
      <c r="BA428" s="25"/>
      <c r="BB428" s="25"/>
      <c r="BC428" s="25"/>
      <c r="BD428" s="25"/>
      <c r="BE428" s="25"/>
      <c r="BF428" s="25"/>
      <c r="BG428" s="25"/>
      <c r="BH428" s="25"/>
      <c r="BI428" s="25"/>
      <c r="BJ428" s="25"/>
      <c r="BK428" s="25"/>
      <c r="BL428" s="25"/>
      <c r="BM428" s="25"/>
      <c r="BN428" s="25"/>
      <c r="BO428" s="25"/>
      <c r="BP428" s="25"/>
      <c r="BQ428" s="25"/>
      <c r="BR428" s="25"/>
      <c r="BS428" s="25"/>
      <c r="BT428" s="25"/>
      <c r="BU428" s="25"/>
      <c r="BV428" s="25"/>
      <c r="BW428" s="25"/>
      <c r="BX428" s="25"/>
      <c r="BY428" s="25"/>
      <c r="BZ428" s="25"/>
      <c r="CA428" s="25"/>
      <c r="CB428" s="25"/>
      <c r="CC428" s="25"/>
      <c r="CD428" s="25"/>
      <c r="CE428" s="25"/>
      <c r="CF428" s="25"/>
      <c r="CG428" s="25"/>
      <c r="CH428" s="25"/>
      <c r="CI428" s="25"/>
      <c r="CJ428" s="25"/>
      <c r="CK428" s="25"/>
      <c r="CL428" s="25"/>
      <c r="CM428" s="25"/>
      <c r="CN428" s="25"/>
      <c r="CO428" s="25"/>
      <c r="CP428" s="25"/>
      <c r="CQ428" s="25"/>
      <c r="CR428" s="25"/>
      <c r="CS428" s="25"/>
    </row>
    <row r="429" spans="2:97">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c r="AV429" s="25"/>
      <c r="AW429" s="25"/>
      <c r="AX429" s="25"/>
      <c r="AY429" s="25"/>
      <c r="AZ429" s="25"/>
      <c r="BA429" s="25"/>
      <c r="BB429" s="25"/>
      <c r="BC429" s="25"/>
      <c r="BD429" s="25"/>
      <c r="BE429" s="25"/>
      <c r="BF429" s="25"/>
      <c r="BG429" s="25"/>
      <c r="BH429" s="25"/>
      <c r="BI429" s="25"/>
      <c r="BJ429" s="25"/>
      <c r="BK429" s="25"/>
      <c r="BL429" s="25"/>
      <c r="BM429" s="25"/>
      <c r="BN429" s="25"/>
      <c r="BO429" s="25"/>
      <c r="BP429" s="25"/>
      <c r="BQ429" s="25"/>
      <c r="BR429" s="25"/>
      <c r="BS429" s="25"/>
      <c r="BT429" s="25"/>
      <c r="BU429" s="25"/>
      <c r="BV429" s="25"/>
      <c r="BW429" s="25"/>
      <c r="BX429" s="25"/>
      <c r="BY429" s="25"/>
      <c r="BZ429" s="25"/>
      <c r="CA429" s="25"/>
      <c r="CB429" s="25"/>
      <c r="CC429" s="25"/>
      <c r="CD429" s="25"/>
      <c r="CE429" s="25"/>
      <c r="CF429" s="25"/>
      <c r="CG429" s="25"/>
      <c r="CH429" s="25"/>
      <c r="CI429" s="25"/>
      <c r="CJ429" s="25"/>
      <c r="CK429" s="25"/>
      <c r="CL429" s="25"/>
      <c r="CM429" s="25"/>
      <c r="CN429" s="25"/>
      <c r="CO429" s="25"/>
      <c r="CP429" s="25"/>
      <c r="CQ429" s="25"/>
      <c r="CR429" s="25"/>
      <c r="CS429" s="25"/>
    </row>
    <row r="430" spans="2:97">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c r="AV430" s="25"/>
      <c r="AW430" s="25"/>
      <c r="AX430" s="25"/>
      <c r="AY430" s="25"/>
      <c r="AZ430" s="25"/>
      <c r="BA430" s="25"/>
      <c r="BB430" s="25"/>
      <c r="BC430" s="25"/>
      <c r="BD430" s="25"/>
      <c r="BE430" s="25"/>
      <c r="BF430" s="25"/>
      <c r="BG430" s="25"/>
      <c r="BH430" s="25"/>
      <c r="BI430" s="25"/>
      <c r="BJ430" s="25"/>
      <c r="BK430" s="25"/>
      <c r="BL430" s="25"/>
      <c r="BM430" s="25"/>
      <c r="BN430" s="25"/>
      <c r="BO430" s="25"/>
      <c r="BP430" s="25"/>
      <c r="BQ430" s="25"/>
      <c r="BR430" s="25"/>
      <c r="BS430" s="25"/>
      <c r="BT430" s="25"/>
      <c r="BU430" s="25"/>
      <c r="BV430" s="25"/>
      <c r="BW430" s="25"/>
      <c r="BX430" s="25"/>
      <c r="BY430" s="25"/>
      <c r="BZ430" s="25"/>
      <c r="CA430" s="25"/>
      <c r="CB430" s="25"/>
      <c r="CC430" s="25"/>
      <c r="CD430" s="25"/>
      <c r="CE430" s="25"/>
      <c r="CF430" s="25"/>
      <c r="CG430" s="25"/>
      <c r="CH430" s="25"/>
      <c r="CI430" s="25"/>
      <c r="CJ430" s="25"/>
      <c r="CK430" s="25"/>
      <c r="CL430" s="25"/>
      <c r="CM430" s="25"/>
      <c r="CN430" s="25"/>
      <c r="CO430" s="25"/>
      <c r="CP430" s="25"/>
      <c r="CQ430" s="25"/>
      <c r="CR430" s="25"/>
      <c r="CS430" s="25"/>
    </row>
    <row r="431" spans="2:97">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c r="AV431" s="25"/>
      <c r="AW431" s="25"/>
      <c r="AX431" s="25"/>
      <c r="AY431" s="25"/>
      <c r="AZ431" s="25"/>
      <c r="BA431" s="25"/>
      <c r="BB431" s="25"/>
      <c r="BC431" s="25"/>
      <c r="BD431" s="25"/>
      <c r="BE431" s="25"/>
      <c r="BF431" s="25"/>
      <c r="BG431" s="25"/>
      <c r="BH431" s="25"/>
      <c r="BI431" s="25"/>
      <c r="BJ431" s="25"/>
      <c r="BK431" s="25"/>
      <c r="BL431" s="25"/>
      <c r="BM431" s="25"/>
      <c r="BN431" s="25"/>
      <c r="BO431" s="25"/>
      <c r="BP431" s="25"/>
      <c r="BQ431" s="25"/>
      <c r="BR431" s="25"/>
      <c r="BS431" s="25"/>
      <c r="BT431" s="25"/>
      <c r="BU431" s="25"/>
      <c r="BV431" s="25"/>
      <c r="BW431" s="25"/>
      <c r="BX431" s="25"/>
      <c r="BY431" s="25"/>
      <c r="BZ431" s="25"/>
      <c r="CA431" s="25"/>
      <c r="CB431" s="25"/>
      <c r="CC431" s="25"/>
      <c r="CD431" s="25"/>
      <c r="CE431" s="25"/>
      <c r="CF431" s="25"/>
      <c r="CG431" s="25"/>
      <c r="CH431" s="25"/>
      <c r="CI431" s="25"/>
      <c r="CJ431" s="25"/>
      <c r="CK431" s="25"/>
      <c r="CL431" s="25"/>
      <c r="CM431" s="25"/>
      <c r="CN431" s="25"/>
      <c r="CO431" s="25"/>
      <c r="CP431" s="25"/>
      <c r="CQ431" s="25"/>
      <c r="CR431" s="25"/>
      <c r="CS431" s="25"/>
    </row>
    <row r="432" spans="2:97">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c r="AV432" s="25"/>
      <c r="AW432" s="25"/>
      <c r="AX432" s="25"/>
      <c r="AY432" s="25"/>
      <c r="AZ432" s="25"/>
      <c r="BA432" s="25"/>
      <c r="BB432" s="25"/>
      <c r="BC432" s="25"/>
      <c r="BD432" s="25"/>
      <c r="BE432" s="25"/>
      <c r="BF432" s="25"/>
      <c r="BG432" s="25"/>
      <c r="BH432" s="25"/>
      <c r="BI432" s="25"/>
      <c r="BJ432" s="25"/>
      <c r="BK432" s="25"/>
      <c r="BL432" s="25"/>
      <c r="BM432" s="25"/>
      <c r="BN432" s="25"/>
      <c r="BO432" s="25"/>
      <c r="BP432" s="25"/>
      <c r="BQ432" s="25"/>
      <c r="BR432" s="25"/>
      <c r="BS432" s="25"/>
      <c r="BT432" s="25"/>
      <c r="BU432" s="25"/>
      <c r="BV432" s="25"/>
      <c r="BW432" s="25"/>
      <c r="BX432" s="25"/>
      <c r="BY432" s="25"/>
      <c r="BZ432" s="25"/>
      <c r="CA432" s="25"/>
      <c r="CB432" s="25"/>
      <c r="CC432" s="25"/>
      <c r="CD432" s="25"/>
      <c r="CE432" s="25"/>
      <c r="CF432" s="25"/>
      <c r="CG432" s="25"/>
      <c r="CH432" s="25"/>
      <c r="CI432" s="25"/>
      <c r="CJ432" s="25"/>
      <c r="CK432" s="25"/>
      <c r="CL432" s="25"/>
      <c r="CM432" s="25"/>
      <c r="CN432" s="25"/>
      <c r="CO432" s="25"/>
      <c r="CP432" s="25"/>
      <c r="CQ432" s="25"/>
      <c r="CR432" s="25"/>
      <c r="CS432" s="25"/>
    </row>
    <row r="433" spans="2:97">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c r="AV433" s="25"/>
      <c r="AW433" s="25"/>
      <c r="AX433" s="25"/>
      <c r="AY433" s="25"/>
      <c r="AZ433" s="25"/>
      <c r="BA433" s="25"/>
      <c r="BB433" s="25"/>
      <c r="BC433" s="25"/>
      <c r="BD433" s="25"/>
      <c r="BE433" s="25"/>
      <c r="BF433" s="25"/>
      <c r="BG433" s="25"/>
      <c r="BH433" s="25"/>
      <c r="BI433" s="25"/>
      <c r="BJ433" s="25"/>
      <c r="BK433" s="25"/>
      <c r="BL433" s="25"/>
      <c r="BM433" s="25"/>
      <c r="BN433" s="25"/>
      <c r="BO433" s="25"/>
      <c r="BP433" s="25"/>
      <c r="BQ433" s="25"/>
      <c r="BR433" s="25"/>
      <c r="BS433" s="25"/>
      <c r="BT433" s="25"/>
      <c r="BU433" s="25"/>
      <c r="BV433" s="25"/>
      <c r="BW433" s="25"/>
      <c r="BX433" s="25"/>
      <c r="BY433" s="25"/>
      <c r="BZ433" s="25"/>
      <c r="CA433" s="25"/>
      <c r="CB433" s="25"/>
      <c r="CC433" s="25"/>
      <c r="CD433" s="25"/>
      <c r="CE433" s="25"/>
      <c r="CF433" s="25"/>
      <c r="CG433" s="25"/>
      <c r="CH433" s="25"/>
      <c r="CI433" s="25"/>
      <c r="CJ433" s="25"/>
      <c r="CK433" s="25"/>
      <c r="CL433" s="25"/>
      <c r="CM433" s="25"/>
      <c r="CN433" s="25"/>
      <c r="CO433" s="25"/>
      <c r="CP433" s="25"/>
      <c r="CQ433" s="25"/>
      <c r="CR433" s="25"/>
      <c r="CS433" s="25"/>
    </row>
    <row r="434" spans="2:97">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c r="AV434" s="25"/>
      <c r="AW434" s="25"/>
      <c r="AX434" s="25"/>
      <c r="AY434" s="25"/>
      <c r="AZ434" s="25"/>
      <c r="BA434" s="25"/>
      <c r="BB434" s="25"/>
      <c r="BC434" s="25"/>
      <c r="BD434" s="25"/>
      <c r="BE434" s="25"/>
      <c r="BF434" s="25"/>
      <c r="BG434" s="25"/>
      <c r="BH434" s="25"/>
      <c r="BI434" s="25"/>
      <c r="BJ434" s="25"/>
      <c r="BK434" s="25"/>
      <c r="BL434" s="25"/>
      <c r="BM434" s="25"/>
      <c r="BN434" s="25"/>
      <c r="BO434" s="25"/>
      <c r="BP434" s="25"/>
      <c r="BQ434" s="25"/>
      <c r="BR434" s="25"/>
      <c r="BS434" s="25"/>
      <c r="BT434" s="25"/>
      <c r="BU434" s="25"/>
      <c r="BV434" s="25"/>
      <c r="BW434" s="25"/>
      <c r="BX434" s="25"/>
      <c r="BY434" s="25"/>
      <c r="BZ434" s="25"/>
      <c r="CA434" s="25"/>
      <c r="CB434" s="25"/>
      <c r="CC434" s="25"/>
      <c r="CD434" s="25"/>
      <c r="CE434" s="25"/>
      <c r="CF434" s="25"/>
      <c r="CG434" s="25"/>
      <c r="CH434" s="25"/>
      <c r="CI434" s="25"/>
      <c r="CJ434" s="25"/>
      <c r="CK434" s="25"/>
      <c r="CL434" s="25"/>
      <c r="CM434" s="25"/>
      <c r="CN434" s="25"/>
      <c r="CO434" s="25"/>
      <c r="CP434" s="25"/>
      <c r="CQ434" s="25"/>
      <c r="CR434" s="25"/>
      <c r="CS434" s="25"/>
    </row>
    <row r="435" spans="2:97">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c r="AV435" s="25"/>
      <c r="AW435" s="25"/>
      <c r="AX435" s="25"/>
      <c r="AY435" s="25"/>
      <c r="AZ435" s="25"/>
      <c r="BA435" s="25"/>
      <c r="BB435" s="25"/>
      <c r="BC435" s="25"/>
      <c r="BD435" s="25"/>
      <c r="BE435" s="25"/>
      <c r="BF435" s="25"/>
      <c r="BG435" s="25"/>
      <c r="BH435" s="25"/>
      <c r="BI435" s="25"/>
      <c r="BJ435" s="25"/>
      <c r="BK435" s="25"/>
      <c r="BL435" s="25"/>
      <c r="BM435" s="25"/>
      <c r="BN435" s="25"/>
      <c r="BO435" s="25"/>
      <c r="BP435" s="25"/>
      <c r="BQ435" s="25"/>
      <c r="BR435" s="25"/>
      <c r="BS435" s="25"/>
      <c r="BT435" s="25"/>
      <c r="BU435" s="25"/>
      <c r="BV435" s="25"/>
      <c r="BW435" s="25"/>
      <c r="BX435" s="25"/>
      <c r="BY435" s="25"/>
      <c r="BZ435" s="25"/>
      <c r="CA435" s="25"/>
      <c r="CB435" s="25"/>
      <c r="CC435" s="25"/>
      <c r="CD435" s="25"/>
      <c r="CE435" s="25"/>
      <c r="CF435" s="25"/>
      <c r="CG435" s="25"/>
      <c r="CH435" s="25"/>
      <c r="CI435" s="25"/>
      <c r="CJ435" s="25"/>
      <c r="CK435" s="25"/>
      <c r="CL435" s="25"/>
      <c r="CM435" s="25"/>
      <c r="CN435" s="25"/>
      <c r="CO435" s="25"/>
      <c r="CP435" s="25"/>
      <c r="CQ435" s="25"/>
      <c r="CR435" s="25"/>
      <c r="CS435" s="25"/>
    </row>
    <row r="436" spans="2:97">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c r="AV436" s="25"/>
      <c r="AW436" s="25"/>
      <c r="AX436" s="25"/>
      <c r="AY436" s="25"/>
      <c r="AZ436" s="25"/>
      <c r="BA436" s="25"/>
      <c r="BB436" s="25"/>
      <c r="BC436" s="25"/>
      <c r="BD436" s="25"/>
      <c r="BE436" s="25"/>
      <c r="BF436" s="25"/>
      <c r="BG436" s="25"/>
      <c r="BH436" s="25"/>
      <c r="BI436" s="25"/>
      <c r="BJ436" s="25"/>
      <c r="BK436" s="25"/>
      <c r="BL436" s="25"/>
      <c r="BM436" s="25"/>
      <c r="BN436" s="25"/>
      <c r="BO436" s="25"/>
      <c r="BP436" s="25"/>
      <c r="BQ436" s="25"/>
      <c r="BR436" s="25"/>
      <c r="BS436" s="25"/>
      <c r="BT436" s="25"/>
      <c r="BU436" s="25"/>
      <c r="BV436" s="25"/>
      <c r="BW436" s="25"/>
      <c r="BX436" s="25"/>
      <c r="BY436" s="25"/>
      <c r="BZ436" s="25"/>
      <c r="CA436" s="25"/>
      <c r="CB436" s="25"/>
      <c r="CC436" s="25"/>
      <c r="CD436" s="25"/>
      <c r="CE436" s="25"/>
      <c r="CF436" s="25"/>
      <c r="CG436" s="25"/>
      <c r="CH436" s="25"/>
      <c r="CI436" s="25"/>
      <c r="CJ436" s="25"/>
      <c r="CK436" s="25"/>
      <c r="CL436" s="25"/>
      <c r="CM436" s="25"/>
      <c r="CN436" s="25"/>
      <c r="CO436" s="25"/>
      <c r="CP436" s="25"/>
      <c r="CQ436" s="25"/>
      <c r="CR436" s="25"/>
      <c r="CS436" s="25"/>
    </row>
    <row r="437" spans="2:97">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c r="AV437" s="25"/>
      <c r="AW437" s="25"/>
      <c r="AX437" s="25"/>
      <c r="AY437" s="25"/>
      <c r="AZ437" s="25"/>
      <c r="BA437" s="25"/>
      <c r="BB437" s="25"/>
      <c r="BC437" s="25"/>
      <c r="BD437" s="25"/>
      <c r="BE437" s="25"/>
      <c r="BF437" s="25"/>
      <c r="BG437" s="25"/>
      <c r="BH437" s="25"/>
      <c r="BI437" s="25"/>
      <c r="BJ437" s="25"/>
      <c r="BK437" s="25"/>
      <c r="BL437" s="25"/>
      <c r="BM437" s="25"/>
      <c r="BN437" s="25"/>
      <c r="BO437" s="25"/>
      <c r="BP437" s="25"/>
      <c r="BQ437" s="25"/>
      <c r="BR437" s="25"/>
      <c r="BS437" s="25"/>
      <c r="BT437" s="25"/>
      <c r="BU437" s="25"/>
      <c r="BV437" s="25"/>
      <c r="BW437" s="25"/>
      <c r="BX437" s="25"/>
      <c r="BY437" s="25"/>
      <c r="BZ437" s="25"/>
      <c r="CA437" s="25"/>
      <c r="CB437" s="25"/>
      <c r="CC437" s="25"/>
      <c r="CD437" s="25"/>
      <c r="CE437" s="25"/>
      <c r="CF437" s="25"/>
      <c r="CG437" s="25"/>
      <c r="CH437" s="25"/>
      <c r="CI437" s="25"/>
      <c r="CJ437" s="25"/>
      <c r="CK437" s="25"/>
      <c r="CL437" s="25"/>
      <c r="CM437" s="25"/>
      <c r="CN437" s="25"/>
      <c r="CO437" s="25"/>
      <c r="CP437" s="25"/>
      <c r="CQ437" s="25"/>
      <c r="CR437" s="25"/>
      <c r="CS437" s="25"/>
    </row>
    <row r="438" spans="2:97">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c r="AV438" s="25"/>
      <c r="AW438" s="25"/>
      <c r="AX438" s="25"/>
      <c r="AY438" s="25"/>
      <c r="AZ438" s="25"/>
      <c r="BA438" s="25"/>
      <c r="BB438" s="25"/>
      <c r="BC438" s="25"/>
      <c r="BD438" s="25"/>
      <c r="BE438" s="25"/>
      <c r="BF438" s="25"/>
      <c r="BG438" s="25"/>
      <c r="BH438" s="25"/>
      <c r="BI438" s="25"/>
      <c r="BJ438" s="25"/>
      <c r="BK438" s="25"/>
      <c r="BL438" s="25"/>
      <c r="BM438" s="25"/>
      <c r="BN438" s="25"/>
      <c r="BO438" s="25"/>
      <c r="BP438" s="25"/>
      <c r="BQ438" s="25"/>
      <c r="BR438" s="25"/>
      <c r="BS438" s="25"/>
      <c r="BT438" s="25"/>
      <c r="BU438" s="25"/>
      <c r="BV438" s="25"/>
      <c r="BW438" s="25"/>
      <c r="BX438" s="25"/>
      <c r="BY438" s="25"/>
      <c r="BZ438" s="25"/>
      <c r="CA438" s="25"/>
      <c r="CB438" s="25"/>
      <c r="CC438" s="25"/>
      <c r="CD438" s="25"/>
      <c r="CE438" s="25"/>
      <c r="CF438" s="25"/>
      <c r="CG438" s="25"/>
      <c r="CH438" s="25"/>
      <c r="CI438" s="25"/>
      <c r="CJ438" s="25"/>
      <c r="CK438" s="25"/>
      <c r="CL438" s="25"/>
      <c r="CM438" s="25"/>
      <c r="CN438" s="25"/>
      <c r="CO438" s="25"/>
      <c r="CP438" s="25"/>
      <c r="CQ438" s="25"/>
      <c r="CR438" s="25"/>
      <c r="CS438" s="25"/>
    </row>
    <row r="439" spans="2:97">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c r="AV439" s="25"/>
      <c r="AW439" s="25"/>
      <c r="AX439" s="25"/>
      <c r="AY439" s="25"/>
      <c r="AZ439" s="25"/>
      <c r="BA439" s="25"/>
      <c r="BB439" s="25"/>
      <c r="BC439" s="25"/>
      <c r="BD439" s="25"/>
      <c r="BE439" s="25"/>
      <c r="BF439" s="25"/>
      <c r="BG439" s="25"/>
      <c r="BH439" s="25"/>
      <c r="BI439" s="25"/>
      <c r="BJ439" s="25"/>
      <c r="BK439" s="25"/>
      <c r="BL439" s="25"/>
      <c r="BM439" s="25"/>
      <c r="BN439" s="25"/>
      <c r="BO439" s="25"/>
      <c r="BP439" s="25"/>
      <c r="BQ439" s="25"/>
      <c r="BR439" s="25"/>
      <c r="BS439" s="25"/>
      <c r="BT439" s="25"/>
      <c r="BU439" s="25"/>
      <c r="BV439" s="25"/>
      <c r="BW439" s="25"/>
      <c r="BX439" s="25"/>
      <c r="BY439" s="25"/>
      <c r="BZ439" s="25"/>
      <c r="CA439" s="25"/>
      <c r="CB439" s="25"/>
      <c r="CC439" s="25"/>
      <c r="CD439" s="25"/>
      <c r="CE439" s="25"/>
      <c r="CF439" s="25"/>
      <c r="CG439" s="25"/>
      <c r="CH439" s="25"/>
      <c r="CI439" s="25"/>
      <c r="CJ439" s="25"/>
      <c r="CK439" s="25"/>
      <c r="CL439" s="25"/>
      <c r="CM439" s="25"/>
      <c r="CN439" s="25"/>
      <c r="CO439" s="25"/>
      <c r="CP439" s="25"/>
      <c r="CQ439" s="25"/>
      <c r="CR439" s="25"/>
      <c r="CS439" s="25"/>
    </row>
    <row r="440" spans="2:97">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c r="AV440" s="25"/>
      <c r="AW440" s="25"/>
      <c r="AX440" s="25"/>
      <c r="AY440" s="25"/>
      <c r="AZ440" s="25"/>
      <c r="BA440" s="25"/>
      <c r="BB440" s="25"/>
      <c r="BC440" s="25"/>
      <c r="BD440" s="25"/>
      <c r="BE440" s="25"/>
      <c r="BF440" s="25"/>
      <c r="BG440" s="25"/>
      <c r="BH440" s="25"/>
      <c r="BI440" s="25"/>
      <c r="BJ440" s="25"/>
      <c r="BK440" s="25"/>
      <c r="BL440" s="25"/>
      <c r="BM440" s="25"/>
      <c r="BN440" s="25"/>
      <c r="BO440" s="25"/>
      <c r="BP440" s="25"/>
      <c r="BQ440" s="25"/>
      <c r="BR440" s="25"/>
      <c r="BS440" s="25"/>
      <c r="BT440" s="25"/>
      <c r="BU440" s="25"/>
      <c r="BV440" s="25"/>
      <c r="BW440" s="25"/>
      <c r="BX440" s="25"/>
      <c r="BY440" s="25"/>
      <c r="BZ440" s="25"/>
      <c r="CA440" s="25"/>
      <c r="CB440" s="25"/>
      <c r="CC440" s="25"/>
      <c r="CD440" s="25"/>
      <c r="CE440" s="25"/>
      <c r="CF440" s="25"/>
      <c r="CG440" s="25"/>
      <c r="CH440" s="25"/>
      <c r="CI440" s="25"/>
      <c r="CJ440" s="25"/>
      <c r="CK440" s="25"/>
      <c r="CL440" s="25"/>
      <c r="CM440" s="25"/>
      <c r="CN440" s="25"/>
      <c r="CO440" s="25"/>
      <c r="CP440" s="25"/>
      <c r="CQ440" s="25"/>
      <c r="CR440" s="25"/>
      <c r="CS440" s="25"/>
    </row>
    <row r="441" spans="2:97">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c r="AV441" s="25"/>
      <c r="AW441" s="25"/>
      <c r="AX441" s="25"/>
      <c r="AY441" s="25"/>
      <c r="AZ441" s="25"/>
      <c r="BA441" s="25"/>
      <c r="BB441" s="25"/>
      <c r="BC441" s="25"/>
      <c r="BD441" s="25"/>
      <c r="BE441" s="25"/>
      <c r="BF441" s="25"/>
      <c r="BG441" s="25"/>
      <c r="BH441" s="25"/>
      <c r="BI441" s="25"/>
      <c r="BJ441" s="25"/>
      <c r="BK441" s="25"/>
      <c r="BL441" s="25"/>
      <c r="BM441" s="25"/>
      <c r="BN441" s="25"/>
      <c r="BO441" s="25"/>
      <c r="BP441" s="25"/>
      <c r="BQ441" s="25"/>
      <c r="BR441" s="25"/>
      <c r="BS441" s="25"/>
      <c r="BT441" s="25"/>
      <c r="BU441" s="25"/>
      <c r="BV441" s="25"/>
      <c r="BW441" s="25"/>
      <c r="BX441" s="25"/>
      <c r="BY441" s="25"/>
      <c r="BZ441" s="25"/>
      <c r="CA441" s="25"/>
      <c r="CB441" s="25"/>
      <c r="CC441" s="25"/>
      <c r="CD441" s="25"/>
      <c r="CE441" s="25"/>
      <c r="CF441" s="25"/>
      <c r="CG441" s="25"/>
      <c r="CH441" s="25"/>
      <c r="CI441" s="25"/>
      <c r="CJ441" s="25"/>
      <c r="CK441" s="25"/>
      <c r="CL441" s="25"/>
      <c r="CM441" s="25"/>
      <c r="CN441" s="25"/>
      <c r="CO441" s="25"/>
      <c r="CP441" s="25"/>
      <c r="CQ441" s="25"/>
      <c r="CR441" s="25"/>
      <c r="CS441" s="25"/>
    </row>
    <row r="442" spans="2:97">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c r="AV442" s="25"/>
      <c r="AW442" s="25"/>
      <c r="AX442" s="25"/>
      <c r="AY442" s="25"/>
      <c r="AZ442" s="25"/>
      <c r="BA442" s="25"/>
      <c r="BB442" s="25"/>
      <c r="BC442" s="25"/>
      <c r="BD442" s="25"/>
      <c r="BE442" s="25"/>
      <c r="BF442" s="25"/>
      <c r="BG442" s="25"/>
      <c r="BH442" s="25"/>
      <c r="BI442" s="25"/>
      <c r="BJ442" s="25"/>
      <c r="BK442" s="25"/>
      <c r="BL442" s="25"/>
      <c r="BM442" s="25"/>
      <c r="BN442" s="25"/>
      <c r="BO442" s="25"/>
      <c r="BP442" s="25"/>
      <c r="BQ442" s="25"/>
      <c r="BR442" s="25"/>
      <c r="BS442" s="25"/>
      <c r="BT442" s="25"/>
      <c r="BU442" s="25"/>
      <c r="BV442" s="25"/>
      <c r="BW442" s="25"/>
      <c r="BX442" s="25"/>
      <c r="BY442" s="25"/>
      <c r="BZ442" s="25"/>
      <c r="CA442" s="25"/>
      <c r="CB442" s="25"/>
      <c r="CC442" s="25"/>
      <c r="CD442" s="25"/>
      <c r="CE442" s="25"/>
      <c r="CF442" s="25"/>
      <c r="CG442" s="25"/>
      <c r="CH442" s="25"/>
      <c r="CI442" s="25"/>
      <c r="CJ442" s="25"/>
      <c r="CK442" s="25"/>
      <c r="CL442" s="25"/>
      <c r="CM442" s="25"/>
      <c r="CN442" s="25"/>
      <c r="CO442" s="25"/>
      <c r="CP442" s="25"/>
      <c r="CQ442" s="25"/>
      <c r="CR442" s="25"/>
      <c r="CS442" s="25"/>
    </row>
    <row r="443" spans="2:97">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c r="AV443" s="25"/>
      <c r="AW443" s="25"/>
      <c r="AX443" s="25"/>
      <c r="AY443" s="25"/>
      <c r="AZ443" s="25"/>
      <c r="BA443" s="25"/>
      <c r="BB443" s="25"/>
      <c r="BC443" s="25"/>
      <c r="BD443" s="25"/>
      <c r="BE443" s="25"/>
      <c r="BF443" s="25"/>
      <c r="BG443" s="25"/>
      <c r="BH443" s="25"/>
      <c r="BI443" s="25"/>
      <c r="BJ443" s="25"/>
      <c r="BK443" s="25"/>
      <c r="BL443" s="25"/>
      <c r="BM443" s="25"/>
      <c r="BN443" s="25"/>
      <c r="BO443" s="25"/>
      <c r="BP443" s="25"/>
      <c r="BQ443" s="25"/>
      <c r="BR443" s="25"/>
      <c r="BS443" s="25"/>
      <c r="BT443" s="25"/>
      <c r="BU443" s="25"/>
      <c r="BV443" s="25"/>
      <c r="BW443" s="25"/>
      <c r="BX443" s="25"/>
      <c r="BY443" s="25"/>
      <c r="BZ443" s="25"/>
      <c r="CA443" s="25"/>
      <c r="CB443" s="25"/>
      <c r="CC443" s="25"/>
      <c r="CD443" s="25"/>
      <c r="CE443" s="25"/>
      <c r="CF443" s="25"/>
      <c r="CG443" s="25"/>
      <c r="CH443" s="25"/>
      <c r="CI443" s="25"/>
      <c r="CJ443" s="25"/>
      <c r="CK443" s="25"/>
      <c r="CL443" s="25"/>
      <c r="CM443" s="25"/>
      <c r="CN443" s="25"/>
      <c r="CO443" s="25"/>
      <c r="CP443" s="25"/>
      <c r="CQ443" s="25"/>
      <c r="CR443" s="25"/>
      <c r="CS443" s="25"/>
    </row>
    <row r="444" spans="2:97">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c r="AV444" s="25"/>
      <c r="AW444" s="25"/>
      <c r="AX444" s="25"/>
      <c r="AY444" s="25"/>
      <c r="AZ444" s="25"/>
      <c r="BA444" s="25"/>
      <c r="BB444" s="25"/>
      <c r="BC444" s="25"/>
      <c r="BD444" s="25"/>
      <c r="BE444" s="25"/>
      <c r="BF444" s="25"/>
      <c r="BG444" s="25"/>
      <c r="BH444" s="25"/>
      <c r="BI444" s="25"/>
      <c r="BJ444" s="25"/>
      <c r="BK444" s="25"/>
      <c r="BL444" s="25"/>
      <c r="BM444" s="25"/>
      <c r="BN444" s="25"/>
      <c r="BO444" s="25"/>
      <c r="BP444" s="25"/>
      <c r="BQ444" s="25"/>
      <c r="BR444" s="25"/>
      <c r="BS444" s="25"/>
      <c r="BT444" s="25"/>
      <c r="BU444" s="25"/>
      <c r="BV444" s="25"/>
      <c r="BW444" s="25"/>
      <c r="BX444" s="25"/>
      <c r="BY444" s="25"/>
      <c r="BZ444" s="25"/>
      <c r="CA444" s="25"/>
      <c r="CB444" s="25"/>
      <c r="CC444" s="25"/>
      <c r="CD444" s="25"/>
      <c r="CE444" s="25"/>
      <c r="CF444" s="25"/>
      <c r="CG444" s="25"/>
      <c r="CH444" s="25"/>
      <c r="CI444" s="25"/>
      <c r="CJ444" s="25"/>
      <c r="CK444" s="25"/>
      <c r="CL444" s="25"/>
      <c r="CM444" s="25"/>
      <c r="CN444" s="25"/>
      <c r="CO444" s="25"/>
      <c r="CP444" s="25"/>
      <c r="CQ444" s="25"/>
      <c r="CR444" s="25"/>
      <c r="CS444" s="25"/>
    </row>
    <row r="445" spans="2:97">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c r="AV445" s="25"/>
      <c r="AW445" s="25"/>
      <c r="AX445" s="25"/>
      <c r="AY445" s="25"/>
      <c r="AZ445" s="25"/>
      <c r="BA445" s="25"/>
      <c r="BB445" s="25"/>
      <c r="BC445" s="25"/>
      <c r="BD445" s="25"/>
      <c r="BE445" s="25"/>
      <c r="BF445" s="25"/>
      <c r="BG445" s="25"/>
      <c r="BH445" s="25"/>
      <c r="BI445" s="25"/>
      <c r="BJ445" s="25"/>
      <c r="BK445" s="25"/>
      <c r="BL445" s="25"/>
      <c r="BM445" s="25"/>
      <c r="BN445" s="25"/>
      <c r="BO445" s="25"/>
      <c r="BP445" s="25"/>
      <c r="BQ445" s="25"/>
      <c r="BR445" s="25"/>
      <c r="BS445" s="25"/>
      <c r="BT445" s="25"/>
      <c r="BU445" s="25"/>
      <c r="BV445" s="25"/>
      <c r="BW445" s="25"/>
      <c r="BX445" s="25"/>
      <c r="BY445" s="25"/>
      <c r="BZ445" s="25"/>
      <c r="CA445" s="25"/>
      <c r="CB445" s="25"/>
      <c r="CC445" s="25"/>
      <c r="CD445" s="25"/>
      <c r="CE445" s="25"/>
      <c r="CF445" s="25"/>
      <c r="CG445" s="25"/>
      <c r="CH445" s="25"/>
      <c r="CI445" s="25"/>
      <c r="CJ445" s="25"/>
      <c r="CK445" s="25"/>
      <c r="CL445" s="25"/>
      <c r="CM445" s="25"/>
      <c r="CN445" s="25"/>
      <c r="CO445" s="25"/>
      <c r="CP445" s="25"/>
      <c r="CQ445" s="25"/>
      <c r="CR445" s="25"/>
      <c r="CS445" s="25"/>
    </row>
    <row r="446" spans="2:97">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c r="AV446" s="25"/>
      <c r="AW446" s="25"/>
      <c r="AX446" s="25"/>
      <c r="AY446" s="25"/>
      <c r="AZ446" s="25"/>
      <c r="BA446" s="25"/>
      <c r="BB446" s="25"/>
      <c r="BC446" s="25"/>
      <c r="BD446" s="25"/>
      <c r="BE446" s="25"/>
      <c r="BF446" s="25"/>
      <c r="BG446" s="25"/>
      <c r="BH446" s="25"/>
      <c r="BI446" s="25"/>
      <c r="BJ446" s="25"/>
      <c r="BK446" s="25"/>
      <c r="BL446" s="25"/>
      <c r="BM446" s="25"/>
      <c r="BN446" s="25"/>
      <c r="BO446" s="25"/>
      <c r="BP446" s="25"/>
      <c r="BQ446" s="25"/>
      <c r="BR446" s="25"/>
      <c r="BS446" s="25"/>
      <c r="BT446" s="25"/>
      <c r="BU446" s="25"/>
      <c r="BV446" s="25"/>
      <c r="BW446" s="25"/>
      <c r="BX446" s="25"/>
      <c r="BY446" s="25"/>
      <c r="BZ446" s="25"/>
      <c r="CA446" s="25"/>
      <c r="CB446" s="25"/>
      <c r="CC446" s="25"/>
      <c r="CD446" s="25"/>
      <c r="CE446" s="25"/>
      <c r="CF446" s="25"/>
      <c r="CG446" s="25"/>
      <c r="CH446" s="25"/>
      <c r="CI446" s="25"/>
      <c r="CJ446" s="25"/>
      <c r="CK446" s="25"/>
      <c r="CL446" s="25"/>
      <c r="CM446" s="25"/>
      <c r="CN446" s="25"/>
      <c r="CO446" s="25"/>
      <c r="CP446" s="25"/>
      <c r="CQ446" s="25"/>
      <c r="CR446" s="25"/>
      <c r="CS446" s="25"/>
    </row>
    <row r="447" spans="2:97">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c r="AV447" s="25"/>
      <c r="AW447" s="25"/>
      <c r="AX447" s="25"/>
      <c r="AY447" s="25"/>
      <c r="AZ447" s="25"/>
      <c r="BA447" s="25"/>
      <c r="BB447" s="25"/>
      <c r="BC447" s="25"/>
      <c r="BD447" s="25"/>
      <c r="BE447" s="25"/>
      <c r="BF447" s="25"/>
      <c r="BG447" s="25"/>
      <c r="BH447" s="25"/>
      <c r="BI447" s="25"/>
      <c r="BJ447" s="25"/>
      <c r="BK447" s="25"/>
      <c r="BL447" s="25"/>
      <c r="BM447" s="25"/>
      <c r="BN447" s="25"/>
      <c r="BO447" s="25"/>
      <c r="BP447" s="25"/>
      <c r="BQ447" s="25"/>
      <c r="BR447" s="25"/>
      <c r="BS447" s="25"/>
      <c r="BT447" s="25"/>
      <c r="BU447" s="25"/>
      <c r="BV447" s="25"/>
      <c r="BW447" s="25"/>
      <c r="BX447" s="25"/>
      <c r="BY447" s="25"/>
      <c r="BZ447" s="25"/>
      <c r="CA447" s="25"/>
      <c r="CB447" s="25"/>
      <c r="CC447" s="25"/>
      <c r="CD447" s="25"/>
      <c r="CE447" s="25"/>
      <c r="CF447" s="25"/>
      <c r="CG447" s="25"/>
      <c r="CH447" s="25"/>
      <c r="CI447" s="25"/>
      <c r="CJ447" s="25"/>
      <c r="CK447" s="25"/>
      <c r="CL447" s="25"/>
      <c r="CM447" s="25"/>
      <c r="CN447" s="25"/>
      <c r="CO447" s="25"/>
      <c r="CP447" s="25"/>
      <c r="CQ447" s="25"/>
      <c r="CR447" s="25"/>
      <c r="CS447" s="25"/>
    </row>
    <row r="448" spans="2:97">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c r="AV448" s="25"/>
      <c r="AW448" s="25"/>
      <c r="AX448" s="25"/>
      <c r="AY448" s="25"/>
      <c r="AZ448" s="25"/>
      <c r="BA448" s="25"/>
      <c r="BB448" s="25"/>
      <c r="BC448" s="25"/>
      <c r="BD448" s="25"/>
      <c r="BE448" s="25"/>
      <c r="BF448" s="25"/>
      <c r="BG448" s="25"/>
      <c r="BH448" s="25"/>
      <c r="BI448" s="25"/>
      <c r="BJ448" s="25"/>
      <c r="BK448" s="25"/>
      <c r="BL448" s="25"/>
      <c r="BM448" s="25"/>
      <c r="BN448" s="25"/>
      <c r="BO448" s="25"/>
      <c r="BP448" s="25"/>
      <c r="BQ448" s="25"/>
      <c r="BR448" s="25"/>
      <c r="BS448" s="25"/>
      <c r="BT448" s="25"/>
      <c r="BU448" s="25"/>
      <c r="BV448" s="25"/>
      <c r="BW448" s="25"/>
      <c r="BX448" s="25"/>
      <c r="BY448" s="25"/>
      <c r="BZ448" s="25"/>
      <c r="CA448" s="25"/>
      <c r="CB448" s="25"/>
      <c r="CC448" s="25"/>
      <c r="CD448" s="25"/>
      <c r="CE448" s="25"/>
      <c r="CF448" s="25"/>
      <c r="CG448" s="25"/>
      <c r="CH448" s="25"/>
      <c r="CI448" s="25"/>
      <c r="CJ448" s="25"/>
      <c r="CK448" s="25"/>
      <c r="CL448" s="25"/>
      <c r="CM448" s="25"/>
      <c r="CN448" s="25"/>
      <c r="CO448" s="25"/>
      <c r="CP448" s="25"/>
      <c r="CQ448" s="25"/>
      <c r="CR448" s="25"/>
      <c r="CS448" s="25"/>
    </row>
    <row r="449" spans="2:97">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c r="AV449" s="25"/>
      <c r="AW449" s="25"/>
      <c r="AX449" s="25"/>
      <c r="AY449" s="25"/>
      <c r="AZ449" s="25"/>
      <c r="BA449" s="25"/>
      <c r="BB449" s="25"/>
      <c r="BC449" s="25"/>
      <c r="BD449" s="25"/>
      <c r="BE449" s="25"/>
      <c r="BF449" s="25"/>
      <c r="BG449" s="25"/>
      <c r="BH449" s="25"/>
      <c r="BI449" s="25"/>
      <c r="BJ449" s="25"/>
      <c r="BK449" s="25"/>
      <c r="BL449" s="25"/>
      <c r="BM449" s="25"/>
      <c r="BN449" s="25"/>
      <c r="BO449" s="25"/>
      <c r="BP449" s="25"/>
      <c r="BQ449" s="25"/>
      <c r="BR449" s="25"/>
      <c r="BS449" s="25"/>
      <c r="BT449" s="25"/>
      <c r="BU449" s="25"/>
      <c r="BV449" s="25"/>
      <c r="BW449" s="25"/>
      <c r="BX449" s="25"/>
      <c r="BY449" s="25"/>
      <c r="BZ449" s="25"/>
      <c r="CA449" s="25"/>
      <c r="CB449" s="25"/>
      <c r="CC449" s="25"/>
      <c r="CD449" s="25"/>
      <c r="CE449" s="25"/>
      <c r="CF449" s="25"/>
      <c r="CG449" s="25"/>
      <c r="CH449" s="25"/>
      <c r="CI449" s="25"/>
      <c r="CJ449" s="25"/>
      <c r="CK449" s="25"/>
      <c r="CL449" s="25"/>
      <c r="CM449" s="25"/>
      <c r="CN449" s="25"/>
      <c r="CO449" s="25"/>
      <c r="CP449" s="25"/>
      <c r="CQ449" s="25"/>
      <c r="CR449" s="25"/>
      <c r="CS449" s="25"/>
    </row>
    <row r="450" spans="2:97">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c r="AV450" s="25"/>
      <c r="AW450" s="25"/>
      <c r="AX450" s="25"/>
      <c r="AY450" s="25"/>
      <c r="AZ450" s="25"/>
      <c r="BA450" s="25"/>
      <c r="BB450" s="25"/>
      <c r="BC450" s="25"/>
      <c r="BD450" s="25"/>
      <c r="BE450" s="25"/>
      <c r="BF450" s="25"/>
      <c r="BG450" s="25"/>
      <c r="BH450" s="25"/>
      <c r="BI450" s="25"/>
      <c r="BJ450" s="25"/>
      <c r="BK450" s="25"/>
      <c r="BL450" s="25"/>
      <c r="BM450" s="25"/>
      <c r="BN450" s="25"/>
      <c r="BO450" s="25"/>
      <c r="BP450" s="25"/>
      <c r="BQ450" s="25"/>
      <c r="BR450" s="25"/>
      <c r="BS450" s="25"/>
      <c r="BT450" s="25"/>
      <c r="BU450" s="25"/>
      <c r="BV450" s="25"/>
      <c r="BW450" s="25"/>
      <c r="BX450" s="25"/>
      <c r="BY450" s="25"/>
      <c r="BZ450" s="25"/>
      <c r="CA450" s="25"/>
      <c r="CB450" s="25"/>
      <c r="CC450" s="25"/>
      <c r="CD450" s="25"/>
      <c r="CE450" s="25"/>
      <c r="CF450" s="25"/>
      <c r="CG450" s="25"/>
      <c r="CH450" s="25"/>
      <c r="CI450" s="25"/>
      <c r="CJ450" s="25"/>
      <c r="CK450" s="25"/>
      <c r="CL450" s="25"/>
      <c r="CM450" s="25"/>
      <c r="CN450" s="25"/>
      <c r="CO450" s="25"/>
      <c r="CP450" s="25"/>
      <c r="CQ450" s="25"/>
      <c r="CR450" s="25"/>
      <c r="CS450" s="25"/>
    </row>
    <row r="451" spans="2:97">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c r="AV451" s="25"/>
      <c r="AW451" s="25"/>
      <c r="AX451" s="25"/>
      <c r="AY451" s="25"/>
      <c r="AZ451" s="25"/>
      <c r="BA451" s="25"/>
      <c r="BB451" s="25"/>
      <c r="BC451" s="25"/>
      <c r="BD451" s="25"/>
      <c r="BE451" s="25"/>
      <c r="BF451" s="25"/>
      <c r="BG451" s="25"/>
      <c r="BH451" s="25"/>
      <c r="BI451" s="25"/>
      <c r="BJ451" s="25"/>
      <c r="BK451" s="25"/>
      <c r="BL451" s="25"/>
      <c r="BM451" s="25"/>
      <c r="BN451" s="25"/>
      <c r="BO451" s="25"/>
      <c r="BP451" s="25"/>
      <c r="BQ451" s="25"/>
      <c r="BR451" s="25"/>
      <c r="BS451" s="25"/>
      <c r="BT451" s="25"/>
      <c r="BU451" s="25"/>
      <c r="BV451" s="25"/>
      <c r="BW451" s="25"/>
      <c r="BX451" s="25"/>
      <c r="BY451" s="25"/>
      <c r="BZ451" s="25"/>
      <c r="CA451" s="25"/>
      <c r="CB451" s="25"/>
      <c r="CC451" s="25"/>
      <c r="CD451" s="25"/>
      <c r="CE451" s="25"/>
      <c r="CF451" s="25"/>
      <c r="CG451" s="25"/>
      <c r="CH451" s="25"/>
      <c r="CI451" s="25"/>
      <c r="CJ451" s="25"/>
      <c r="CK451" s="25"/>
      <c r="CL451" s="25"/>
      <c r="CM451" s="25"/>
      <c r="CN451" s="25"/>
      <c r="CO451" s="25"/>
      <c r="CP451" s="25"/>
      <c r="CQ451" s="25"/>
      <c r="CR451" s="25"/>
      <c r="CS451" s="25"/>
    </row>
    <row r="452" spans="2:97">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c r="AV452" s="25"/>
      <c r="AW452" s="25"/>
      <c r="AX452" s="25"/>
      <c r="AY452" s="25"/>
      <c r="AZ452" s="25"/>
      <c r="BA452" s="25"/>
      <c r="BB452" s="25"/>
      <c r="BC452" s="25"/>
      <c r="BD452" s="25"/>
      <c r="BE452" s="25"/>
      <c r="BF452" s="25"/>
      <c r="BG452" s="25"/>
      <c r="BH452" s="25"/>
      <c r="BI452" s="25"/>
      <c r="BJ452" s="25"/>
      <c r="BK452" s="25"/>
      <c r="BL452" s="25"/>
      <c r="BM452" s="25"/>
      <c r="BN452" s="25"/>
      <c r="BO452" s="25"/>
      <c r="BP452" s="25"/>
      <c r="BQ452" s="25"/>
      <c r="BR452" s="25"/>
      <c r="BS452" s="25"/>
      <c r="BT452" s="25"/>
      <c r="BU452" s="25"/>
      <c r="BV452" s="25"/>
      <c r="BW452" s="25"/>
      <c r="BX452" s="25"/>
      <c r="BY452" s="25"/>
      <c r="BZ452" s="25"/>
      <c r="CA452" s="25"/>
      <c r="CB452" s="25"/>
      <c r="CC452" s="25"/>
      <c r="CD452" s="25"/>
      <c r="CE452" s="25"/>
      <c r="CF452" s="25"/>
      <c r="CG452" s="25"/>
      <c r="CH452" s="25"/>
      <c r="CI452" s="25"/>
      <c r="CJ452" s="25"/>
      <c r="CK452" s="25"/>
      <c r="CL452" s="25"/>
      <c r="CM452" s="25"/>
      <c r="CN452" s="25"/>
      <c r="CO452" s="25"/>
      <c r="CP452" s="25"/>
      <c r="CQ452" s="25"/>
      <c r="CR452" s="25"/>
      <c r="CS452" s="25"/>
    </row>
    <row r="453" spans="2:97">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c r="AV453" s="25"/>
      <c r="AW453" s="25"/>
      <c r="AX453" s="25"/>
      <c r="AY453" s="25"/>
      <c r="AZ453" s="25"/>
      <c r="BA453" s="25"/>
      <c r="BB453" s="25"/>
      <c r="BC453" s="25"/>
      <c r="BD453" s="25"/>
      <c r="BE453" s="25"/>
      <c r="BF453" s="25"/>
      <c r="BG453" s="25"/>
      <c r="BH453" s="25"/>
      <c r="BI453" s="25"/>
      <c r="BJ453" s="25"/>
      <c r="BK453" s="25"/>
      <c r="BL453" s="25"/>
      <c r="BM453" s="25"/>
      <c r="BN453" s="25"/>
      <c r="BO453" s="25"/>
      <c r="BP453" s="25"/>
      <c r="BQ453" s="25"/>
      <c r="BR453" s="25"/>
      <c r="BS453" s="25"/>
      <c r="BT453" s="25"/>
      <c r="BU453" s="25"/>
      <c r="BV453" s="25"/>
      <c r="BW453" s="25"/>
      <c r="BX453" s="25"/>
      <c r="BY453" s="25"/>
      <c r="BZ453" s="25"/>
      <c r="CA453" s="25"/>
      <c r="CB453" s="25"/>
      <c r="CC453" s="25"/>
      <c r="CD453" s="25"/>
      <c r="CE453" s="25"/>
      <c r="CF453" s="25"/>
      <c r="CG453" s="25"/>
      <c r="CH453" s="25"/>
      <c r="CI453" s="25"/>
      <c r="CJ453" s="25"/>
      <c r="CK453" s="25"/>
      <c r="CL453" s="25"/>
      <c r="CM453" s="25"/>
      <c r="CN453" s="25"/>
      <c r="CO453" s="25"/>
      <c r="CP453" s="25"/>
      <c r="CQ453" s="25"/>
      <c r="CR453" s="25"/>
      <c r="CS453" s="25"/>
    </row>
    <row r="454" spans="2:97">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c r="AV454" s="25"/>
      <c r="AW454" s="25"/>
      <c r="AX454" s="25"/>
      <c r="AY454" s="25"/>
      <c r="AZ454" s="25"/>
      <c r="BA454" s="25"/>
      <c r="BB454" s="25"/>
      <c r="BC454" s="25"/>
      <c r="BD454" s="25"/>
      <c r="BE454" s="25"/>
      <c r="BF454" s="25"/>
      <c r="BG454" s="25"/>
      <c r="BH454" s="25"/>
      <c r="BI454" s="25"/>
      <c r="BJ454" s="25"/>
      <c r="BK454" s="25"/>
      <c r="BL454" s="25"/>
      <c r="BM454" s="25"/>
      <c r="BN454" s="25"/>
      <c r="BO454" s="25"/>
      <c r="BP454" s="25"/>
      <c r="BQ454" s="25"/>
      <c r="BR454" s="25"/>
      <c r="BS454" s="25"/>
      <c r="BT454" s="25"/>
      <c r="BU454" s="25"/>
      <c r="BV454" s="25"/>
      <c r="BW454" s="25"/>
      <c r="BX454" s="25"/>
      <c r="BY454" s="25"/>
      <c r="BZ454" s="25"/>
      <c r="CA454" s="25"/>
      <c r="CB454" s="25"/>
      <c r="CC454" s="25"/>
      <c r="CD454" s="25"/>
      <c r="CE454" s="25"/>
      <c r="CF454" s="25"/>
      <c r="CG454" s="25"/>
      <c r="CH454" s="25"/>
      <c r="CI454" s="25"/>
      <c r="CJ454" s="25"/>
      <c r="CK454" s="25"/>
      <c r="CL454" s="25"/>
      <c r="CM454" s="25"/>
      <c r="CN454" s="25"/>
      <c r="CO454" s="25"/>
      <c r="CP454" s="25"/>
      <c r="CQ454" s="25"/>
      <c r="CR454" s="25"/>
      <c r="CS454" s="25"/>
    </row>
    <row r="455" spans="2:97">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c r="AV455" s="25"/>
      <c r="AW455" s="25"/>
      <c r="AX455" s="25"/>
      <c r="AY455" s="25"/>
      <c r="AZ455" s="25"/>
      <c r="BA455" s="25"/>
      <c r="BB455" s="25"/>
      <c r="BC455" s="25"/>
      <c r="BD455" s="25"/>
      <c r="BE455" s="25"/>
      <c r="BF455" s="25"/>
      <c r="BG455" s="25"/>
      <c r="BH455" s="25"/>
      <c r="BI455" s="25"/>
      <c r="BJ455" s="25"/>
      <c r="BK455" s="25"/>
      <c r="BL455" s="25"/>
      <c r="BM455" s="25"/>
      <c r="BN455" s="25"/>
      <c r="BO455" s="25"/>
      <c r="BP455" s="25"/>
      <c r="BQ455" s="25"/>
      <c r="BR455" s="25"/>
      <c r="BS455" s="25"/>
      <c r="BT455" s="25"/>
      <c r="BU455" s="25"/>
      <c r="BV455" s="25"/>
      <c r="BW455" s="25"/>
      <c r="BX455" s="25"/>
      <c r="BY455" s="25"/>
      <c r="BZ455" s="25"/>
      <c r="CA455" s="25"/>
      <c r="CB455" s="25"/>
      <c r="CC455" s="25"/>
      <c r="CD455" s="25"/>
      <c r="CE455" s="25"/>
      <c r="CF455" s="25"/>
      <c r="CG455" s="25"/>
      <c r="CH455" s="25"/>
      <c r="CI455" s="25"/>
      <c r="CJ455" s="25"/>
      <c r="CK455" s="25"/>
      <c r="CL455" s="25"/>
      <c r="CM455" s="25"/>
      <c r="CN455" s="25"/>
      <c r="CO455" s="25"/>
      <c r="CP455" s="25"/>
      <c r="CQ455" s="25"/>
      <c r="CR455" s="25"/>
      <c r="CS455" s="25"/>
    </row>
    <row r="456" spans="2:97">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c r="AV456" s="25"/>
      <c r="AW456" s="25"/>
      <c r="AX456" s="25"/>
      <c r="AY456" s="25"/>
      <c r="AZ456" s="25"/>
      <c r="BA456" s="25"/>
      <c r="BB456" s="25"/>
      <c r="BC456" s="25"/>
      <c r="BD456" s="25"/>
      <c r="BE456" s="25"/>
      <c r="BF456" s="25"/>
      <c r="BG456" s="25"/>
      <c r="BH456" s="25"/>
      <c r="BI456" s="25"/>
      <c r="BJ456" s="25"/>
      <c r="BK456" s="25"/>
      <c r="BL456" s="25"/>
      <c r="BM456" s="25"/>
      <c r="BN456" s="25"/>
      <c r="BO456" s="25"/>
      <c r="BP456" s="25"/>
      <c r="BQ456" s="25"/>
      <c r="BR456" s="25"/>
      <c r="BS456" s="25"/>
      <c r="BT456" s="25"/>
      <c r="BU456" s="25"/>
      <c r="BV456" s="25"/>
      <c r="BW456" s="25"/>
      <c r="BX456" s="25"/>
      <c r="BY456" s="25"/>
      <c r="BZ456" s="25"/>
      <c r="CA456" s="25"/>
      <c r="CB456" s="25"/>
      <c r="CC456" s="25"/>
      <c r="CD456" s="25"/>
      <c r="CE456" s="25"/>
      <c r="CF456" s="25"/>
      <c r="CG456" s="25"/>
      <c r="CH456" s="25"/>
      <c r="CI456" s="25"/>
      <c r="CJ456" s="25"/>
      <c r="CK456" s="25"/>
      <c r="CL456" s="25"/>
      <c r="CM456" s="25"/>
      <c r="CN456" s="25"/>
      <c r="CO456" s="25"/>
      <c r="CP456" s="25"/>
      <c r="CQ456" s="25"/>
      <c r="CR456" s="25"/>
      <c r="CS456" s="25"/>
    </row>
    <row r="457" spans="2:97">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c r="AV457" s="25"/>
      <c r="AW457" s="25"/>
      <c r="AX457" s="25"/>
      <c r="AY457" s="25"/>
      <c r="AZ457" s="25"/>
      <c r="BA457" s="25"/>
      <c r="BB457" s="25"/>
      <c r="BC457" s="25"/>
      <c r="BD457" s="25"/>
      <c r="BE457" s="25"/>
      <c r="BF457" s="25"/>
      <c r="BG457" s="25"/>
      <c r="BH457" s="25"/>
      <c r="BI457" s="25"/>
      <c r="BJ457" s="25"/>
      <c r="BK457" s="25"/>
      <c r="BL457" s="25"/>
      <c r="BM457" s="25"/>
      <c r="BN457" s="25"/>
      <c r="BO457" s="25"/>
      <c r="BP457" s="25"/>
      <c r="BQ457" s="25"/>
      <c r="BR457" s="25"/>
      <c r="BS457" s="25"/>
      <c r="BT457" s="25"/>
      <c r="BU457" s="25"/>
      <c r="BV457" s="25"/>
      <c r="BW457" s="25"/>
      <c r="BX457" s="25"/>
      <c r="BY457" s="25"/>
      <c r="BZ457" s="25"/>
      <c r="CA457" s="25"/>
      <c r="CB457" s="25"/>
      <c r="CC457" s="25"/>
      <c r="CD457" s="25"/>
      <c r="CE457" s="25"/>
      <c r="CF457" s="25"/>
      <c r="CG457" s="25"/>
      <c r="CH457" s="25"/>
      <c r="CI457" s="25"/>
      <c r="CJ457" s="25"/>
      <c r="CK457" s="25"/>
      <c r="CL457" s="25"/>
      <c r="CM457" s="25"/>
      <c r="CN457" s="25"/>
      <c r="CO457" s="25"/>
      <c r="CP457" s="25"/>
      <c r="CQ457" s="25"/>
      <c r="CR457" s="25"/>
      <c r="CS457" s="25"/>
    </row>
    <row r="458" spans="2:97">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c r="AV458" s="25"/>
      <c r="AW458" s="25"/>
      <c r="AX458" s="25"/>
      <c r="AY458" s="25"/>
      <c r="AZ458" s="25"/>
      <c r="BA458" s="25"/>
      <c r="BB458" s="25"/>
      <c r="BC458" s="25"/>
      <c r="BD458" s="25"/>
      <c r="BE458" s="25"/>
      <c r="BF458" s="25"/>
      <c r="BG458" s="25"/>
      <c r="BH458" s="25"/>
      <c r="BI458" s="25"/>
      <c r="BJ458" s="25"/>
      <c r="BK458" s="25"/>
      <c r="BL458" s="25"/>
      <c r="BM458" s="25"/>
      <c r="BN458" s="25"/>
      <c r="BO458" s="25"/>
      <c r="BP458" s="25"/>
      <c r="BQ458" s="25"/>
      <c r="BR458" s="25"/>
      <c r="BS458" s="25"/>
      <c r="BT458" s="25"/>
      <c r="BU458" s="25"/>
      <c r="BV458" s="25"/>
      <c r="BW458" s="25"/>
      <c r="BX458" s="25"/>
      <c r="BY458" s="25"/>
      <c r="BZ458" s="25"/>
      <c r="CA458" s="25"/>
      <c r="CB458" s="25"/>
      <c r="CC458" s="25"/>
      <c r="CD458" s="25"/>
      <c r="CE458" s="25"/>
      <c r="CF458" s="25"/>
      <c r="CG458" s="25"/>
      <c r="CH458" s="25"/>
      <c r="CI458" s="25"/>
      <c r="CJ458" s="25"/>
      <c r="CK458" s="25"/>
      <c r="CL458" s="25"/>
      <c r="CM458" s="25"/>
      <c r="CN458" s="25"/>
      <c r="CO458" s="25"/>
      <c r="CP458" s="25"/>
      <c r="CQ458" s="25"/>
      <c r="CR458" s="25"/>
      <c r="CS458" s="25"/>
    </row>
    <row r="459" spans="2:97">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c r="AV459" s="25"/>
      <c r="AW459" s="25"/>
      <c r="AX459" s="25"/>
      <c r="AY459" s="25"/>
      <c r="AZ459" s="25"/>
      <c r="BA459" s="25"/>
      <c r="BB459" s="25"/>
      <c r="BC459" s="25"/>
      <c r="BD459" s="25"/>
      <c r="BE459" s="25"/>
      <c r="BF459" s="25"/>
      <c r="BG459" s="25"/>
      <c r="BH459" s="25"/>
      <c r="BI459" s="25"/>
      <c r="BJ459" s="25"/>
      <c r="BK459" s="25"/>
      <c r="BL459" s="25"/>
      <c r="BM459" s="25"/>
      <c r="BN459" s="25"/>
      <c r="BO459" s="25"/>
      <c r="BP459" s="25"/>
      <c r="BQ459" s="25"/>
      <c r="BR459" s="25"/>
      <c r="BS459" s="25"/>
      <c r="BT459" s="25"/>
      <c r="BU459" s="25"/>
      <c r="BV459" s="25"/>
      <c r="BW459" s="25"/>
      <c r="BX459" s="25"/>
      <c r="BY459" s="25"/>
      <c r="BZ459" s="25"/>
      <c r="CA459" s="25"/>
      <c r="CB459" s="25"/>
      <c r="CC459" s="25"/>
      <c r="CD459" s="25"/>
      <c r="CE459" s="25"/>
      <c r="CF459" s="25"/>
      <c r="CG459" s="25"/>
      <c r="CH459" s="25"/>
      <c r="CI459" s="25"/>
      <c r="CJ459" s="25"/>
      <c r="CK459" s="25"/>
      <c r="CL459" s="25"/>
      <c r="CM459" s="25"/>
      <c r="CN459" s="25"/>
      <c r="CO459" s="25"/>
      <c r="CP459" s="25"/>
      <c r="CQ459" s="25"/>
      <c r="CR459" s="25"/>
      <c r="CS459" s="25"/>
    </row>
    <row r="460" spans="2:97">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c r="AV460" s="25"/>
      <c r="AW460" s="25"/>
      <c r="AX460" s="25"/>
      <c r="AY460" s="25"/>
      <c r="AZ460" s="25"/>
      <c r="BA460" s="25"/>
      <c r="BB460" s="25"/>
      <c r="BC460" s="25"/>
      <c r="BD460" s="25"/>
      <c r="BE460" s="25"/>
      <c r="BF460" s="25"/>
      <c r="BG460" s="25"/>
      <c r="BH460" s="25"/>
      <c r="BI460" s="25"/>
      <c r="BJ460" s="25"/>
      <c r="BK460" s="25"/>
      <c r="BL460" s="25"/>
      <c r="BM460" s="25"/>
      <c r="BN460" s="25"/>
      <c r="BO460" s="25"/>
      <c r="BP460" s="25"/>
      <c r="BQ460" s="25"/>
      <c r="BR460" s="25"/>
      <c r="BS460" s="25"/>
      <c r="BT460" s="25"/>
      <c r="BU460" s="25"/>
      <c r="BV460" s="25"/>
      <c r="BW460" s="25"/>
      <c r="BX460" s="25"/>
      <c r="BY460" s="25"/>
      <c r="BZ460" s="25"/>
      <c r="CA460" s="25"/>
      <c r="CB460" s="25"/>
      <c r="CC460" s="25"/>
      <c r="CD460" s="25"/>
      <c r="CE460" s="25"/>
      <c r="CF460" s="25"/>
      <c r="CG460" s="25"/>
      <c r="CH460" s="25"/>
      <c r="CI460" s="25"/>
      <c r="CJ460" s="25"/>
      <c r="CK460" s="25"/>
      <c r="CL460" s="25"/>
      <c r="CM460" s="25"/>
      <c r="CN460" s="25"/>
      <c r="CO460" s="25"/>
      <c r="CP460" s="25"/>
      <c r="CQ460" s="25"/>
      <c r="CR460" s="25"/>
      <c r="CS460" s="25"/>
    </row>
    <row r="461" spans="2:97">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c r="AV461" s="25"/>
      <c r="AW461" s="25"/>
      <c r="AX461" s="25"/>
      <c r="AY461" s="25"/>
      <c r="AZ461" s="25"/>
      <c r="BA461" s="25"/>
      <c r="BB461" s="25"/>
      <c r="BC461" s="25"/>
      <c r="BD461" s="25"/>
      <c r="BE461" s="25"/>
      <c r="BF461" s="25"/>
      <c r="BG461" s="25"/>
      <c r="BH461" s="25"/>
      <c r="BI461" s="25"/>
      <c r="BJ461" s="25"/>
      <c r="BK461" s="25"/>
      <c r="BL461" s="25"/>
      <c r="BM461" s="25"/>
      <c r="BN461" s="25"/>
      <c r="BO461" s="25"/>
      <c r="BP461" s="25"/>
      <c r="BQ461" s="25"/>
      <c r="BR461" s="25"/>
      <c r="BS461" s="25"/>
      <c r="BT461" s="25"/>
      <c r="BU461" s="25"/>
      <c r="BV461" s="25"/>
      <c r="BW461" s="25"/>
      <c r="BX461" s="25"/>
      <c r="BY461" s="25"/>
      <c r="BZ461" s="25"/>
      <c r="CA461" s="25"/>
      <c r="CB461" s="25"/>
      <c r="CC461" s="25"/>
      <c r="CD461" s="25"/>
      <c r="CE461" s="25"/>
      <c r="CF461" s="25"/>
      <c r="CG461" s="25"/>
      <c r="CH461" s="25"/>
      <c r="CI461" s="25"/>
      <c r="CJ461" s="25"/>
      <c r="CK461" s="25"/>
      <c r="CL461" s="25"/>
      <c r="CM461" s="25"/>
      <c r="CN461" s="25"/>
      <c r="CO461" s="25"/>
      <c r="CP461" s="25"/>
      <c r="CQ461" s="25"/>
      <c r="CR461" s="25"/>
      <c r="CS461" s="25"/>
    </row>
    <row r="462" spans="2:97">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c r="AV462" s="25"/>
      <c r="AW462" s="25"/>
      <c r="AX462" s="25"/>
      <c r="AY462" s="25"/>
      <c r="AZ462" s="25"/>
      <c r="BA462" s="25"/>
      <c r="BB462" s="25"/>
      <c r="BC462" s="25"/>
      <c r="BD462" s="25"/>
      <c r="BE462" s="25"/>
      <c r="BF462" s="25"/>
      <c r="BG462" s="25"/>
      <c r="BH462" s="25"/>
      <c r="BI462" s="25"/>
      <c r="BJ462" s="25"/>
      <c r="BK462" s="25"/>
      <c r="BL462" s="25"/>
      <c r="BM462" s="25"/>
      <c r="BN462" s="25"/>
      <c r="BO462" s="25"/>
      <c r="BP462" s="25"/>
      <c r="BQ462" s="25"/>
      <c r="BR462" s="25"/>
      <c r="BS462" s="25"/>
      <c r="BT462" s="25"/>
      <c r="BU462" s="25"/>
      <c r="BV462" s="25"/>
      <c r="BW462" s="25"/>
      <c r="BX462" s="25"/>
      <c r="BY462" s="25"/>
      <c r="BZ462" s="25"/>
      <c r="CA462" s="25"/>
      <c r="CB462" s="25"/>
      <c r="CC462" s="25"/>
      <c r="CD462" s="25"/>
      <c r="CE462" s="25"/>
      <c r="CF462" s="25"/>
      <c r="CG462" s="25"/>
      <c r="CH462" s="25"/>
      <c r="CI462" s="25"/>
      <c r="CJ462" s="25"/>
      <c r="CK462" s="25"/>
      <c r="CL462" s="25"/>
      <c r="CM462" s="25"/>
      <c r="CN462" s="25"/>
      <c r="CO462" s="25"/>
      <c r="CP462" s="25"/>
      <c r="CQ462" s="25"/>
      <c r="CR462" s="25"/>
      <c r="CS462" s="25"/>
    </row>
    <row r="463" spans="2:97">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c r="AV463" s="25"/>
      <c r="AW463" s="25"/>
      <c r="AX463" s="25"/>
      <c r="AY463" s="25"/>
      <c r="AZ463" s="25"/>
      <c r="BA463" s="25"/>
      <c r="BB463" s="25"/>
      <c r="BC463" s="25"/>
      <c r="BD463" s="25"/>
      <c r="BE463" s="25"/>
      <c r="BF463" s="25"/>
      <c r="BG463" s="25"/>
      <c r="BH463" s="25"/>
      <c r="BI463" s="25"/>
      <c r="BJ463" s="25"/>
      <c r="BK463" s="25"/>
      <c r="BL463" s="25"/>
      <c r="BM463" s="25"/>
      <c r="BN463" s="25"/>
      <c r="BO463" s="25"/>
      <c r="BP463" s="25"/>
      <c r="BQ463" s="25"/>
      <c r="BR463" s="25"/>
      <c r="BS463" s="25"/>
      <c r="BT463" s="25"/>
      <c r="BU463" s="25"/>
      <c r="BV463" s="25"/>
      <c r="BW463" s="25"/>
      <c r="BX463" s="25"/>
      <c r="BY463" s="25"/>
      <c r="BZ463" s="25"/>
      <c r="CA463" s="25"/>
      <c r="CB463" s="25"/>
      <c r="CC463" s="25"/>
      <c r="CD463" s="25"/>
      <c r="CE463" s="25"/>
      <c r="CF463" s="25"/>
      <c r="CG463" s="25"/>
      <c r="CH463" s="25"/>
      <c r="CI463" s="25"/>
      <c r="CJ463" s="25"/>
      <c r="CK463" s="25"/>
      <c r="CL463" s="25"/>
      <c r="CM463" s="25"/>
      <c r="CN463" s="25"/>
      <c r="CO463" s="25"/>
      <c r="CP463" s="25"/>
      <c r="CQ463" s="25"/>
      <c r="CR463" s="25"/>
      <c r="CS463" s="25"/>
    </row>
    <row r="464" spans="2:97">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c r="AV464" s="25"/>
      <c r="AW464" s="25"/>
      <c r="AX464" s="25"/>
      <c r="AY464" s="25"/>
      <c r="AZ464" s="25"/>
      <c r="BA464" s="25"/>
      <c r="BB464" s="25"/>
      <c r="BC464" s="25"/>
      <c r="BD464" s="25"/>
      <c r="BE464" s="25"/>
      <c r="BF464" s="25"/>
      <c r="BG464" s="25"/>
      <c r="BH464" s="25"/>
      <c r="BI464" s="25"/>
      <c r="BJ464" s="25"/>
      <c r="BK464" s="25"/>
      <c r="BL464" s="25"/>
      <c r="BM464" s="25"/>
      <c r="BN464" s="25"/>
      <c r="BO464" s="25"/>
      <c r="BP464" s="25"/>
      <c r="BQ464" s="25"/>
      <c r="BR464" s="25"/>
      <c r="BS464" s="25"/>
      <c r="BT464" s="25"/>
      <c r="BU464" s="25"/>
      <c r="BV464" s="25"/>
      <c r="BW464" s="25"/>
      <c r="BX464" s="25"/>
      <c r="BY464" s="25"/>
      <c r="BZ464" s="25"/>
      <c r="CA464" s="25"/>
      <c r="CB464" s="25"/>
      <c r="CC464" s="25"/>
      <c r="CD464" s="25"/>
      <c r="CE464" s="25"/>
      <c r="CF464" s="25"/>
      <c r="CG464" s="25"/>
      <c r="CH464" s="25"/>
      <c r="CI464" s="25"/>
      <c r="CJ464" s="25"/>
      <c r="CK464" s="25"/>
      <c r="CL464" s="25"/>
      <c r="CM464" s="25"/>
      <c r="CN464" s="25"/>
      <c r="CO464" s="25"/>
      <c r="CP464" s="25"/>
      <c r="CQ464" s="25"/>
      <c r="CR464" s="25"/>
      <c r="CS464" s="25"/>
    </row>
    <row r="465" spans="2:97">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c r="AV465" s="25"/>
      <c r="AW465" s="25"/>
      <c r="AX465" s="25"/>
      <c r="AY465" s="25"/>
      <c r="AZ465" s="25"/>
      <c r="BA465" s="25"/>
      <c r="BB465" s="25"/>
      <c r="BC465" s="25"/>
      <c r="BD465" s="25"/>
      <c r="BE465" s="25"/>
      <c r="BF465" s="25"/>
      <c r="BG465" s="25"/>
      <c r="BH465" s="25"/>
      <c r="BI465" s="25"/>
      <c r="BJ465" s="25"/>
      <c r="BK465" s="25"/>
      <c r="BL465" s="25"/>
      <c r="BM465" s="25"/>
      <c r="BN465" s="25"/>
      <c r="BO465" s="25"/>
      <c r="BP465" s="25"/>
      <c r="BQ465" s="25"/>
      <c r="BR465" s="25"/>
      <c r="BS465" s="25"/>
      <c r="BT465" s="25"/>
      <c r="BU465" s="25"/>
      <c r="BV465" s="25"/>
      <c r="BW465" s="25"/>
      <c r="BX465" s="25"/>
      <c r="BY465" s="25"/>
      <c r="BZ465" s="25"/>
      <c r="CA465" s="25"/>
      <c r="CB465" s="25"/>
      <c r="CC465" s="25"/>
      <c r="CD465" s="25"/>
      <c r="CE465" s="25"/>
      <c r="CF465" s="25"/>
      <c r="CG465" s="25"/>
      <c r="CH465" s="25"/>
      <c r="CI465" s="25"/>
      <c r="CJ465" s="25"/>
      <c r="CK465" s="25"/>
      <c r="CL465" s="25"/>
      <c r="CM465" s="25"/>
      <c r="CN465" s="25"/>
      <c r="CO465" s="25"/>
      <c r="CP465" s="25"/>
      <c r="CQ465" s="25"/>
      <c r="CR465" s="25"/>
      <c r="CS465" s="25"/>
    </row>
    <row r="466" spans="2:97">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c r="AV466" s="25"/>
      <c r="AW466" s="25"/>
      <c r="AX466" s="25"/>
      <c r="AY466" s="25"/>
      <c r="AZ466" s="25"/>
      <c r="BA466" s="25"/>
      <c r="BB466" s="25"/>
      <c r="BC466" s="25"/>
      <c r="BD466" s="25"/>
      <c r="BE466" s="25"/>
      <c r="BF466" s="25"/>
      <c r="BG466" s="25"/>
      <c r="BH466" s="25"/>
      <c r="BI466" s="25"/>
      <c r="BJ466" s="25"/>
      <c r="BK466" s="25"/>
      <c r="BL466" s="25"/>
      <c r="BM466" s="25"/>
      <c r="BN466" s="25"/>
      <c r="BO466" s="25"/>
      <c r="BP466" s="25"/>
      <c r="BQ466" s="25"/>
      <c r="BR466" s="25"/>
      <c r="BS466" s="25"/>
      <c r="BT466" s="25"/>
      <c r="BU466" s="25"/>
      <c r="BV466" s="25"/>
      <c r="BW466" s="25"/>
      <c r="BX466" s="25"/>
      <c r="BY466" s="25"/>
      <c r="BZ466" s="25"/>
      <c r="CA466" s="25"/>
      <c r="CB466" s="25"/>
      <c r="CC466" s="25"/>
      <c r="CD466" s="25"/>
      <c r="CE466" s="25"/>
      <c r="CF466" s="25"/>
      <c r="CG466" s="25"/>
      <c r="CH466" s="25"/>
      <c r="CI466" s="25"/>
      <c r="CJ466" s="25"/>
      <c r="CK466" s="25"/>
      <c r="CL466" s="25"/>
      <c r="CM466" s="25"/>
      <c r="CN466" s="25"/>
      <c r="CO466" s="25"/>
      <c r="CP466" s="25"/>
      <c r="CQ466" s="25"/>
      <c r="CR466" s="25"/>
      <c r="CS466" s="25"/>
    </row>
    <row r="467" spans="2:97">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c r="AV467" s="25"/>
      <c r="AW467" s="25"/>
      <c r="AX467" s="25"/>
      <c r="AY467" s="25"/>
      <c r="AZ467" s="25"/>
      <c r="BA467" s="25"/>
      <c r="BB467" s="25"/>
      <c r="BC467" s="25"/>
      <c r="BD467" s="25"/>
      <c r="BE467" s="25"/>
      <c r="BF467" s="25"/>
      <c r="BG467" s="25"/>
      <c r="BH467" s="25"/>
      <c r="BI467" s="25"/>
      <c r="BJ467" s="25"/>
      <c r="BK467" s="25"/>
      <c r="BL467" s="25"/>
      <c r="BM467" s="25"/>
      <c r="BN467" s="25"/>
      <c r="BO467" s="25"/>
      <c r="BP467" s="25"/>
      <c r="BQ467" s="25"/>
      <c r="BR467" s="25"/>
      <c r="BS467" s="25"/>
      <c r="BT467" s="25"/>
      <c r="BU467" s="25"/>
      <c r="BV467" s="25"/>
      <c r="BW467" s="25"/>
      <c r="BX467" s="25"/>
      <c r="BY467" s="25"/>
      <c r="BZ467" s="25"/>
      <c r="CA467" s="25"/>
      <c r="CB467" s="25"/>
      <c r="CC467" s="25"/>
      <c r="CD467" s="25"/>
      <c r="CE467" s="25"/>
      <c r="CF467" s="25"/>
      <c r="CG467" s="25"/>
      <c r="CH467" s="25"/>
      <c r="CI467" s="25"/>
      <c r="CJ467" s="25"/>
      <c r="CK467" s="25"/>
      <c r="CL467" s="25"/>
      <c r="CM467" s="25"/>
      <c r="CN467" s="25"/>
      <c r="CO467" s="25"/>
      <c r="CP467" s="25"/>
      <c r="CQ467" s="25"/>
      <c r="CR467" s="25"/>
      <c r="CS467" s="25"/>
    </row>
    <row r="468" spans="2:97">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c r="AV468" s="25"/>
      <c r="AW468" s="25"/>
      <c r="AX468" s="25"/>
      <c r="AY468" s="25"/>
      <c r="AZ468" s="25"/>
      <c r="BA468" s="25"/>
      <c r="BB468" s="25"/>
      <c r="BC468" s="25"/>
      <c r="BD468" s="25"/>
      <c r="BE468" s="25"/>
      <c r="BF468" s="25"/>
      <c r="BG468" s="25"/>
      <c r="BH468" s="25"/>
      <c r="BI468" s="25"/>
      <c r="BJ468" s="25"/>
      <c r="BK468" s="25"/>
      <c r="BL468" s="25"/>
      <c r="BM468" s="25"/>
      <c r="BN468" s="25"/>
      <c r="BO468" s="25"/>
      <c r="BP468" s="25"/>
      <c r="BQ468" s="25"/>
      <c r="BR468" s="25"/>
      <c r="BS468" s="25"/>
      <c r="BT468" s="25"/>
      <c r="BU468" s="25"/>
      <c r="BV468" s="25"/>
      <c r="BW468" s="25"/>
      <c r="BX468" s="25"/>
      <c r="BY468" s="25"/>
      <c r="BZ468" s="25"/>
      <c r="CA468" s="25"/>
      <c r="CB468" s="25"/>
      <c r="CC468" s="25"/>
      <c r="CD468" s="25"/>
      <c r="CE468" s="25"/>
      <c r="CF468" s="25"/>
      <c r="CG468" s="25"/>
      <c r="CH468" s="25"/>
      <c r="CI468" s="25"/>
      <c r="CJ468" s="25"/>
      <c r="CK468" s="25"/>
      <c r="CL468" s="25"/>
      <c r="CM468" s="25"/>
      <c r="CN468" s="25"/>
      <c r="CO468" s="25"/>
      <c r="CP468" s="25"/>
      <c r="CQ468" s="25"/>
      <c r="CR468" s="25"/>
      <c r="CS468" s="25"/>
    </row>
    <row r="469" spans="2:97">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c r="AV469" s="25"/>
      <c r="AW469" s="25"/>
      <c r="AX469" s="25"/>
      <c r="AY469" s="25"/>
      <c r="AZ469" s="25"/>
      <c r="BA469" s="25"/>
      <c r="BB469" s="25"/>
      <c r="BC469" s="25"/>
      <c r="BD469" s="25"/>
      <c r="BE469" s="25"/>
      <c r="BF469" s="25"/>
      <c r="BG469" s="25"/>
      <c r="BH469" s="25"/>
      <c r="BI469" s="25"/>
      <c r="BJ469" s="25"/>
      <c r="BK469" s="25"/>
      <c r="BL469" s="25"/>
      <c r="BM469" s="25"/>
      <c r="BN469" s="25"/>
      <c r="BO469" s="25"/>
      <c r="BP469" s="25"/>
      <c r="BQ469" s="25"/>
      <c r="BR469" s="25"/>
      <c r="BS469" s="25"/>
      <c r="BT469" s="25"/>
      <c r="BU469" s="25"/>
      <c r="BV469" s="25"/>
      <c r="BW469" s="25"/>
      <c r="BX469" s="25"/>
      <c r="BY469" s="25"/>
      <c r="BZ469" s="25"/>
      <c r="CA469" s="25"/>
      <c r="CB469" s="25"/>
      <c r="CC469" s="25"/>
      <c r="CD469" s="25"/>
      <c r="CE469" s="25"/>
      <c r="CF469" s="25"/>
      <c r="CG469" s="25"/>
      <c r="CH469" s="25"/>
      <c r="CI469" s="25"/>
      <c r="CJ469" s="25"/>
      <c r="CK469" s="25"/>
      <c r="CL469" s="25"/>
      <c r="CM469" s="25"/>
      <c r="CN469" s="25"/>
      <c r="CO469" s="25"/>
      <c r="CP469" s="25"/>
      <c r="CQ469" s="25"/>
      <c r="CR469" s="25"/>
      <c r="CS469" s="25"/>
    </row>
    <row r="470" spans="2:97">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c r="AV470" s="25"/>
      <c r="AW470" s="25"/>
      <c r="AX470" s="25"/>
      <c r="AY470" s="25"/>
      <c r="AZ470" s="25"/>
      <c r="BA470" s="25"/>
      <c r="BB470" s="25"/>
      <c r="BC470" s="25"/>
      <c r="BD470" s="25"/>
      <c r="BE470" s="25"/>
      <c r="BF470" s="25"/>
      <c r="BG470" s="25"/>
      <c r="BH470" s="25"/>
      <c r="BI470" s="25"/>
      <c r="BJ470" s="25"/>
      <c r="BK470" s="25"/>
      <c r="BL470" s="25"/>
      <c r="BM470" s="25"/>
      <c r="BN470" s="25"/>
      <c r="BO470" s="25"/>
      <c r="BP470" s="25"/>
      <c r="BQ470" s="25"/>
      <c r="BR470" s="25"/>
      <c r="BS470" s="25"/>
      <c r="BT470" s="25"/>
      <c r="BU470" s="25"/>
      <c r="BV470" s="25"/>
      <c r="BW470" s="25"/>
      <c r="BX470" s="25"/>
      <c r="BY470" s="25"/>
      <c r="BZ470" s="25"/>
      <c r="CA470" s="25"/>
      <c r="CB470" s="25"/>
      <c r="CC470" s="25"/>
      <c r="CD470" s="25"/>
      <c r="CE470" s="25"/>
      <c r="CF470" s="25"/>
      <c r="CG470" s="25"/>
      <c r="CH470" s="25"/>
      <c r="CI470" s="25"/>
      <c r="CJ470" s="25"/>
      <c r="CK470" s="25"/>
      <c r="CL470" s="25"/>
      <c r="CM470" s="25"/>
      <c r="CN470" s="25"/>
      <c r="CO470" s="25"/>
      <c r="CP470" s="25"/>
      <c r="CQ470" s="25"/>
      <c r="CR470" s="25"/>
      <c r="CS470" s="25"/>
    </row>
    <row r="471" spans="2:97">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c r="AV471" s="25"/>
      <c r="AW471" s="25"/>
      <c r="AX471" s="25"/>
      <c r="AY471" s="25"/>
      <c r="AZ471" s="25"/>
      <c r="BA471" s="25"/>
      <c r="BB471" s="25"/>
      <c r="BC471" s="25"/>
      <c r="BD471" s="25"/>
      <c r="BE471" s="25"/>
      <c r="BF471" s="25"/>
      <c r="BG471" s="25"/>
      <c r="BH471" s="25"/>
      <c r="BI471" s="25"/>
      <c r="BJ471" s="25"/>
      <c r="BK471" s="25"/>
      <c r="BL471" s="25"/>
      <c r="BM471" s="25"/>
      <c r="BN471" s="25"/>
      <c r="BO471" s="25"/>
      <c r="BP471" s="25"/>
      <c r="BQ471" s="25"/>
      <c r="BR471" s="25"/>
      <c r="BS471" s="25"/>
      <c r="BT471" s="25"/>
      <c r="BU471" s="25"/>
      <c r="BV471" s="25"/>
      <c r="BW471" s="25"/>
      <c r="BX471" s="25"/>
      <c r="BY471" s="25"/>
      <c r="BZ471" s="25"/>
      <c r="CA471" s="25"/>
      <c r="CB471" s="25"/>
      <c r="CC471" s="25"/>
      <c r="CD471" s="25"/>
      <c r="CE471" s="25"/>
      <c r="CF471" s="25"/>
      <c r="CG471" s="25"/>
      <c r="CH471" s="25"/>
      <c r="CI471" s="25"/>
      <c r="CJ471" s="25"/>
      <c r="CK471" s="25"/>
      <c r="CL471" s="25"/>
      <c r="CM471" s="25"/>
      <c r="CN471" s="25"/>
      <c r="CO471" s="25"/>
      <c r="CP471" s="25"/>
      <c r="CQ471" s="25"/>
      <c r="CR471" s="25"/>
      <c r="CS471" s="25"/>
    </row>
    <row r="472" spans="2:97">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c r="AV472" s="25"/>
      <c r="AW472" s="25"/>
      <c r="AX472" s="25"/>
      <c r="AY472" s="25"/>
      <c r="AZ472" s="25"/>
      <c r="BA472" s="25"/>
      <c r="BB472" s="25"/>
      <c r="BC472" s="25"/>
      <c r="BD472" s="25"/>
      <c r="BE472" s="25"/>
      <c r="BF472" s="25"/>
      <c r="BG472" s="25"/>
      <c r="BH472" s="25"/>
      <c r="BI472" s="25"/>
      <c r="BJ472" s="25"/>
      <c r="BK472" s="25"/>
      <c r="BL472" s="25"/>
      <c r="BM472" s="25"/>
      <c r="BN472" s="25"/>
      <c r="BO472" s="25"/>
      <c r="BP472" s="25"/>
      <c r="BQ472" s="25"/>
      <c r="BR472" s="25"/>
      <c r="BS472" s="25"/>
      <c r="BT472" s="25"/>
      <c r="BU472" s="25"/>
      <c r="BV472" s="25"/>
      <c r="BW472" s="25"/>
      <c r="BX472" s="25"/>
      <c r="BY472" s="25"/>
      <c r="BZ472" s="25"/>
      <c r="CA472" s="25"/>
      <c r="CB472" s="25"/>
      <c r="CC472" s="25"/>
      <c r="CD472" s="25"/>
      <c r="CE472" s="25"/>
      <c r="CF472" s="25"/>
      <c r="CG472" s="25"/>
      <c r="CH472" s="25"/>
      <c r="CI472" s="25"/>
      <c r="CJ472" s="25"/>
      <c r="CK472" s="25"/>
      <c r="CL472" s="25"/>
      <c r="CM472" s="25"/>
      <c r="CN472" s="25"/>
      <c r="CO472" s="25"/>
      <c r="CP472" s="25"/>
      <c r="CQ472" s="25"/>
      <c r="CR472" s="25"/>
      <c r="CS472" s="25"/>
    </row>
    <row r="473" spans="2:97">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c r="AV473" s="25"/>
      <c r="AW473" s="25"/>
      <c r="AX473" s="25"/>
      <c r="AY473" s="25"/>
      <c r="AZ473" s="25"/>
      <c r="BA473" s="25"/>
      <c r="BB473" s="25"/>
      <c r="BC473" s="25"/>
      <c r="BD473" s="25"/>
      <c r="BE473" s="25"/>
      <c r="BF473" s="25"/>
      <c r="BG473" s="25"/>
      <c r="BH473" s="25"/>
      <c r="BI473" s="25"/>
      <c r="BJ473" s="25"/>
      <c r="BK473" s="25"/>
      <c r="BL473" s="25"/>
      <c r="BM473" s="25"/>
      <c r="BN473" s="25"/>
      <c r="BO473" s="25"/>
      <c r="BP473" s="25"/>
      <c r="BQ473" s="25"/>
      <c r="BR473" s="25"/>
      <c r="BS473" s="25"/>
      <c r="BT473" s="25"/>
      <c r="BU473" s="25"/>
      <c r="BV473" s="25"/>
      <c r="BW473" s="25"/>
      <c r="BX473" s="25"/>
      <c r="BY473" s="25"/>
      <c r="BZ473" s="25"/>
      <c r="CA473" s="25"/>
      <c r="CB473" s="25"/>
      <c r="CC473" s="25"/>
      <c r="CD473" s="25"/>
      <c r="CE473" s="25"/>
      <c r="CF473" s="25"/>
      <c r="CG473" s="25"/>
      <c r="CH473" s="25"/>
      <c r="CI473" s="25"/>
      <c r="CJ473" s="25"/>
      <c r="CK473" s="25"/>
      <c r="CL473" s="25"/>
      <c r="CM473" s="25"/>
      <c r="CN473" s="25"/>
      <c r="CO473" s="25"/>
      <c r="CP473" s="25"/>
      <c r="CQ473" s="25"/>
      <c r="CR473" s="25"/>
      <c r="CS473" s="25"/>
    </row>
    <row r="474" spans="2:97">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c r="AV474" s="25"/>
      <c r="AW474" s="25"/>
      <c r="AX474" s="25"/>
      <c r="AY474" s="25"/>
      <c r="AZ474" s="25"/>
      <c r="BA474" s="25"/>
      <c r="BB474" s="25"/>
      <c r="BC474" s="25"/>
      <c r="BD474" s="25"/>
      <c r="BE474" s="25"/>
      <c r="BF474" s="25"/>
      <c r="BG474" s="25"/>
      <c r="BH474" s="25"/>
      <c r="BI474" s="25"/>
      <c r="BJ474" s="25"/>
      <c r="BK474" s="25"/>
      <c r="BL474" s="25"/>
      <c r="BM474" s="25"/>
      <c r="BN474" s="25"/>
      <c r="BO474" s="25"/>
      <c r="BP474" s="25"/>
      <c r="BQ474" s="25"/>
      <c r="BR474" s="25"/>
      <c r="BS474" s="25"/>
      <c r="BT474" s="25"/>
      <c r="BU474" s="25"/>
      <c r="BV474" s="25"/>
      <c r="BW474" s="25"/>
      <c r="BX474" s="25"/>
      <c r="BY474" s="25"/>
      <c r="BZ474" s="25"/>
      <c r="CA474" s="25"/>
      <c r="CB474" s="25"/>
      <c r="CC474" s="25"/>
      <c r="CD474" s="25"/>
      <c r="CE474" s="25"/>
      <c r="CF474" s="25"/>
      <c r="CG474" s="25"/>
      <c r="CH474" s="25"/>
      <c r="CI474" s="25"/>
      <c r="CJ474" s="25"/>
      <c r="CK474" s="25"/>
      <c r="CL474" s="25"/>
      <c r="CM474" s="25"/>
      <c r="CN474" s="25"/>
      <c r="CO474" s="25"/>
      <c r="CP474" s="25"/>
      <c r="CQ474" s="25"/>
      <c r="CR474" s="25"/>
      <c r="CS474" s="25"/>
    </row>
    <row r="475" spans="2:97">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c r="AV475" s="25"/>
      <c r="AW475" s="25"/>
      <c r="AX475" s="25"/>
      <c r="AY475" s="25"/>
      <c r="AZ475" s="25"/>
      <c r="BA475" s="25"/>
      <c r="BB475" s="25"/>
      <c r="BC475" s="25"/>
      <c r="BD475" s="25"/>
      <c r="BE475" s="25"/>
      <c r="BF475" s="25"/>
      <c r="BG475" s="25"/>
      <c r="BH475" s="25"/>
      <c r="BI475" s="25"/>
      <c r="BJ475" s="25"/>
      <c r="BK475" s="25"/>
      <c r="BL475" s="25"/>
      <c r="BM475" s="25"/>
      <c r="BN475" s="25"/>
      <c r="BO475" s="25"/>
      <c r="BP475" s="25"/>
      <c r="BQ475" s="25"/>
      <c r="BR475" s="25"/>
      <c r="BS475" s="25"/>
      <c r="BT475" s="25"/>
      <c r="BU475" s="25"/>
      <c r="BV475" s="25"/>
      <c r="BW475" s="25"/>
      <c r="BX475" s="25"/>
      <c r="BY475" s="25"/>
      <c r="BZ475" s="25"/>
      <c r="CA475" s="25"/>
      <c r="CB475" s="25"/>
      <c r="CC475" s="25"/>
      <c r="CD475" s="25"/>
      <c r="CE475" s="25"/>
      <c r="CF475" s="25"/>
      <c r="CG475" s="25"/>
      <c r="CH475" s="25"/>
      <c r="CI475" s="25"/>
      <c r="CJ475" s="25"/>
      <c r="CK475" s="25"/>
      <c r="CL475" s="25"/>
      <c r="CM475" s="25"/>
      <c r="CN475" s="25"/>
      <c r="CO475" s="25"/>
      <c r="CP475" s="25"/>
      <c r="CQ475" s="25"/>
      <c r="CR475" s="25"/>
      <c r="CS475" s="25"/>
    </row>
    <row r="476" spans="2:97">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c r="AV476" s="25"/>
      <c r="AW476" s="25"/>
      <c r="AX476" s="25"/>
      <c r="AY476" s="25"/>
      <c r="AZ476" s="25"/>
      <c r="BA476" s="25"/>
      <c r="BB476" s="25"/>
      <c r="BC476" s="25"/>
      <c r="BD476" s="25"/>
      <c r="BE476" s="25"/>
      <c r="BF476" s="25"/>
      <c r="BG476" s="25"/>
      <c r="BH476" s="25"/>
      <c r="BI476" s="25"/>
      <c r="BJ476" s="25"/>
      <c r="BK476" s="25"/>
      <c r="BL476" s="25"/>
      <c r="BM476" s="25"/>
      <c r="BN476" s="25"/>
      <c r="BO476" s="25"/>
      <c r="BP476" s="25"/>
      <c r="BQ476" s="25"/>
      <c r="BR476" s="25"/>
      <c r="BS476" s="25"/>
      <c r="BT476" s="25"/>
      <c r="BU476" s="25"/>
      <c r="BV476" s="25"/>
      <c r="BW476" s="25"/>
      <c r="BX476" s="25"/>
      <c r="BY476" s="25"/>
      <c r="BZ476" s="25"/>
      <c r="CA476" s="25"/>
      <c r="CB476" s="25"/>
      <c r="CC476" s="25"/>
      <c r="CD476" s="25"/>
      <c r="CE476" s="25"/>
      <c r="CF476" s="25"/>
      <c r="CG476" s="25"/>
      <c r="CH476" s="25"/>
      <c r="CI476" s="25"/>
      <c r="CJ476" s="25"/>
      <c r="CK476" s="25"/>
      <c r="CL476" s="25"/>
      <c r="CM476" s="25"/>
      <c r="CN476" s="25"/>
      <c r="CO476" s="25"/>
      <c r="CP476" s="25"/>
      <c r="CQ476" s="25"/>
      <c r="CR476" s="25"/>
      <c r="CS476" s="25"/>
    </row>
    <row r="477" spans="2:97">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c r="AV477" s="25"/>
      <c r="AW477" s="25"/>
      <c r="AX477" s="25"/>
      <c r="AY477" s="25"/>
      <c r="AZ477" s="25"/>
      <c r="BA477" s="25"/>
      <c r="BB477" s="25"/>
      <c r="BC477" s="25"/>
      <c r="BD477" s="25"/>
      <c r="BE477" s="25"/>
      <c r="BF477" s="25"/>
      <c r="BG477" s="25"/>
      <c r="BH477" s="25"/>
      <c r="BI477" s="25"/>
      <c r="BJ477" s="25"/>
      <c r="BK477" s="25"/>
      <c r="BL477" s="25"/>
      <c r="BM477" s="25"/>
      <c r="BN477" s="25"/>
      <c r="BO477" s="25"/>
      <c r="BP477" s="25"/>
      <c r="BQ477" s="25"/>
      <c r="BR477" s="25"/>
      <c r="BS477" s="25"/>
      <c r="BT477" s="25"/>
      <c r="BU477" s="25"/>
      <c r="BV477" s="25"/>
      <c r="BW477" s="25"/>
      <c r="BX477" s="25"/>
      <c r="BY477" s="25"/>
      <c r="BZ477" s="25"/>
      <c r="CA477" s="25"/>
      <c r="CB477" s="25"/>
      <c r="CC477" s="25"/>
      <c r="CD477" s="25"/>
      <c r="CE477" s="25"/>
      <c r="CF477" s="25"/>
      <c r="CG477" s="25"/>
      <c r="CH477" s="25"/>
      <c r="CI477" s="25"/>
      <c r="CJ477" s="25"/>
      <c r="CK477" s="25"/>
      <c r="CL477" s="25"/>
      <c r="CM477" s="25"/>
      <c r="CN477" s="25"/>
      <c r="CO477" s="25"/>
      <c r="CP477" s="25"/>
      <c r="CQ477" s="25"/>
      <c r="CR477" s="25"/>
      <c r="CS477" s="25"/>
    </row>
    <row r="478" spans="2:97">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c r="AV478" s="25"/>
      <c r="AW478" s="25"/>
      <c r="AX478" s="25"/>
      <c r="AY478" s="25"/>
      <c r="AZ478" s="25"/>
      <c r="BA478" s="25"/>
      <c r="BB478" s="25"/>
      <c r="BC478" s="25"/>
      <c r="BD478" s="25"/>
      <c r="BE478" s="25"/>
      <c r="BF478" s="25"/>
      <c r="BG478" s="25"/>
      <c r="BH478" s="25"/>
      <c r="BI478" s="25"/>
      <c r="BJ478" s="25"/>
      <c r="BK478" s="25"/>
      <c r="BL478" s="25"/>
      <c r="BM478" s="25"/>
      <c r="BN478" s="25"/>
      <c r="BO478" s="25"/>
      <c r="BP478" s="25"/>
      <c r="BQ478" s="25"/>
      <c r="BR478" s="25"/>
      <c r="BS478" s="25"/>
      <c r="BT478" s="25"/>
      <c r="BU478" s="25"/>
      <c r="BV478" s="25"/>
      <c r="BW478" s="25"/>
      <c r="BX478" s="25"/>
      <c r="BY478" s="25"/>
      <c r="BZ478" s="25"/>
      <c r="CA478" s="25"/>
      <c r="CB478" s="25"/>
      <c r="CC478" s="25"/>
      <c r="CD478" s="25"/>
      <c r="CE478" s="25"/>
      <c r="CF478" s="25"/>
      <c r="CG478" s="25"/>
      <c r="CH478" s="25"/>
      <c r="CI478" s="25"/>
      <c r="CJ478" s="25"/>
      <c r="CK478" s="25"/>
      <c r="CL478" s="25"/>
      <c r="CM478" s="25"/>
      <c r="CN478" s="25"/>
      <c r="CO478" s="25"/>
      <c r="CP478" s="25"/>
      <c r="CQ478" s="25"/>
      <c r="CR478" s="25"/>
      <c r="CS478" s="25"/>
    </row>
    <row r="479" spans="2:97">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c r="AV479" s="25"/>
      <c r="AW479" s="25"/>
      <c r="AX479" s="25"/>
      <c r="AY479" s="25"/>
      <c r="AZ479" s="25"/>
      <c r="BA479" s="25"/>
      <c r="BB479" s="25"/>
      <c r="BC479" s="25"/>
      <c r="BD479" s="25"/>
      <c r="BE479" s="25"/>
      <c r="BF479" s="25"/>
      <c r="BG479" s="25"/>
      <c r="BH479" s="25"/>
      <c r="BI479" s="25"/>
      <c r="BJ479" s="25"/>
      <c r="BK479" s="25"/>
      <c r="BL479" s="25"/>
      <c r="BM479" s="25"/>
      <c r="BN479" s="25"/>
      <c r="BO479" s="25"/>
      <c r="BP479" s="25"/>
      <c r="BQ479" s="25"/>
      <c r="BR479" s="25"/>
      <c r="BS479" s="25"/>
      <c r="BT479" s="25"/>
      <c r="BU479" s="25"/>
      <c r="BV479" s="25"/>
      <c r="BW479" s="25"/>
      <c r="BX479" s="25"/>
      <c r="BY479" s="25"/>
      <c r="BZ479" s="25"/>
      <c r="CA479" s="25"/>
      <c r="CB479" s="25"/>
      <c r="CC479" s="25"/>
      <c r="CD479" s="25"/>
      <c r="CE479" s="25"/>
      <c r="CF479" s="25"/>
      <c r="CG479" s="25"/>
      <c r="CH479" s="25"/>
      <c r="CI479" s="25"/>
      <c r="CJ479" s="25"/>
      <c r="CK479" s="25"/>
      <c r="CL479" s="25"/>
      <c r="CM479" s="25"/>
      <c r="CN479" s="25"/>
      <c r="CO479" s="25"/>
      <c r="CP479" s="25"/>
      <c r="CQ479" s="25"/>
      <c r="CR479" s="25"/>
      <c r="CS479" s="25"/>
    </row>
    <row r="480" spans="2:97">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c r="AV480" s="25"/>
      <c r="AW480" s="25"/>
      <c r="AX480" s="25"/>
      <c r="AY480" s="25"/>
      <c r="AZ480" s="25"/>
      <c r="BA480" s="25"/>
      <c r="BB480" s="25"/>
      <c r="BC480" s="25"/>
      <c r="BD480" s="25"/>
      <c r="BE480" s="25"/>
      <c r="BF480" s="25"/>
      <c r="BG480" s="25"/>
      <c r="BH480" s="25"/>
      <c r="BI480" s="25"/>
      <c r="BJ480" s="25"/>
      <c r="BK480" s="25"/>
      <c r="BL480" s="25"/>
      <c r="BM480" s="25"/>
      <c r="BN480" s="25"/>
      <c r="BO480" s="25"/>
      <c r="BP480" s="25"/>
      <c r="BQ480" s="25"/>
      <c r="BR480" s="25"/>
      <c r="BS480" s="25"/>
      <c r="BT480" s="25"/>
      <c r="BU480" s="25"/>
      <c r="BV480" s="25"/>
      <c r="BW480" s="25"/>
      <c r="BX480" s="25"/>
      <c r="BY480" s="25"/>
      <c r="BZ480" s="25"/>
      <c r="CA480" s="25"/>
      <c r="CB480" s="25"/>
      <c r="CC480" s="25"/>
      <c r="CD480" s="25"/>
      <c r="CE480" s="25"/>
      <c r="CF480" s="25"/>
      <c r="CG480" s="25"/>
      <c r="CH480" s="25"/>
      <c r="CI480" s="25"/>
      <c r="CJ480" s="25"/>
      <c r="CK480" s="25"/>
      <c r="CL480" s="25"/>
      <c r="CM480" s="25"/>
      <c r="CN480" s="25"/>
      <c r="CO480" s="25"/>
      <c r="CP480" s="25"/>
      <c r="CQ480" s="25"/>
      <c r="CR480" s="25"/>
      <c r="CS480" s="25"/>
    </row>
    <row r="481" spans="2:97">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c r="AV481" s="25"/>
      <c r="AW481" s="25"/>
      <c r="AX481" s="25"/>
      <c r="AY481" s="25"/>
      <c r="AZ481" s="25"/>
      <c r="BA481" s="25"/>
      <c r="BB481" s="25"/>
      <c r="BC481" s="25"/>
      <c r="BD481" s="25"/>
      <c r="BE481" s="25"/>
      <c r="BF481" s="25"/>
      <c r="BG481" s="25"/>
      <c r="BH481" s="25"/>
      <c r="BI481" s="25"/>
      <c r="BJ481" s="25"/>
      <c r="BK481" s="25"/>
      <c r="BL481" s="25"/>
      <c r="BM481" s="25"/>
      <c r="BN481" s="25"/>
      <c r="BO481" s="25"/>
      <c r="BP481" s="25"/>
      <c r="BQ481" s="25"/>
      <c r="BR481" s="25"/>
      <c r="BS481" s="25"/>
      <c r="BT481" s="25"/>
      <c r="BU481" s="25"/>
      <c r="BV481" s="25"/>
      <c r="BW481" s="25"/>
      <c r="BX481" s="25"/>
      <c r="BY481" s="25"/>
      <c r="BZ481" s="25"/>
      <c r="CA481" s="25"/>
      <c r="CB481" s="25"/>
      <c r="CC481" s="25"/>
      <c r="CD481" s="25"/>
      <c r="CE481" s="25"/>
      <c r="CF481" s="25"/>
      <c r="CG481" s="25"/>
      <c r="CH481" s="25"/>
      <c r="CI481" s="25"/>
      <c r="CJ481" s="25"/>
      <c r="CK481" s="25"/>
      <c r="CL481" s="25"/>
      <c r="CM481" s="25"/>
      <c r="CN481" s="25"/>
      <c r="CO481" s="25"/>
      <c r="CP481" s="25"/>
      <c r="CQ481" s="25"/>
      <c r="CR481" s="25"/>
      <c r="CS481" s="25"/>
    </row>
    <row r="482" spans="2:97">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c r="AV482" s="25"/>
      <c r="AW482" s="25"/>
      <c r="AX482" s="25"/>
      <c r="AY482" s="25"/>
      <c r="AZ482" s="25"/>
      <c r="BA482" s="25"/>
      <c r="BB482" s="25"/>
      <c r="BC482" s="25"/>
      <c r="BD482" s="25"/>
      <c r="BE482" s="25"/>
      <c r="BF482" s="25"/>
      <c r="BG482" s="25"/>
      <c r="BH482" s="25"/>
      <c r="BI482" s="25"/>
      <c r="BJ482" s="25"/>
      <c r="BK482" s="25"/>
      <c r="BL482" s="25"/>
      <c r="BM482" s="25"/>
      <c r="BN482" s="25"/>
      <c r="BO482" s="25"/>
      <c r="BP482" s="25"/>
      <c r="BQ482" s="25"/>
      <c r="BR482" s="25"/>
      <c r="BS482" s="25"/>
      <c r="BT482" s="25"/>
      <c r="BU482" s="25"/>
      <c r="BV482" s="25"/>
      <c r="BW482" s="25"/>
      <c r="BX482" s="25"/>
      <c r="BY482" s="25"/>
      <c r="BZ482" s="25"/>
      <c r="CA482" s="25"/>
      <c r="CB482" s="25"/>
      <c r="CC482" s="25"/>
      <c r="CD482" s="25"/>
      <c r="CE482" s="25"/>
      <c r="CF482" s="25"/>
      <c r="CG482" s="25"/>
      <c r="CH482" s="25"/>
      <c r="CI482" s="25"/>
      <c r="CJ482" s="25"/>
      <c r="CK482" s="25"/>
      <c r="CL482" s="25"/>
      <c r="CM482" s="25"/>
      <c r="CN482" s="25"/>
      <c r="CO482" s="25"/>
      <c r="CP482" s="25"/>
      <c r="CQ482" s="25"/>
      <c r="CR482" s="25"/>
      <c r="CS482" s="25"/>
    </row>
    <row r="483" spans="2:97">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c r="AV483" s="25"/>
      <c r="AW483" s="25"/>
      <c r="AX483" s="25"/>
      <c r="AY483" s="25"/>
      <c r="AZ483" s="25"/>
      <c r="BA483" s="25"/>
      <c r="BB483" s="25"/>
      <c r="BC483" s="25"/>
      <c r="BD483" s="25"/>
      <c r="BE483" s="25"/>
      <c r="BF483" s="25"/>
      <c r="BG483" s="25"/>
      <c r="BH483" s="25"/>
      <c r="BI483" s="25"/>
      <c r="BJ483" s="25"/>
      <c r="BK483" s="25"/>
      <c r="BL483" s="25"/>
      <c r="BM483" s="25"/>
      <c r="BN483" s="25"/>
      <c r="BO483" s="25"/>
      <c r="BP483" s="25"/>
      <c r="BQ483" s="25"/>
      <c r="BR483" s="25"/>
      <c r="BS483" s="25"/>
      <c r="BT483" s="25"/>
      <c r="BU483" s="25"/>
      <c r="BV483" s="25"/>
      <c r="BW483" s="25"/>
      <c r="BX483" s="25"/>
      <c r="BY483" s="25"/>
      <c r="BZ483" s="25"/>
      <c r="CA483" s="25"/>
      <c r="CB483" s="25"/>
      <c r="CC483" s="25"/>
      <c r="CD483" s="25"/>
      <c r="CE483" s="25"/>
      <c r="CF483" s="25"/>
      <c r="CG483" s="25"/>
      <c r="CH483" s="25"/>
      <c r="CI483" s="25"/>
      <c r="CJ483" s="25"/>
      <c r="CK483" s="25"/>
      <c r="CL483" s="25"/>
      <c r="CM483" s="25"/>
      <c r="CN483" s="25"/>
      <c r="CO483" s="25"/>
      <c r="CP483" s="25"/>
      <c r="CQ483" s="25"/>
      <c r="CR483" s="25"/>
      <c r="CS483" s="25"/>
    </row>
    <row r="484" spans="2:97">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c r="AV484" s="25"/>
      <c r="AW484" s="25"/>
      <c r="AX484" s="25"/>
      <c r="AY484" s="25"/>
      <c r="AZ484" s="25"/>
      <c r="BA484" s="25"/>
      <c r="BB484" s="25"/>
      <c r="BC484" s="25"/>
      <c r="BD484" s="25"/>
      <c r="BE484" s="25"/>
      <c r="BF484" s="25"/>
      <c r="BG484" s="25"/>
      <c r="BH484" s="25"/>
      <c r="BI484" s="25"/>
      <c r="BJ484" s="25"/>
      <c r="BK484" s="25"/>
      <c r="BL484" s="25"/>
      <c r="BM484" s="25"/>
      <c r="BN484" s="25"/>
      <c r="BO484" s="25"/>
      <c r="BP484" s="25"/>
      <c r="BQ484" s="25"/>
      <c r="BR484" s="25"/>
      <c r="BS484" s="25"/>
      <c r="BT484" s="25"/>
      <c r="BU484" s="25"/>
      <c r="BV484" s="25"/>
      <c r="BW484" s="25"/>
      <c r="BX484" s="25"/>
      <c r="BY484" s="25"/>
      <c r="BZ484" s="25"/>
      <c r="CA484" s="25"/>
      <c r="CB484" s="25"/>
      <c r="CC484" s="25"/>
      <c r="CD484" s="25"/>
      <c r="CE484" s="25"/>
      <c r="CF484" s="25"/>
      <c r="CG484" s="25"/>
      <c r="CH484" s="25"/>
      <c r="CI484" s="25"/>
      <c r="CJ484" s="25"/>
      <c r="CK484" s="25"/>
      <c r="CL484" s="25"/>
      <c r="CM484" s="25"/>
      <c r="CN484" s="25"/>
      <c r="CO484" s="25"/>
      <c r="CP484" s="25"/>
      <c r="CQ484" s="25"/>
      <c r="CR484" s="25"/>
      <c r="CS484" s="25"/>
    </row>
    <row r="485" spans="2:97">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5"/>
      <c r="AV485" s="25"/>
      <c r="AW485" s="25"/>
      <c r="AX485" s="25"/>
      <c r="AY485" s="25"/>
      <c r="AZ485" s="25"/>
      <c r="BA485" s="25"/>
      <c r="BB485" s="25"/>
      <c r="BC485" s="25"/>
      <c r="BD485" s="25"/>
      <c r="BE485" s="25"/>
      <c r="BF485" s="25"/>
      <c r="BG485" s="25"/>
      <c r="BH485" s="25"/>
      <c r="BI485" s="25"/>
      <c r="BJ485" s="25"/>
      <c r="BK485" s="25"/>
      <c r="BL485" s="25"/>
      <c r="BM485" s="25"/>
      <c r="BN485" s="25"/>
      <c r="BO485" s="25"/>
      <c r="BP485" s="25"/>
      <c r="BQ485" s="25"/>
      <c r="BR485" s="25"/>
      <c r="BS485" s="25"/>
      <c r="BT485" s="25"/>
      <c r="BU485" s="25"/>
      <c r="BV485" s="25"/>
      <c r="BW485" s="25"/>
      <c r="BX485" s="25"/>
      <c r="BY485" s="25"/>
      <c r="BZ485" s="25"/>
      <c r="CA485" s="25"/>
      <c r="CB485" s="25"/>
      <c r="CC485" s="25"/>
      <c r="CD485" s="25"/>
      <c r="CE485" s="25"/>
      <c r="CF485" s="25"/>
      <c r="CG485" s="25"/>
      <c r="CH485" s="25"/>
      <c r="CI485" s="25"/>
      <c r="CJ485" s="25"/>
      <c r="CK485" s="25"/>
      <c r="CL485" s="25"/>
      <c r="CM485" s="25"/>
      <c r="CN485" s="25"/>
      <c r="CO485" s="25"/>
      <c r="CP485" s="25"/>
      <c r="CQ485" s="25"/>
      <c r="CR485" s="25"/>
      <c r="CS485" s="25"/>
    </row>
    <row r="486" spans="2:97">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c r="AV486" s="25"/>
      <c r="AW486" s="25"/>
      <c r="AX486" s="25"/>
      <c r="AY486" s="25"/>
      <c r="AZ486" s="25"/>
      <c r="BA486" s="25"/>
      <c r="BB486" s="25"/>
      <c r="BC486" s="25"/>
      <c r="BD486" s="25"/>
      <c r="BE486" s="25"/>
      <c r="BF486" s="25"/>
      <c r="BG486" s="25"/>
      <c r="BH486" s="25"/>
      <c r="BI486" s="25"/>
      <c r="BJ486" s="25"/>
      <c r="BK486" s="25"/>
      <c r="BL486" s="25"/>
      <c r="BM486" s="25"/>
      <c r="BN486" s="25"/>
      <c r="BO486" s="25"/>
      <c r="BP486" s="25"/>
      <c r="BQ486" s="25"/>
      <c r="BR486" s="25"/>
      <c r="BS486" s="25"/>
      <c r="BT486" s="25"/>
      <c r="BU486" s="25"/>
      <c r="BV486" s="25"/>
      <c r="BW486" s="25"/>
      <c r="BX486" s="25"/>
      <c r="BY486" s="25"/>
      <c r="BZ486" s="25"/>
      <c r="CA486" s="25"/>
      <c r="CB486" s="25"/>
      <c r="CC486" s="25"/>
      <c r="CD486" s="25"/>
      <c r="CE486" s="25"/>
      <c r="CF486" s="25"/>
      <c r="CG486" s="25"/>
      <c r="CH486" s="25"/>
      <c r="CI486" s="25"/>
      <c r="CJ486" s="25"/>
      <c r="CK486" s="25"/>
      <c r="CL486" s="25"/>
      <c r="CM486" s="25"/>
      <c r="CN486" s="25"/>
      <c r="CO486" s="25"/>
      <c r="CP486" s="25"/>
      <c r="CQ486" s="25"/>
      <c r="CR486" s="25"/>
      <c r="CS486" s="25"/>
    </row>
    <row r="487" spans="2:97">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5"/>
      <c r="AV487" s="25"/>
      <c r="AW487" s="25"/>
      <c r="AX487" s="25"/>
      <c r="AY487" s="25"/>
      <c r="AZ487" s="25"/>
      <c r="BA487" s="25"/>
      <c r="BB487" s="25"/>
      <c r="BC487" s="25"/>
      <c r="BD487" s="25"/>
      <c r="BE487" s="25"/>
      <c r="BF487" s="25"/>
      <c r="BG487" s="25"/>
      <c r="BH487" s="25"/>
      <c r="BI487" s="25"/>
      <c r="BJ487" s="25"/>
      <c r="BK487" s="25"/>
      <c r="BL487" s="25"/>
      <c r="BM487" s="25"/>
      <c r="BN487" s="25"/>
      <c r="BO487" s="25"/>
      <c r="BP487" s="25"/>
      <c r="BQ487" s="25"/>
      <c r="BR487" s="25"/>
      <c r="BS487" s="25"/>
      <c r="BT487" s="25"/>
      <c r="BU487" s="25"/>
      <c r="BV487" s="25"/>
      <c r="BW487" s="25"/>
      <c r="BX487" s="25"/>
      <c r="BY487" s="25"/>
      <c r="BZ487" s="25"/>
      <c r="CA487" s="25"/>
      <c r="CB487" s="25"/>
      <c r="CC487" s="25"/>
      <c r="CD487" s="25"/>
      <c r="CE487" s="25"/>
      <c r="CF487" s="25"/>
      <c r="CG487" s="25"/>
      <c r="CH487" s="25"/>
      <c r="CI487" s="25"/>
      <c r="CJ487" s="25"/>
      <c r="CK487" s="25"/>
      <c r="CL487" s="25"/>
      <c r="CM487" s="25"/>
      <c r="CN487" s="25"/>
      <c r="CO487" s="25"/>
      <c r="CP487" s="25"/>
      <c r="CQ487" s="25"/>
      <c r="CR487" s="25"/>
      <c r="CS487" s="25"/>
    </row>
    <row r="488" spans="2:97">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c r="AT488" s="25"/>
      <c r="AU488" s="25"/>
      <c r="AV488" s="25"/>
      <c r="AW488" s="25"/>
      <c r="AX488" s="25"/>
      <c r="AY488" s="25"/>
      <c r="AZ488" s="25"/>
      <c r="BA488" s="25"/>
      <c r="BB488" s="25"/>
      <c r="BC488" s="25"/>
      <c r="BD488" s="25"/>
      <c r="BE488" s="25"/>
      <c r="BF488" s="25"/>
      <c r="BG488" s="25"/>
      <c r="BH488" s="25"/>
      <c r="BI488" s="25"/>
      <c r="BJ488" s="25"/>
      <c r="BK488" s="25"/>
      <c r="BL488" s="25"/>
      <c r="BM488" s="25"/>
      <c r="BN488" s="25"/>
      <c r="BO488" s="25"/>
      <c r="BP488" s="25"/>
      <c r="BQ488" s="25"/>
      <c r="BR488" s="25"/>
      <c r="BS488" s="25"/>
      <c r="BT488" s="25"/>
      <c r="BU488" s="25"/>
      <c r="BV488" s="25"/>
      <c r="BW488" s="25"/>
      <c r="BX488" s="25"/>
      <c r="BY488" s="25"/>
      <c r="BZ488" s="25"/>
      <c r="CA488" s="25"/>
      <c r="CB488" s="25"/>
      <c r="CC488" s="25"/>
      <c r="CD488" s="25"/>
      <c r="CE488" s="25"/>
      <c r="CF488" s="25"/>
      <c r="CG488" s="25"/>
      <c r="CH488" s="25"/>
      <c r="CI488" s="25"/>
      <c r="CJ488" s="25"/>
      <c r="CK488" s="25"/>
      <c r="CL488" s="25"/>
      <c r="CM488" s="25"/>
      <c r="CN488" s="25"/>
      <c r="CO488" s="25"/>
      <c r="CP488" s="25"/>
      <c r="CQ488" s="25"/>
      <c r="CR488" s="25"/>
      <c r="CS488" s="25"/>
    </row>
    <row r="489" spans="2:97">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c r="AT489" s="25"/>
      <c r="AU489" s="25"/>
      <c r="AV489" s="25"/>
      <c r="AW489" s="25"/>
      <c r="AX489" s="25"/>
      <c r="AY489" s="25"/>
      <c r="AZ489" s="25"/>
      <c r="BA489" s="25"/>
      <c r="BB489" s="25"/>
      <c r="BC489" s="25"/>
      <c r="BD489" s="25"/>
      <c r="BE489" s="25"/>
      <c r="BF489" s="25"/>
      <c r="BG489" s="25"/>
      <c r="BH489" s="25"/>
      <c r="BI489" s="25"/>
      <c r="BJ489" s="25"/>
      <c r="BK489" s="25"/>
      <c r="BL489" s="25"/>
      <c r="BM489" s="25"/>
      <c r="BN489" s="25"/>
      <c r="BO489" s="25"/>
      <c r="BP489" s="25"/>
      <c r="BQ489" s="25"/>
      <c r="BR489" s="25"/>
      <c r="BS489" s="25"/>
      <c r="BT489" s="25"/>
      <c r="BU489" s="25"/>
      <c r="BV489" s="25"/>
      <c r="BW489" s="25"/>
      <c r="BX489" s="25"/>
      <c r="BY489" s="25"/>
      <c r="BZ489" s="25"/>
      <c r="CA489" s="25"/>
      <c r="CB489" s="25"/>
      <c r="CC489" s="25"/>
      <c r="CD489" s="25"/>
      <c r="CE489" s="25"/>
      <c r="CF489" s="25"/>
      <c r="CG489" s="25"/>
      <c r="CH489" s="25"/>
      <c r="CI489" s="25"/>
      <c r="CJ489" s="25"/>
      <c r="CK489" s="25"/>
      <c r="CL489" s="25"/>
      <c r="CM489" s="25"/>
      <c r="CN489" s="25"/>
      <c r="CO489" s="25"/>
      <c r="CP489" s="25"/>
      <c r="CQ489" s="25"/>
      <c r="CR489" s="25"/>
      <c r="CS489" s="25"/>
    </row>
    <row r="490" spans="2:97">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c r="AT490" s="25"/>
      <c r="AU490" s="25"/>
      <c r="AV490" s="25"/>
      <c r="AW490" s="25"/>
      <c r="AX490" s="25"/>
      <c r="AY490" s="25"/>
      <c r="AZ490" s="25"/>
      <c r="BA490" s="25"/>
      <c r="BB490" s="25"/>
      <c r="BC490" s="25"/>
      <c r="BD490" s="25"/>
      <c r="BE490" s="25"/>
      <c r="BF490" s="25"/>
      <c r="BG490" s="25"/>
      <c r="BH490" s="25"/>
      <c r="BI490" s="25"/>
      <c r="BJ490" s="25"/>
      <c r="BK490" s="25"/>
      <c r="BL490" s="25"/>
      <c r="BM490" s="25"/>
      <c r="BN490" s="25"/>
      <c r="BO490" s="25"/>
      <c r="BP490" s="25"/>
      <c r="BQ490" s="25"/>
      <c r="BR490" s="25"/>
      <c r="BS490" s="25"/>
      <c r="BT490" s="25"/>
      <c r="BU490" s="25"/>
      <c r="BV490" s="25"/>
      <c r="BW490" s="25"/>
      <c r="BX490" s="25"/>
      <c r="BY490" s="25"/>
      <c r="BZ490" s="25"/>
      <c r="CA490" s="25"/>
      <c r="CB490" s="25"/>
      <c r="CC490" s="25"/>
      <c r="CD490" s="25"/>
      <c r="CE490" s="25"/>
      <c r="CF490" s="25"/>
      <c r="CG490" s="25"/>
      <c r="CH490" s="25"/>
      <c r="CI490" s="25"/>
      <c r="CJ490" s="25"/>
      <c r="CK490" s="25"/>
      <c r="CL490" s="25"/>
      <c r="CM490" s="25"/>
      <c r="CN490" s="25"/>
      <c r="CO490" s="25"/>
      <c r="CP490" s="25"/>
      <c r="CQ490" s="25"/>
      <c r="CR490" s="25"/>
      <c r="CS490" s="25"/>
    </row>
    <row r="491" spans="2:97">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c r="AT491" s="25"/>
      <c r="AU491" s="25"/>
      <c r="AV491" s="25"/>
      <c r="AW491" s="25"/>
      <c r="AX491" s="25"/>
      <c r="AY491" s="25"/>
      <c r="AZ491" s="25"/>
      <c r="BA491" s="25"/>
      <c r="BB491" s="25"/>
      <c r="BC491" s="25"/>
      <c r="BD491" s="25"/>
      <c r="BE491" s="25"/>
      <c r="BF491" s="25"/>
      <c r="BG491" s="25"/>
      <c r="BH491" s="25"/>
      <c r="BI491" s="25"/>
      <c r="BJ491" s="25"/>
      <c r="BK491" s="25"/>
      <c r="BL491" s="25"/>
      <c r="BM491" s="25"/>
      <c r="BN491" s="25"/>
      <c r="BO491" s="25"/>
      <c r="BP491" s="25"/>
      <c r="BQ491" s="25"/>
      <c r="BR491" s="25"/>
      <c r="BS491" s="25"/>
      <c r="BT491" s="25"/>
      <c r="BU491" s="25"/>
      <c r="BV491" s="25"/>
      <c r="BW491" s="25"/>
      <c r="BX491" s="25"/>
      <c r="BY491" s="25"/>
      <c r="BZ491" s="25"/>
      <c r="CA491" s="25"/>
      <c r="CB491" s="25"/>
      <c r="CC491" s="25"/>
      <c r="CD491" s="25"/>
      <c r="CE491" s="25"/>
      <c r="CF491" s="25"/>
      <c r="CG491" s="25"/>
      <c r="CH491" s="25"/>
      <c r="CI491" s="25"/>
      <c r="CJ491" s="25"/>
      <c r="CK491" s="25"/>
      <c r="CL491" s="25"/>
      <c r="CM491" s="25"/>
      <c r="CN491" s="25"/>
      <c r="CO491" s="25"/>
      <c r="CP491" s="25"/>
      <c r="CQ491" s="25"/>
      <c r="CR491" s="25"/>
      <c r="CS491" s="25"/>
    </row>
    <row r="492" spans="2:97">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c r="AS492" s="25"/>
      <c r="AT492" s="25"/>
      <c r="AU492" s="25"/>
      <c r="AV492" s="25"/>
      <c r="AW492" s="25"/>
      <c r="AX492" s="25"/>
      <c r="AY492" s="25"/>
      <c r="AZ492" s="25"/>
      <c r="BA492" s="25"/>
      <c r="BB492" s="25"/>
      <c r="BC492" s="25"/>
      <c r="BD492" s="25"/>
      <c r="BE492" s="25"/>
      <c r="BF492" s="25"/>
      <c r="BG492" s="25"/>
      <c r="BH492" s="25"/>
      <c r="BI492" s="25"/>
      <c r="BJ492" s="25"/>
      <c r="BK492" s="25"/>
      <c r="BL492" s="25"/>
      <c r="BM492" s="25"/>
      <c r="BN492" s="25"/>
      <c r="BO492" s="25"/>
      <c r="BP492" s="25"/>
      <c r="BQ492" s="25"/>
      <c r="BR492" s="25"/>
      <c r="BS492" s="25"/>
      <c r="BT492" s="25"/>
      <c r="BU492" s="25"/>
      <c r="BV492" s="25"/>
      <c r="BW492" s="25"/>
      <c r="BX492" s="25"/>
      <c r="BY492" s="25"/>
      <c r="BZ492" s="25"/>
      <c r="CA492" s="25"/>
      <c r="CB492" s="25"/>
      <c r="CC492" s="25"/>
      <c r="CD492" s="25"/>
      <c r="CE492" s="25"/>
      <c r="CF492" s="25"/>
      <c r="CG492" s="25"/>
      <c r="CH492" s="25"/>
      <c r="CI492" s="25"/>
      <c r="CJ492" s="25"/>
      <c r="CK492" s="25"/>
      <c r="CL492" s="25"/>
      <c r="CM492" s="25"/>
      <c r="CN492" s="25"/>
      <c r="CO492" s="25"/>
      <c r="CP492" s="25"/>
      <c r="CQ492" s="25"/>
      <c r="CR492" s="25"/>
      <c r="CS492" s="25"/>
    </row>
    <row r="493" spans="2:97">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c r="AS493" s="25"/>
      <c r="AT493" s="25"/>
      <c r="AU493" s="25"/>
      <c r="AV493" s="25"/>
      <c r="AW493" s="25"/>
      <c r="AX493" s="25"/>
      <c r="AY493" s="25"/>
      <c r="AZ493" s="25"/>
      <c r="BA493" s="25"/>
      <c r="BB493" s="25"/>
      <c r="BC493" s="25"/>
      <c r="BD493" s="25"/>
      <c r="BE493" s="25"/>
      <c r="BF493" s="25"/>
      <c r="BG493" s="25"/>
      <c r="BH493" s="25"/>
      <c r="BI493" s="25"/>
      <c r="BJ493" s="25"/>
      <c r="BK493" s="25"/>
      <c r="BL493" s="25"/>
      <c r="BM493" s="25"/>
      <c r="BN493" s="25"/>
      <c r="BO493" s="25"/>
      <c r="BP493" s="25"/>
      <c r="BQ493" s="25"/>
      <c r="BR493" s="25"/>
      <c r="BS493" s="25"/>
      <c r="BT493" s="25"/>
      <c r="BU493" s="25"/>
      <c r="BV493" s="25"/>
      <c r="BW493" s="25"/>
      <c r="BX493" s="25"/>
      <c r="BY493" s="25"/>
      <c r="BZ493" s="25"/>
      <c r="CA493" s="25"/>
      <c r="CB493" s="25"/>
      <c r="CC493" s="25"/>
      <c r="CD493" s="25"/>
      <c r="CE493" s="25"/>
      <c r="CF493" s="25"/>
      <c r="CG493" s="25"/>
      <c r="CH493" s="25"/>
      <c r="CI493" s="25"/>
      <c r="CJ493" s="25"/>
      <c r="CK493" s="25"/>
      <c r="CL493" s="25"/>
      <c r="CM493" s="25"/>
      <c r="CN493" s="25"/>
      <c r="CO493" s="25"/>
      <c r="CP493" s="25"/>
      <c r="CQ493" s="25"/>
      <c r="CR493" s="25"/>
      <c r="CS493" s="25"/>
    </row>
    <row r="494" spans="2:97">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c r="AS494" s="25"/>
      <c r="AT494" s="25"/>
      <c r="AU494" s="25"/>
      <c r="AV494" s="25"/>
      <c r="AW494" s="25"/>
      <c r="AX494" s="25"/>
      <c r="AY494" s="25"/>
      <c r="AZ494" s="25"/>
      <c r="BA494" s="25"/>
      <c r="BB494" s="25"/>
      <c r="BC494" s="25"/>
      <c r="BD494" s="25"/>
      <c r="BE494" s="25"/>
      <c r="BF494" s="25"/>
      <c r="BG494" s="25"/>
      <c r="BH494" s="25"/>
      <c r="BI494" s="25"/>
      <c r="BJ494" s="25"/>
      <c r="BK494" s="25"/>
      <c r="BL494" s="25"/>
      <c r="BM494" s="25"/>
      <c r="BN494" s="25"/>
      <c r="BO494" s="25"/>
      <c r="BP494" s="25"/>
      <c r="BQ494" s="25"/>
      <c r="BR494" s="25"/>
      <c r="BS494" s="25"/>
      <c r="BT494" s="25"/>
      <c r="BU494" s="25"/>
      <c r="BV494" s="25"/>
      <c r="BW494" s="25"/>
      <c r="BX494" s="25"/>
      <c r="BY494" s="25"/>
      <c r="BZ494" s="25"/>
      <c r="CA494" s="25"/>
      <c r="CB494" s="25"/>
      <c r="CC494" s="25"/>
      <c r="CD494" s="25"/>
      <c r="CE494" s="25"/>
      <c r="CF494" s="25"/>
      <c r="CG494" s="25"/>
      <c r="CH494" s="25"/>
      <c r="CI494" s="25"/>
      <c r="CJ494" s="25"/>
      <c r="CK494" s="25"/>
      <c r="CL494" s="25"/>
      <c r="CM494" s="25"/>
      <c r="CN494" s="25"/>
      <c r="CO494" s="25"/>
      <c r="CP494" s="25"/>
      <c r="CQ494" s="25"/>
      <c r="CR494" s="25"/>
      <c r="CS494" s="25"/>
    </row>
    <row r="495" spans="2:97">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c r="AS495" s="25"/>
      <c r="AT495" s="25"/>
      <c r="AU495" s="25"/>
      <c r="AV495" s="25"/>
      <c r="AW495" s="25"/>
      <c r="AX495" s="25"/>
      <c r="AY495" s="25"/>
      <c r="AZ495" s="25"/>
      <c r="BA495" s="25"/>
      <c r="BB495" s="25"/>
      <c r="BC495" s="25"/>
      <c r="BD495" s="25"/>
      <c r="BE495" s="25"/>
      <c r="BF495" s="25"/>
      <c r="BG495" s="25"/>
      <c r="BH495" s="25"/>
      <c r="BI495" s="25"/>
      <c r="BJ495" s="25"/>
      <c r="BK495" s="25"/>
      <c r="BL495" s="25"/>
      <c r="BM495" s="25"/>
      <c r="BN495" s="25"/>
      <c r="BO495" s="25"/>
      <c r="BP495" s="25"/>
      <c r="BQ495" s="25"/>
      <c r="BR495" s="25"/>
      <c r="BS495" s="25"/>
      <c r="BT495" s="25"/>
      <c r="BU495" s="25"/>
      <c r="BV495" s="25"/>
      <c r="BW495" s="25"/>
      <c r="BX495" s="25"/>
      <c r="BY495" s="25"/>
      <c r="BZ495" s="25"/>
      <c r="CA495" s="25"/>
      <c r="CB495" s="25"/>
      <c r="CC495" s="25"/>
      <c r="CD495" s="25"/>
      <c r="CE495" s="25"/>
      <c r="CF495" s="25"/>
      <c r="CG495" s="25"/>
      <c r="CH495" s="25"/>
      <c r="CI495" s="25"/>
      <c r="CJ495" s="25"/>
      <c r="CK495" s="25"/>
      <c r="CL495" s="25"/>
      <c r="CM495" s="25"/>
      <c r="CN495" s="25"/>
      <c r="CO495" s="25"/>
      <c r="CP495" s="25"/>
      <c r="CQ495" s="25"/>
      <c r="CR495" s="25"/>
      <c r="CS495" s="25"/>
    </row>
    <row r="496" spans="2:97">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c r="AS496" s="25"/>
      <c r="AT496" s="25"/>
      <c r="AU496" s="25"/>
      <c r="AV496" s="25"/>
      <c r="AW496" s="25"/>
      <c r="AX496" s="25"/>
      <c r="AY496" s="25"/>
      <c r="AZ496" s="25"/>
      <c r="BA496" s="25"/>
      <c r="BB496" s="25"/>
      <c r="BC496" s="25"/>
      <c r="BD496" s="25"/>
      <c r="BE496" s="25"/>
      <c r="BF496" s="25"/>
      <c r="BG496" s="25"/>
      <c r="BH496" s="25"/>
      <c r="BI496" s="25"/>
      <c r="BJ496" s="25"/>
      <c r="BK496" s="25"/>
      <c r="BL496" s="25"/>
      <c r="BM496" s="25"/>
      <c r="BN496" s="25"/>
      <c r="BO496" s="25"/>
      <c r="BP496" s="25"/>
      <c r="BQ496" s="25"/>
      <c r="BR496" s="25"/>
      <c r="BS496" s="25"/>
      <c r="BT496" s="25"/>
      <c r="BU496" s="25"/>
      <c r="BV496" s="25"/>
      <c r="BW496" s="25"/>
      <c r="BX496" s="25"/>
      <c r="BY496" s="25"/>
      <c r="BZ496" s="25"/>
      <c r="CA496" s="25"/>
      <c r="CB496" s="25"/>
      <c r="CC496" s="25"/>
      <c r="CD496" s="25"/>
      <c r="CE496" s="25"/>
      <c r="CF496" s="25"/>
      <c r="CG496" s="25"/>
      <c r="CH496" s="25"/>
      <c r="CI496" s="25"/>
      <c r="CJ496" s="25"/>
      <c r="CK496" s="25"/>
      <c r="CL496" s="25"/>
      <c r="CM496" s="25"/>
      <c r="CN496" s="25"/>
      <c r="CO496" s="25"/>
      <c r="CP496" s="25"/>
      <c r="CQ496" s="25"/>
      <c r="CR496" s="25"/>
      <c r="CS496" s="25"/>
    </row>
    <row r="497" spans="2:97">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c r="AS497" s="25"/>
      <c r="AT497" s="25"/>
      <c r="AU497" s="25"/>
      <c r="AV497" s="25"/>
      <c r="AW497" s="25"/>
      <c r="AX497" s="25"/>
      <c r="AY497" s="25"/>
      <c r="AZ497" s="25"/>
      <c r="BA497" s="25"/>
      <c r="BB497" s="25"/>
      <c r="BC497" s="25"/>
      <c r="BD497" s="25"/>
      <c r="BE497" s="25"/>
      <c r="BF497" s="25"/>
      <c r="BG497" s="25"/>
      <c r="BH497" s="25"/>
      <c r="BI497" s="25"/>
      <c r="BJ497" s="25"/>
      <c r="BK497" s="25"/>
      <c r="BL497" s="25"/>
      <c r="BM497" s="25"/>
      <c r="BN497" s="25"/>
      <c r="BO497" s="25"/>
      <c r="BP497" s="25"/>
      <c r="BQ497" s="25"/>
      <c r="BR497" s="25"/>
      <c r="BS497" s="25"/>
      <c r="BT497" s="25"/>
      <c r="BU497" s="25"/>
      <c r="BV497" s="25"/>
      <c r="BW497" s="25"/>
      <c r="BX497" s="25"/>
      <c r="BY497" s="25"/>
      <c r="BZ497" s="25"/>
      <c r="CA497" s="25"/>
      <c r="CB497" s="25"/>
      <c r="CC497" s="25"/>
      <c r="CD497" s="25"/>
      <c r="CE497" s="25"/>
      <c r="CF497" s="25"/>
      <c r="CG497" s="25"/>
      <c r="CH497" s="25"/>
      <c r="CI497" s="25"/>
      <c r="CJ497" s="25"/>
      <c r="CK497" s="25"/>
      <c r="CL497" s="25"/>
      <c r="CM497" s="25"/>
      <c r="CN497" s="25"/>
      <c r="CO497" s="25"/>
      <c r="CP497" s="25"/>
      <c r="CQ497" s="25"/>
      <c r="CR497" s="25"/>
      <c r="CS497" s="25"/>
    </row>
    <row r="498" spans="2:97">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c r="AS498" s="25"/>
      <c r="AT498" s="25"/>
      <c r="AU498" s="25"/>
      <c r="AV498" s="25"/>
      <c r="AW498" s="25"/>
      <c r="AX498" s="25"/>
      <c r="AY498" s="25"/>
      <c r="AZ498" s="25"/>
      <c r="BA498" s="25"/>
      <c r="BB498" s="25"/>
      <c r="BC498" s="25"/>
      <c r="BD498" s="25"/>
      <c r="BE498" s="25"/>
      <c r="BF498" s="25"/>
      <c r="BG498" s="25"/>
      <c r="BH498" s="25"/>
      <c r="BI498" s="25"/>
      <c r="BJ498" s="25"/>
      <c r="BK498" s="25"/>
      <c r="BL498" s="25"/>
      <c r="BM498" s="25"/>
      <c r="BN498" s="25"/>
      <c r="BO498" s="25"/>
      <c r="BP498" s="25"/>
      <c r="BQ498" s="25"/>
      <c r="BR498" s="25"/>
      <c r="BS498" s="25"/>
      <c r="BT498" s="25"/>
      <c r="BU498" s="25"/>
      <c r="BV498" s="25"/>
      <c r="BW498" s="25"/>
      <c r="BX498" s="25"/>
      <c r="BY498" s="25"/>
      <c r="BZ498" s="25"/>
      <c r="CA498" s="25"/>
      <c r="CB498" s="25"/>
      <c r="CC498" s="25"/>
      <c r="CD498" s="25"/>
      <c r="CE498" s="25"/>
      <c r="CF498" s="25"/>
      <c r="CG498" s="25"/>
      <c r="CH498" s="25"/>
      <c r="CI498" s="25"/>
      <c r="CJ498" s="25"/>
      <c r="CK498" s="25"/>
      <c r="CL498" s="25"/>
      <c r="CM498" s="25"/>
      <c r="CN498" s="25"/>
      <c r="CO498" s="25"/>
      <c r="CP498" s="25"/>
      <c r="CQ498" s="25"/>
      <c r="CR498" s="25"/>
      <c r="CS498" s="25"/>
    </row>
    <row r="499" spans="2:97">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c r="AS499" s="25"/>
      <c r="AT499" s="25"/>
      <c r="AU499" s="25"/>
      <c r="AV499" s="25"/>
      <c r="AW499" s="25"/>
      <c r="AX499" s="25"/>
      <c r="AY499" s="25"/>
      <c r="AZ499" s="25"/>
      <c r="BA499" s="25"/>
      <c r="BB499" s="25"/>
      <c r="BC499" s="25"/>
      <c r="BD499" s="25"/>
      <c r="BE499" s="25"/>
      <c r="BF499" s="25"/>
      <c r="BG499" s="25"/>
      <c r="BH499" s="25"/>
      <c r="BI499" s="25"/>
      <c r="BJ499" s="25"/>
      <c r="BK499" s="25"/>
      <c r="BL499" s="25"/>
      <c r="BM499" s="25"/>
      <c r="BN499" s="25"/>
      <c r="BO499" s="25"/>
      <c r="BP499" s="25"/>
      <c r="BQ499" s="25"/>
      <c r="BR499" s="25"/>
      <c r="BS499" s="25"/>
      <c r="BT499" s="25"/>
      <c r="BU499" s="25"/>
      <c r="BV499" s="25"/>
      <c r="BW499" s="25"/>
      <c r="BX499" s="25"/>
      <c r="BY499" s="25"/>
      <c r="BZ499" s="25"/>
      <c r="CA499" s="25"/>
      <c r="CB499" s="25"/>
      <c r="CC499" s="25"/>
      <c r="CD499" s="25"/>
      <c r="CE499" s="25"/>
      <c r="CF499" s="25"/>
      <c r="CG499" s="25"/>
      <c r="CH499" s="25"/>
      <c r="CI499" s="25"/>
      <c r="CJ499" s="25"/>
      <c r="CK499" s="25"/>
      <c r="CL499" s="25"/>
      <c r="CM499" s="25"/>
      <c r="CN499" s="25"/>
      <c r="CO499" s="25"/>
      <c r="CP499" s="25"/>
      <c r="CQ499" s="25"/>
      <c r="CR499" s="25"/>
      <c r="CS499" s="25"/>
    </row>
    <row r="500" spans="2:97">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c r="AS500" s="25"/>
      <c r="AT500" s="25"/>
      <c r="AU500" s="25"/>
      <c r="AV500" s="25"/>
      <c r="AW500" s="25"/>
      <c r="AX500" s="25"/>
      <c r="AY500" s="25"/>
      <c r="AZ500" s="25"/>
      <c r="BA500" s="25"/>
      <c r="BB500" s="25"/>
      <c r="BC500" s="25"/>
      <c r="BD500" s="25"/>
      <c r="BE500" s="25"/>
      <c r="BF500" s="25"/>
      <c r="BG500" s="25"/>
      <c r="BH500" s="25"/>
      <c r="BI500" s="25"/>
      <c r="BJ500" s="25"/>
      <c r="BK500" s="25"/>
      <c r="BL500" s="25"/>
      <c r="BM500" s="25"/>
      <c r="BN500" s="25"/>
      <c r="BO500" s="25"/>
      <c r="BP500" s="25"/>
      <c r="BQ500" s="25"/>
      <c r="BR500" s="25"/>
      <c r="BS500" s="25"/>
      <c r="BT500" s="25"/>
      <c r="BU500" s="25"/>
      <c r="BV500" s="25"/>
      <c r="BW500" s="25"/>
      <c r="BX500" s="25"/>
      <c r="BY500" s="25"/>
      <c r="BZ500" s="25"/>
      <c r="CA500" s="25"/>
      <c r="CB500" s="25"/>
      <c r="CC500" s="25"/>
      <c r="CD500" s="25"/>
      <c r="CE500" s="25"/>
      <c r="CF500" s="25"/>
      <c r="CG500" s="25"/>
      <c r="CH500" s="25"/>
      <c r="CI500" s="25"/>
      <c r="CJ500" s="25"/>
      <c r="CK500" s="25"/>
      <c r="CL500" s="25"/>
      <c r="CM500" s="25"/>
      <c r="CN500" s="25"/>
      <c r="CO500" s="25"/>
      <c r="CP500" s="25"/>
      <c r="CQ500" s="25"/>
      <c r="CR500" s="25"/>
      <c r="CS500" s="25"/>
    </row>
    <row r="501" spans="2:97">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c r="AS501" s="25"/>
      <c r="AT501" s="25"/>
      <c r="AU501" s="25"/>
      <c r="AV501" s="25"/>
      <c r="AW501" s="25"/>
      <c r="AX501" s="25"/>
      <c r="AY501" s="25"/>
      <c r="AZ501" s="25"/>
      <c r="BA501" s="25"/>
      <c r="BB501" s="25"/>
      <c r="BC501" s="25"/>
      <c r="BD501" s="25"/>
      <c r="BE501" s="25"/>
      <c r="BF501" s="25"/>
      <c r="BG501" s="25"/>
      <c r="BH501" s="25"/>
      <c r="BI501" s="25"/>
      <c r="BJ501" s="25"/>
      <c r="BK501" s="25"/>
      <c r="BL501" s="25"/>
      <c r="BM501" s="25"/>
      <c r="BN501" s="25"/>
      <c r="BO501" s="25"/>
      <c r="BP501" s="25"/>
      <c r="BQ501" s="25"/>
      <c r="BR501" s="25"/>
      <c r="BS501" s="25"/>
      <c r="BT501" s="25"/>
      <c r="BU501" s="25"/>
      <c r="BV501" s="25"/>
      <c r="BW501" s="25"/>
      <c r="BX501" s="25"/>
      <c r="BY501" s="25"/>
      <c r="BZ501" s="25"/>
      <c r="CA501" s="25"/>
      <c r="CB501" s="25"/>
      <c r="CC501" s="25"/>
      <c r="CD501" s="25"/>
      <c r="CE501" s="25"/>
      <c r="CF501" s="25"/>
      <c r="CG501" s="25"/>
      <c r="CH501" s="25"/>
      <c r="CI501" s="25"/>
      <c r="CJ501" s="25"/>
      <c r="CK501" s="25"/>
      <c r="CL501" s="25"/>
      <c r="CM501" s="25"/>
      <c r="CN501" s="25"/>
      <c r="CO501" s="25"/>
      <c r="CP501" s="25"/>
      <c r="CQ501" s="25"/>
      <c r="CR501" s="25"/>
      <c r="CS501" s="25"/>
    </row>
    <row r="502" spans="2:97">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c r="AS502" s="25"/>
      <c r="AT502" s="25"/>
      <c r="AU502" s="25"/>
      <c r="AV502" s="25"/>
      <c r="AW502" s="25"/>
      <c r="AX502" s="25"/>
      <c r="AY502" s="25"/>
      <c r="AZ502" s="25"/>
      <c r="BA502" s="25"/>
      <c r="BB502" s="25"/>
      <c r="BC502" s="25"/>
      <c r="BD502" s="25"/>
      <c r="BE502" s="25"/>
      <c r="BF502" s="25"/>
      <c r="BG502" s="25"/>
      <c r="BH502" s="25"/>
      <c r="BI502" s="25"/>
      <c r="BJ502" s="25"/>
      <c r="BK502" s="25"/>
      <c r="BL502" s="25"/>
      <c r="BM502" s="25"/>
      <c r="BN502" s="25"/>
      <c r="BO502" s="25"/>
      <c r="BP502" s="25"/>
      <c r="BQ502" s="25"/>
      <c r="BR502" s="25"/>
      <c r="BS502" s="25"/>
      <c r="BT502" s="25"/>
      <c r="BU502" s="25"/>
      <c r="BV502" s="25"/>
      <c r="BW502" s="25"/>
      <c r="BX502" s="25"/>
      <c r="BY502" s="25"/>
      <c r="BZ502" s="25"/>
      <c r="CA502" s="25"/>
      <c r="CB502" s="25"/>
      <c r="CC502" s="25"/>
      <c r="CD502" s="25"/>
      <c r="CE502" s="25"/>
      <c r="CF502" s="25"/>
      <c r="CG502" s="25"/>
      <c r="CH502" s="25"/>
      <c r="CI502" s="25"/>
      <c r="CJ502" s="25"/>
      <c r="CK502" s="25"/>
      <c r="CL502" s="25"/>
      <c r="CM502" s="25"/>
      <c r="CN502" s="25"/>
      <c r="CO502" s="25"/>
      <c r="CP502" s="25"/>
      <c r="CQ502" s="25"/>
      <c r="CR502" s="25"/>
      <c r="CS502" s="25"/>
    </row>
    <row r="503" spans="2:97">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c r="AS503" s="25"/>
      <c r="AT503" s="25"/>
      <c r="AU503" s="25"/>
      <c r="AV503" s="25"/>
      <c r="AW503" s="25"/>
      <c r="AX503" s="25"/>
      <c r="AY503" s="25"/>
      <c r="AZ503" s="25"/>
      <c r="BA503" s="25"/>
      <c r="BB503" s="25"/>
      <c r="BC503" s="25"/>
      <c r="BD503" s="25"/>
      <c r="BE503" s="25"/>
      <c r="BF503" s="25"/>
      <c r="BG503" s="25"/>
      <c r="BH503" s="25"/>
      <c r="BI503" s="25"/>
      <c r="BJ503" s="25"/>
      <c r="BK503" s="25"/>
      <c r="BL503" s="25"/>
      <c r="BM503" s="25"/>
      <c r="BN503" s="25"/>
      <c r="BO503" s="25"/>
      <c r="BP503" s="25"/>
      <c r="BQ503" s="25"/>
      <c r="BR503" s="25"/>
      <c r="BS503" s="25"/>
      <c r="BT503" s="25"/>
      <c r="BU503" s="25"/>
      <c r="BV503" s="25"/>
      <c r="BW503" s="25"/>
      <c r="BX503" s="25"/>
      <c r="BY503" s="25"/>
      <c r="BZ503" s="25"/>
      <c r="CA503" s="25"/>
      <c r="CB503" s="25"/>
      <c r="CC503" s="25"/>
      <c r="CD503" s="25"/>
      <c r="CE503" s="25"/>
      <c r="CF503" s="25"/>
      <c r="CG503" s="25"/>
      <c r="CH503" s="25"/>
      <c r="CI503" s="25"/>
      <c r="CJ503" s="25"/>
      <c r="CK503" s="25"/>
      <c r="CL503" s="25"/>
      <c r="CM503" s="25"/>
      <c r="CN503" s="25"/>
      <c r="CO503" s="25"/>
      <c r="CP503" s="25"/>
      <c r="CQ503" s="25"/>
      <c r="CR503" s="25"/>
      <c r="CS503" s="25"/>
    </row>
    <row r="504" spans="2:97">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c r="AS504" s="25"/>
      <c r="AT504" s="25"/>
      <c r="AU504" s="25"/>
      <c r="AV504" s="25"/>
      <c r="AW504" s="25"/>
      <c r="AX504" s="25"/>
      <c r="AY504" s="25"/>
      <c r="AZ504" s="25"/>
      <c r="BA504" s="25"/>
      <c r="BB504" s="25"/>
      <c r="BC504" s="25"/>
      <c r="BD504" s="25"/>
      <c r="BE504" s="25"/>
      <c r="BF504" s="25"/>
      <c r="BG504" s="25"/>
      <c r="BH504" s="25"/>
      <c r="BI504" s="25"/>
      <c r="BJ504" s="25"/>
      <c r="BK504" s="25"/>
      <c r="BL504" s="25"/>
      <c r="BM504" s="25"/>
      <c r="BN504" s="25"/>
      <c r="BO504" s="25"/>
      <c r="BP504" s="25"/>
      <c r="BQ504" s="25"/>
      <c r="BR504" s="25"/>
      <c r="BS504" s="25"/>
      <c r="BT504" s="25"/>
      <c r="BU504" s="25"/>
      <c r="BV504" s="25"/>
      <c r="BW504" s="25"/>
      <c r="BX504" s="25"/>
      <c r="BY504" s="25"/>
      <c r="BZ504" s="25"/>
      <c r="CA504" s="25"/>
      <c r="CB504" s="25"/>
      <c r="CC504" s="25"/>
      <c r="CD504" s="25"/>
      <c r="CE504" s="25"/>
      <c r="CF504" s="25"/>
      <c r="CG504" s="25"/>
      <c r="CH504" s="25"/>
      <c r="CI504" s="25"/>
      <c r="CJ504" s="25"/>
      <c r="CK504" s="25"/>
      <c r="CL504" s="25"/>
      <c r="CM504" s="25"/>
      <c r="CN504" s="25"/>
      <c r="CO504" s="25"/>
      <c r="CP504" s="25"/>
      <c r="CQ504" s="25"/>
      <c r="CR504" s="25"/>
      <c r="CS504" s="25"/>
    </row>
    <row r="505" spans="2:97">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c r="AN505" s="25"/>
      <c r="AO505" s="25"/>
      <c r="AP505" s="25"/>
      <c r="AQ505" s="25"/>
      <c r="AR505" s="25"/>
      <c r="AS505" s="25"/>
      <c r="AT505" s="25"/>
      <c r="AU505" s="25"/>
      <c r="AV505" s="25"/>
      <c r="AW505" s="25"/>
      <c r="AX505" s="25"/>
      <c r="AY505" s="25"/>
      <c r="AZ505" s="25"/>
      <c r="BA505" s="25"/>
      <c r="BB505" s="25"/>
      <c r="BC505" s="25"/>
      <c r="BD505" s="25"/>
      <c r="BE505" s="25"/>
      <c r="BF505" s="25"/>
      <c r="BG505" s="25"/>
      <c r="BH505" s="25"/>
      <c r="BI505" s="25"/>
      <c r="BJ505" s="25"/>
      <c r="BK505" s="25"/>
      <c r="BL505" s="25"/>
      <c r="BM505" s="25"/>
      <c r="BN505" s="25"/>
      <c r="BO505" s="25"/>
      <c r="BP505" s="25"/>
      <c r="BQ505" s="25"/>
      <c r="BR505" s="25"/>
      <c r="BS505" s="25"/>
      <c r="BT505" s="25"/>
      <c r="BU505" s="25"/>
      <c r="BV505" s="25"/>
      <c r="BW505" s="25"/>
      <c r="BX505" s="25"/>
      <c r="BY505" s="25"/>
      <c r="BZ505" s="25"/>
      <c r="CA505" s="25"/>
      <c r="CB505" s="25"/>
      <c r="CC505" s="25"/>
      <c r="CD505" s="25"/>
      <c r="CE505" s="25"/>
      <c r="CF505" s="25"/>
      <c r="CG505" s="25"/>
      <c r="CH505" s="25"/>
      <c r="CI505" s="25"/>
      <c r="CJ505" s="25"/>
      <c r="CK505" s="25"/>
      <c r="CL505" s="25"/>
      <c r="CM505" s="25"/>
      <c r="CN505" s="25"/>
      <c r="CO505" s="25"/>
      <c r="CP505" s="25"/>
      <c r="CQ505" s="25"/>
      <c r="CR505" s="25"/>
      <c r="CS505" s="25"/>
    </row>
    <row r="506" spans="2:97">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c r="AS506" s="25"/>
      <c r="AT506" s="25"/>
      <c r="AU506" s="25"/>
      <c r="AV506" s="25"/>
      <c r="AW506" s="25"/>
      <c r="AX506" s="25"/>
      <c r="AY506" s="25"/>
      <c r="AZ506" s="25"/>
      <c r="BA506" s="25"/>
      <c r="BB506" s="25"/>
      <c r="BC506" s="25"/>
      <c r="BD506" s="25"/>
      <c r="BE506" s="25"/>
      <c r="BF506" s="25"/>
      <c r="BG506" s="25"/>
      <c r="BH506" s="25"/>
      <c r="BI506" s="25"/>
      <c r="BJ506" s="25"/>
      <c r="BK506" s="25"/>
      <c r="BL506" s="25"/>
      <c r="BM506" s="25"/>
      <c r="BN506" s="25"/>
      <c r="BO506" s="25"/>
      <c r="BP506" s="25"/>
      <c r="BQ506" s="25"/>
      <c r="BR506" s="25"/>
      <c r="BS506" s="25"/>
      <c r="BT506" s="25"/>
      <c r="BU506" s="25"/>
      <c r="BV506" s="25"/>
      <c r="BW506" s="25"/>
      <c r="BX506" s="25"/>
      <c r="BY506" s="25"/>
      <c r="BZ506" s="25"/>
      <c r="CA506" s="25"/>
      <c r="CB506" s="25"/>
      <c r="CC506" s="25"/>
      <c r="CD506" s="25"/>
      <c r="CE506" s="25"/>
      <c r="CF506" s="25"/>
      <c r="CG506" s="25"/>
      <c r="CH506" s="25"/>
      <c r="CI506" s="25"/>
      <c r="CJ506" s="25"/>
      <c r="CK506" s="25"/>
      <c r="CL506" s="25"/>
      <c r="CM506" s="25"/>
      <c r="CN506" s="25"/>
      <c r="CO506" s="25"/>
      <c r="CP506" s="25"/>
      <c r="CQ506" s="25"/>
      <c r="CR506" s="25"/>
      <c r="CS506" s="25"/>
    </row>
    <row r="507" spans="2:97">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c r="AN507" s="25"/>
      <c r="AO507" s="25"/>
      <c r="AP507" s="25"/>
      <c r="AQ507" s="25"/>
      <c r="AR507" s="25"/>
      <c r="AS507" s="25"/>
      <c r="AT507" s="25"/>
      <c r="AU507" s="25"/>
      <c r="AV507" s="25"/>
      <c r="AW507" s="25"/>
      <c r="AX507" s="25"/>
      <c r="AY507" s="25"/>
      <c r="AZ507" s="25"/>
      <c r="BA507" s="25"/>
      <c r="BB507" s="25"/>
      <c r="BC507" s="25"/>
      <c r="BD507" s="25"/>
      <c r="BE507" s="25"/>
      <c r="BF507" s="25"/>
      <c r="BG507" s="25"/>
      <c r="BH507" s="25"/>
      <c r="BI507" s="25"/>
      <c r="BJ507" s="25"/>
      <c r="BK507" s="25"/>
      <c r="BL507" s="25"/>
      <c r="BM507" s="25"/>
      <c r="BN507" s="25"/>
      <c r="BO507" s="25"/>
      <c r="BP507" s="25"/>
      <c r="BQ507" s="25"/>
      <c r="BR507" s="25"/>
      <c r="BS507" s="25"/>
      <c r="BT507" s="25"/>
      <c r="BU507" s="25"/>
      <c r="BV507" s="25"/>
      <c r="BW507" s="25"/>
      <c r="BX507" s="25"/>
      <c r="BY507" s="25"/>
      <c r="BZ507" s="25"/>
      <c r="CA507" s="25"/>
      <c r="CB507" s="25"/>
      <c r="CC507" s="25"/>
      <c r="CD507" s="25"/>
      <c r="CE507" s="25"/>
      <c r="CF507" s="25"/>
      <c r="CG507" s="25"/>
      <c r="CH507" s="25"/>
      <c r="CI507" s="25"/>
      <c r="CJ507" s="25"/>
      <c r="CK507" s="25"/>
      <c r="CL507" s="25"/>
      <c r="CM507" s="25"/>
      <c r="CN507" s="25"/>
      <c r="CO507" s="25"/>
      <c r="CP507" s="25"/>
      <c r="CQ507" s="25"/>
      <c r="CR507" s="25"/>
      <c r="CS507" s="25"/>
    </row>
    <row r="508" spans="2:97">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c r="AN508" s="25"/>
      <c r="AO508" s="25"/>
      <c r="AP508" s="25"/>
      <c r="AQ508" s="25"/>
      <c r="AR508" s="25"/>
      <c r="AS508" s="25"/>
      <c r="AT508" s="25"/>
      <c r="AU508" s="25"/>
      <c r="AV508" s="25"/>
      <c r="AW508" s="25"/>
      <c r="AX508" s="25"/>
      <c r="AY508" s="25"/>
      <c r="AZ508" s="25"/>
      <c r="BA508" s="25"/>
      <c r="BB508" s="25"/>
      <c r="BC508" s="25"/>
      <c r="BD508" s="25"/>
      <c r="BE508" s="25"/>
      <c r="BF508" s="25"/>
      <c r="BG508" s="25"/>
      <c r="BH508" s="25"/>
      <c r="BI508" s="25"/>
      <c r="BJ508" s="25"/>
      <c r="BK508" s="25"/>
      <c r="BL508" s="25"/>
      <c r="BM508" s="25"/>
      <c r="BN508" s="25"/>
      <c r="BO508" s="25"/>
      <c r="BP508" s="25"/>
      <c r="BQ508" s="25"/>
      <c r="BR508" s="25"/>
      <c r="BS508" s="25"/>
      <c r="BT508" s="25"/>
      <c r="BU508" s="25"/>
      <c r="BV508" s="25"/>
      <c r="BW508" s="25"/>
      <c r="BX508" s="25"/>
      <c r="BY508" s="25"/>
      <c r="BZ508" s="25"/>
      <c r="CA508" s="25"/>
      <c r="CB508" s="25"/>
      <c r="CC508" s="25"/>
      <c r="CD508" s="25"/>
      <c r="CE508" s="25"/>
      <c r="CF508" s="25"/>
      <c r="CG508" s="25"/>
      <c r="CH508" s="25"/>
      <c r="CI508" s="25"/>
      <c r="CJ508" s="25"/>
      <c r="CK508" s="25"/>
      <c r="CL508" s="25"/>
      <c r="CM508" s="25"/>
      <c r="CN508" s="25"/>
      <c r="CO508" s="25"/>
      <c r="CP508" s="25"/>
      <c r="CQ508" s="25"/>
      <c r="CR508" s="25"/>
      <c r="CS508" s="25"/>
    </row>
    <row r="509" spans="2:97">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c r="AR509" s="25"/>
      <c r="AS509" s="25"/>
      <c r="AT509" s="25"/>
      <c r="AU509" s="25"/>
      <c r="AV509" s="25"/>
      <c r="AW509" s="25"/>
      <c r="AX509" s="25"/>
      <c r="AY509" s="25"/>
      <c r="AZ509" s="25"/>
      <c r="BA509" s="25"/>
      <c r="BB509" s="25"/>
      <c r="BC509" s="25"/>
      <c r="BD509" s="25"/>
      <c r="BE509" s="25"/>
      <c r="BF509" s="25"/>
      <c r="BG509" s="25"/>
      <c r="BH509" s="25"/>
      <c r="BI509" s="25"/>
      <c r="BJ509" s="25"/>
      <c r="BK509" s="25"/>
      <c r="BL509" s="25"/>
      <c r="BM509" s="25"/>
      <c r="BN509" s="25"/>
      <c r="BO509" s="25"/>
      <c r="BP509" s="25"/>
      <c r="BQ509" s="25"/>
      <c r="BR509" s="25"/>
      <c r="BS509" s="25"/>
      <c r="BT509" s="25"/>
      <c r="BU509" s="25"/>
      <c r="BV509" s="25"/>
      <c r="BW509" s="25"/>
      <c r="BX509" s="25"/>
      <c r="BY509" s="25"/>
      <c r="BZ509" s="25"/>
      <c r="CA509" s="25"/>
      <c r="CB509" s="25"/>
      <c r="CC509" s="25"/>
      <c r="CD509" s="25"/>
      <c r="CE509" s="25"/>
      <c r="CF509" s="25"/>
      <c r="CG509" s="25"/>
      <c r="CH509" s="25"/>
      <c r="CI509" s="25"/>
      <c r="CJ509" s="25"/>
      <c r="CK509" s="25"/>
      <c r="CL509" s="25"/>
      <c r="CM509" s="25"/>
      <c r="CN509" s="25"/>
      <c r="CO509" s="25"/>
      <c r="CP509" s="25"/>
      <c r="CQ509" s="25"/>
      <c r="CR509" s="25"/>
      <c r="CS509" s="25"/>
    </row>
    <row r="510" spans="2:97">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c r="AN510" s="25"/>
      <c r="AO510" s="25"/>
      <c r="AP510" s="25"/>
      <c r="AQ510" s="25"/>
      <c r="AR510" s="25"/>
      <c r="AS510" s="25"/>
      <c r="AT510" s="25"/>
      <c r="AU510" s="25"/>
      <c r="AV510" s="25"/>
      <c r="AW510" s="25"/>
      <c r="AX510" s="25"/>
      <c r="AY510" s="25"/>
      <c r="AZ510" s="25"/>
      <c r="BA510" s="25"/>
      <c r="BB510" s="25"/>
      <c r="BC510" s="25"/>
      <c r="BD510" s="25"/>
      <c r="BE510" s="25"/>
      <c r="BF510" s="25"/>
      <c r="BG510" s="25"/>
      <c r="BH510" s="25"/>
      <c r="BI510" s="25"/>
      <c r="BJ510" s="25"/>
      <c r="BK510" s="25"/>
      <c r="BL510" s="25"/>
      <c r="BM510" s="25"/>
      <c r="BN510" s="25"/>
      <c r="BO510" s="25"/>
      <c r="BP510" s="25"/>
      <c r="BQ510" s="25"/>
      <c r="BR510" s="25"/>
      <c r="BS510" s="25"/>
      <c r="BT510" s="25"/>
      <c r="BU510" s="25"/>
      <c r="BV510" s="25"/>
      <c r="BW510" s="25"/>
      <c r="BX510" s="25"/>
      <c r="BY510" s="25"/>
      <c r="BZ510" s="25"/>
      <c r="CA510" s="25"/>
      <c r="CB510" s="25"/>
      <c r="CC510" s="25"/>
      <c r="CD510" s="25"/>
      <c r="CE510" s="25"/>
      <c r="CF510" s="25"/>
      <c r="CG510" s="25"/>
      <c r="CH510" s="25"/>
      <c r="CI510" s="25"/>
      <c r="CJ510" s="25"/>
      <c r="CK510" s="25"/>
      <c r="CL510" s="25"/>
      <c r="CM510" s="25"/>
      <c r="CN510" s="25"/>
      <c r="CO510" s="25"/>
      <c r="CP510" s="25"/>
      <c r="CQ510" s="25"/>
      <c r="CR510" s="25"/>
      <c r="CS510" s="25"/>
    </row>
    <row r="511" spans="2:97">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c r="AN511" s="25"/>
      <c r="AO511" s="25"/>
      <c r="AP511" s="25"/>
      <c r="AQ511" s="25"/>
      <c r="AR511" s="25"/>
      <c r="AS511" s="25"/>
      <c r="AT511" s="25"/>
      <c r="AU511" s="25"/>
      <c r="AV511" s="25"/>
      <c r="AW511" s="25"/>
      <c r="AX511" s="25"/>
      <c r="AY511" s="25"/>
      <c r="AZ511" s="25"/>
      <c r="BA511" s="25"/>
      <c r="BB511" s="25"/>
      <c r="BC511" s="25"/>
      <c r="BD511" s="25"/>
      <c r="BE511" s="25"/>
      <c r="BF511" s="25"/>
      <c r="BG511" s="25"/>
      <c r="BH511" s="25"/>
      <c r="BI511" s="25"/>
      <c r="BJ511" s="25"/>
      <c r="BK511" s="25"/>
      <c r="BL511" s="25"/>
      <c r="BM511" s="25"/>
      <c r="BN511" s="25"/>
      <c r="BO511" s="25"/>
      <c r="BP511" s="25"/>
      <c r="BQ511" s="25"/>
      <c r="BR511" s="25"/>
      <c r="BS511" s="25"/>
      <c r="BT511" s="25"/>
      <c r="BU511" s="25"/>
      <c r="BV511" s="25"/>
      <c r="BW511" s="25"/>
      <c r="BX511" s="25"/>
      <c r="BY511" s="25"/>
      <c r="BZ511" s="25"/>
      <c r="CA511" s="25"/>
      <c r="CB511" s="25"/>
      <c r="CC511" s="25"/>
      <c r="CD511" s="25"/>
      <c r="CE511" s="25"/>
      <c r="CF511" s="25"/>
      <c r="CG511" s="25"/>
      <c r="CH511" s="25"/>
      <c r="CI511" s="25"/>
      <c r="CJ511" s="25"/>
      <c r="CK511" s="25"/>
      <c r="CL511" s="25"/>
      <c r="CM511" s="25"/>
      <c r="CN511" s="25"/>
      <c r="CO511" s="25"/>
      <c r="CP511" s="25"/>
      <c r="CQ511" s="25"/>
      <c r="CR511" s="25"/>
      <c r="CS511" s="25"/>
    </row>
    <row r="512" spans="2:97">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c r="AN512" s="25"/>
      <c r="AO512" s="25"/>
      <c r="AP512" s="25"/>
      <c r="AQ512" s="25"/>
      <c r="AR512" s="25"/>
      <c r="AS512" s="25"/>
      <c r="AT512" s="25"/>
      <c r="AU512" s="25"/>
      <c r="AV512" s="25"/>
      <c r="AW512" s="25"/>
      <c r="AX512" s="25"/>
      <c r="AY512" s="25"/>
      <c r="AZ512" s="25"/>
      <c r="BA512" s="25"/>
      <c r="BB512" s="25"/>
      <c r="BC512" s="25"/>
      <c r="BD512" s="25"/>
      <c r="BE512" s="25"/>
      <c r="BF512" s="25"/>
      <c r="BG512" s="25"/>
      <c r="BH512" s="25"/>
      <c r="BI512" s="25"/>
      <c r="BJ512" s="25"/>
      <c r="BK512" s="25"/>
      <c r="BL512" s="25"/>
      <c r="BM512" s="25"/>
      <c r="BN512" s="25"/>
      <c r="BO512" s="25"/>
      <c r="BP512" s="25"/>
      <c r="BQ512" s="25"/>
      <c r="BR512" s="25"/>
      <c r="BS512" s="25"/>
      <c r="BT512" s="25"/>
      <c r="BU512" s="25"/>
      <c r="BV512" s="25"/>
      <c r="BW512" s="25"/>
      <c r="BX512" s="25"/>
      <c r="BY512" s="25"/>
      <c r="BZ512" s="25"/>
      <c r="CA512" s="25"/>
      <c r="CB512" s="25"/>
      <c r="CC512" s="25"/>
      <c r="CD512" s="25"/>
      <c r="CE512" s="25"/>
      <c r="CF512" s="25"/>
      <c r="CG512" s="25"/>
      <c r="CH512" s="25"/>
      <c r="CI512" s="25"/>
      <c r="CJ512" s="25"/>
      <c r="CK512" s="25"/>
      <c r="CL512" s="25"/>
      <c r="CM512" s="25"/>
      <c r="CN512" s="25"/>
      <c r="CO512" s="25"/>
      <c r="CP512" s="25"/>
      <c r="CQ512" s="25"/>
      <c r="CR512" s="25"/>
      <c r="CS512" s="25"/>
    </row>
    <row r="513" spans="2:97">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c r="AN513" s="25"/>
      <c r="AO513" s="25"/>
      <c r="AP513" s="25"/>
      <c r="AQ513" s="25"/>
      <c r="AR513" s="25"/>
      <c r="AS513" s="25"/>
      <c r="AT513" s="25"/>
      <c r="AU513" s="25"/>
      <c r="AV513" s="25"/>
      <c r="AW513" s="25"/>
      <c r="AX513" s="25"/>
      <c r="AY513" s="25"/>
      <c r="AZ513" s="25"/>
      <c r="BA513" s="25"/>
      <c r="BB513" s="25"/>
      <c r="BC513" s="25"/>
      <c r="BD513" s="25"/>
      <c r="BE513" s="25"/>
      <c r="BF513" s="25"/>
      <c r="BG513" s="25"/>
      <c r="BH513" s="25"/>
      <c r="BI513" s="25"/>
      <c r="BJ513" s="25"/>
      <c r="BK513" s="25"/>
      <c r="BL513" s="25"/>
      <c r="BM513" s="25"/>
      <c r="BN513" s="25"/>
      <c r="BO513" s="25"/>
      <c r="BP513" s="25"/>
      <c r="BQ513" s="25"/>
      <c r="BR513" s="25"/>
      <c r="BS513" s="25"/>
      <c r="BT513" s="25"/>
      <c r="BU513" s="25"/>
      <c r="BV513" s="25"/>
      <c r="BW513" s="25"/>
      <c r="BX513" s="25"/>
      <c r="BY513" s="25"/>
      <c r="BZ513" s="25"/>
      <c r="CA513" s="25"/>
      <c r="CB513" s="25"/>
      <c r="CC513" s="25"/>
      <c r="CD513" s="25"/>
      <c r="CE513" s="25"/>
      <c r="CF513" s="25"/>
      <c r="CG513" s="25"/>
      <c r="CH513" s="25"/>
      <c r="CI513" s="25"/>
      <c r="CJ513" s="25"/>
      <c r="CK513" s="25"/>
      <c r="CL513" s="25"/>
      <c r="CM513" s="25"/>
      <c r="CN513" s="25"/>
      <c r="CO513" s="25"/>
      <c r="CP513" s="25"/>
      <c r="CQ513" s="25"/>
      <c r="CR513" s="25"/>
      <c r="CS513" s="25"/>
    </row>
    <row r="514" spans="2:97">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c r="AN514" s="25"/>
      <c r="AO514" s="25"/>
      <c r="AP514" s="25"/>
      <c r="AQ514" s="25"/>
      <c r="AR514" s="25"/>
      <c r="AS514" s="25"/>
      <c r="AT514" s="25"/>
      <c r="AU514" s="25"/>
      <c r="AV514" s="25"/>
      <c r="AW514" s="25"/>
      <c r="AX514" s="25"/>
      <c r="AY514" s="25"/>
      <c r="AZ514" s="25"/>
      <c r="BA514" s="25"/>
      <c r="BB514" s="25"/>
      <c r="BC514" s="25"/>
      <c r="BD514" s="25"/>
      <c r="BE514" s="25"/>
      <c r="BF514" s="25"/>
      <c r="BG514" s="25"/>
      <c r="BH514" s="25"/>
      <c r="BI514" s="25"/>
      <c r="BJ514" s="25"/>
      <c r="BK514" s="25"/>
      <c r="BL514" s="25"/>
      <c r="BM514" s="25"/>
      <c r="BN514" s="25"/>
      <c r="BO514" s="25"/>
      <c r="BP514" s="25"/>
      <c r="BQ514" s="25"/>
      <c r="BR514" s="25"/>
      <c r="BS514" s="25"/>
      <c r="BT514" s="25"/>
      <c r="BU514" s="25"/>
      <c r="BV514" s="25"/>
      <c r="BW514" s="25"/>
      <c r="BX514" s="25"/>
      <c r="BY514" s="25"/>
      <c r="BZ514" s="25"/>
      <c r="CA514" s="25"/>
      <c r="CB514" s="25"/>
      <c r="CC514" s="25"/>
      <c r="CD514" s="25"/>
      <c r="CE514" s="25"/>
      <c r="CF514" s="25"/>
      <c r="CG514" s="25"/>
      <c r="CH514" s="25"/>
      <c r="CI514" s="25"/>
      <c r="CJ514" s="25"/>
      <c r="CK514" s="25"/>
      <c r="CL514" s="25"/>
      <c r="CM514" s="25"/>
      <c r="CN514" s="25"/>
      <c r="CO514" s="25"/>
      <c r="CP514" s="25"/>
      <c r="CQ514" s="25"/>
      <c r="CR514" s="25"/>
      <c r="CS514" s="25"/>
    </row>
    <row r="515" spans="2:97">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c r="AN515" s="25"/>
      <c r="AO515" s="25"/>
      <c r="AP515" s="25"/>
      <c r="AQ515" s="25"/>
      <c r="AR515" s="25"/>
      <c r="AS515" s="25"/>
      <c r="AT515" s="25"/>
      <c r="AU515" s="25"/>
      <c r="AV515" s="25"/>
      <c r="AW515" s="25"/>
      <c r="AX515" s="25"/>
      <c r="AY515" s="25"/>
      <c r="AZ515" s="25"/>
      <c r="BA515" s="25"/>
      <c r="BB515" s="25"/>
      <c r="BC515" s="25"/>
      <c r="BD515" s="25"/>
      <c r="BE515" s="25"/>
      <c r="BF515" s="25"/>
      <c r="BG515" s="25"/>
      <c r="BH515" s="25"/>
      <c r="BI515" s="25"/>
      <c r="BJ515" s="25"/>
      <c r="BK515" s="25"/>
      <c r="BL515" s="25"/>
      <c r="BM515" s="25"/>
      <c r="BN515" s="25"/>
      <c r="BO515" s="25"/>
      <c r="BP515" s="25"/>
      <c r="BQ515" s="25"/>
      <c r="BR515" s="25"/>
      <c r="BS515" s="25"/>
      <c r="BT515" s="25"/>
      <c r="BU515" s="25"/>
      <c r="BV515" s="25"/>
      <c r="BW515" s="25"/>
      <c r="BX515" s="25"/>
      <c r="BY515" s="25"/>
      <c r="BZ515" s="25"/>
      <c r="CA515" s="25"/>
      <c r="CB515" s="25"/>
      <c r="CC515" s="25"/>
      <c r="CD515" s="25"/>
      <c r="CE515" s="25"/>
      <c r="CF515" s="25"/>
      <c r="CG515" s="25"/>
      <c r="CH515" s="25"/>
      <c r="CI515" s="25"/>
      <c r="CJ515" s="25"/>
      <c r="CK515" s="25"/>
      <c r="CL515" s="25"/>
      <c r="CM515" s="25"/>
      <c r="CN515" s="25"/>
      <c r="CO515" s="25"/>
      <c r="CP515" s="25"/>
      <c r="CQ515" s="25"/>
      <c r="CR515" s="25"/>
      <c r="CS515" s="25"/>
    </row>
    <row r="516" spans="2:97">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c r="AN516" s="25"/>
      <c r="AO516" s="25"/>
      <c r="AP516" s="25"/>
      <c r="AQ516" s="25"/>
      <c r="AR516" s="25"/>
      <c r="AS516" s="25"/>
      <c r="AT516" s="25"/>
      <c r="AU516" s="25"/>
      <c r="AV516" s="25"/>
      <c r="AW516" s="25"/>
      <c r="AX516" s="25"/>
      <c r="AY516" s="25"/>
      <c r="AZ516" s="25"/>
      <c r="BA516" s="25"/>
      <c r="BB516" s="25"/>
      <c r="BC516" s="25"/>
      <c r="BD516" s="25"/>
      <c r="BE516" s="25"/>
      <c r="BF516" s="25"/>
      <c r="BG516" s="25"/>
      <c r="BH516" s="25"/>
      <c r="BI516" s="25"/>
      <c r="BJ516" s="25"/>
      <c r="BK516" s="25"/>
      <c r="BL516" s="25"/>
      <c r="BM516" s="25"/>
      <c r="BN516" s="25"/>
      <c r="BO516" s="25"/>
      <c r="BP516" s="25"/>
      <c r="BQ516" s="25"/>
      <c r="BR516" s="25"/>
      <c r="BS516" s="25"/>
      <c r="BT516" s="25"/>
      <c r="BU516" s="25"/>
      <c r="BV516" s="25"/>
      <c r="BW516" s="25"/>
      <c r="BX516" s="25"/>
      <c r="BY516" s="25"/>
      <c r="BZ516" s="25"/>
      <c r="CA516" s="25"/>
      <c r="CB516" s="25"/>
      <c r="CC516" s="25"/>
      <c r="CD516" s="25"/>
      <c r="CE516" s="25"/>
      <c r="CF516" s="25"/>
      <c r="CG516" s="25"/>
      <c r="CH516" s="25"/>
      <c r="CI516" s="25"/>
      <c r="CJ516" s="25"/>
      <c r="CK516" s="25"/>
      <c r="CL516" s="25"/>
      <c r="CM516" s="25"/>
      <c r="CN516" s="25"/>
      <c r="CO516" s="25"/>
      <c r="CP516" s="25"/>
      <c r="CQ516" s="25"/>
      <c r="CR516" s="25"/>
      <c r="CS516" s="25"/>
    </row>
    <row r="517" spans="2:97">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c r="AN517" s="25"/>
      <c r="AO517" s="25"/>
      <c r="AP517" s="25"/>
      <c r="AQ517" s="25"/>
      <c r="AR517" s="25"/>
      <c r="AS517" s="25"/>
      <c r="AT517" s="25"/>
      <c r="AU517" s="25"/>
      <c r="AV517" s="25"/>
      <c r="AW517" s="25"/>
      <c r="AX517" s="25"/>
      <c r="AY517" s="25"/>
      <c r="AZ517" s="25"/>
      <c r="BA517" s="25"/>
      <c r="BB517" s="25"/>
      <c r="BC517" s="25"/>
      <c r="BD517" s="25"/>
      <c r="BE517" s="25"/>
      <c r="BF517" s="25"/>
      <c r="BG517" s="25"/>
      <c r="BH517" s="25"/>
      <c r="BI517" s="25"/>
      <c r="BJ517" s="25"/>
      <c r="BK517" s="25"/>
      <c r="BL517" s="25"/>
      <c r="BM517" s="25"/>
      <c r="BN517" s="25"/>
      <c r="BO517" s="25"/>
      <c r="BP517" s="25"/>
      <c r="BQ517" s="25"/>
      <c r="BR517" s="25"/>
      <c r="BS517" s="25"/>
      <c r="BT517" s="25"/>
      <c r="BU517" s="25"/>
      <c r="BV517" s="25"/>
      <c r="BW517" s="25"/>
      <c r="BX517" s="25"/>
      <c r="BY517" s="25"/>
      <c r="BZ517" s="25"/>
      <c r="CA517" s="25"/>
      <c r="CB517" s="25"/>
      <c r="CC517" s="25"/>
      <c r="CD517" s="25"/>
      <c r="CE517" s="25"/>
      <c r="CF517" s="25"/>
      <c r="CG517" s="25"/>
      <c r="CH517" s="25"/>
      <c r="CI517" s="25"/>
      <c r="CJ517" s="25"/>
      <c r="CK517" s="25"/>
      <c r="CL517" s="25"/>
      <c r="CM517" s="25"/>
      <c r="CN517" s="25"/>
      <c r="CO517" s="25"/>
      <c r="CP517" s="25"/>
      <c r="CQ517" s="25"/>
      <c r="CR517" s="25"/>
      <c r="CS517" s="25"/>
    </row>
    <row r="518" spans="2:97">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c r="AN518" s="25"/>
      <c r="AO518" s="25"/>
      <c r="AP518" s="25"/>
      <c r="AQ518" s="25"/>
      <c r="AR518" s="25"/>
      <c r="AS518" s="25"/>
      <c r="AT518" s="25"/>
      <c r="AU518" s="25"/>
      <c r="AV518" s="25"/>
      <c r="AW518" s="25"/>
      <c r="AX518" s="25"/>
      <c r="AY518" s="25"/>
      <c r="AZ518" s="25"/>
      <c r="BA518" s="25"/>
      <c r="BB518" s="25"/>
      <c r="BC518" s="25"/>
      <c r="BD518" s="25"/>
      <c r="BE518" s="25"/>
      <c r="BF518" s="25"/>
      <c r="BG518" s="25"/>
      <c r="BH518" s="25"/>
      <c r="BI518" s="25"/>
      <c r="BJ518" s="25"/>
      <c r="BK518" s="25"/>
      <c r="BL518" s="25"/>
      <c r="BM518" s="25"/>
      <c r="BN518" s="25"/>
      <c r="BO518" s="25"/>
      <c r="BP518" s="25"/>
      <c r="BQ518" s="25"/>
      <c r="BR518" s="25"/>
      <c r="BS518" s="25"/>
      <c r="BT518" s="25"/>
      <c r="BU518" s="25"/>
      <c r="BV518" s="25"/>
      <c r="BW518" s="25"/>
      <c r="BX518" s="25"/>
      <c r="BY518" s="25"/>
      <c r="BZ518" s="25"/>
      <c r="CA518" s="25"/>
      <c r="CB518" s="25"/>
      <c r="CC518" s="25"/>
      <c r="CD518" s="25"/>
      <c r="CE518" s="25"/>
      <c r="CF518" s="25"/>
      <c r="CG518" s="25"/>
      <c r="CH518" s="25"/>
      <c r="CI518" s="25"/>
      <c r="CJ518" s="25"/>
      <c r="CK518" s="25"/>
      <c r="CL518" s="25"/>
      <c r="CM518" s="25"/>
      <c r="CN518" s="25"/>
      <c r="CO518" s="25"/>
      <c r="CP518" s="25"/>
      <c r="CQ518" s="25"/>
      <c r="CR518" s="25"/>
      <c r="CS518" s="25"/>
    </row>
    <row r="519" spans="2:97">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c r="AN519" s="25"/>
      <c r="AO519" s="25"/>
      <c r="AP519" s="25"/>
      <c r="AQ519" s="25"/>
      <c r="AR519" s="25"/>
      <c r="AS519" s="25"/>
      <c r="AT519" s="25"/>
      <c r="AU519" s="25"/>
      <c r="AV519" s="25"/>
      <c r="AW519" s="25"/>
      <c r="AX519" s="25"/>
      <c r="AY519" s="25"/>
      <c r="AZ519" s="25"/>
      <c r="BA519" s="25"/>
      <c r="BB519" s="25"/>
      <c r="BC519" s="25"/>
      <c r="BD519" s="25"/>
      <c r="BE519" s="25"/>
      <c r="BF519" s="25"/>
      <c r="BG519" s="25"/>
      <c r="BH519" s="25"/>
      <c r="BI519" s="25"/>
      <c r="BJ519" s="25"/>
      <c r="BK519" s="25"/>
      <c r="BL519" s="25"/>
      <c r="BM519" s="25"/>
      <c r="BN519" s="25"/>
      <c r="BO519" s="25"/>
      <c r="BP519" s="25"/>
      <c r="BQ519" s="25"/>
      <c r="BR519" s="25"/>
      <c r="BS519" s="25"/>
      <c r="BT519" s="25"/>
      <c r="BU519" s="25"/>
      <c r="BV519" s="25"/>
      <c r="BW519" s="25"/>
      <c r="BX519" s="25"/>
      <c r="BY519" s="25"/>
      <c r="BZ519" s="25"/>
      <c r="CA519" s="25"/>
      <c r="CB519" s="25"/>
      <c r="CC519" s="25"/>
      <c r="CD519" s="25"/>
      <c r="CE519" s="25"/>
      <c r="CF519" s="25"/>
      <c r="CG519" s="25"/>
      <c r="CH519" s="25"/>
      <c r="CI519" s="25"/>
      <c r="CJ519" s="25"/>
      <c r="CK519" s="25"/>
      <c r="CL519" s="25"/>
      <c r="CM519" s="25"/>
      <c r="CN519" s="25"/>
      <c r="CO519" s="25"/>
      <c r="CP519" s="25"/>
      <c r="CQ519" s="25"/>
      <c r="CR519" s="25"/>
      <c r="CS519" s="25"/>
    </row>
    <row r="520" spans="2:97">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c r="AN520" s="25"/>
      <c r="AO520" s="25"/>
      <c r="AP520" s="25"/>
      <c r="AQ520" s="25"/>
      <c r="AR520" s="25"/>
      <c r="AS520" s="25"/>
      <c r="AT520" s="25"/>
      <c r="AU520" s="25"/>
      <c r="AV520" s="25"/>
      <c r="AW520" s="25"/>
      <c r="AX520" s="25"/>
      <c r="AY520" s="25"/>
      <c r="AZ520" s="25"/>
      <c r="BA520" s="25"/>
      <c r="BB520" s="25"/>
      <c r="BC520" s="25"/>
      <c r="BD520" s="25"/>
      <c r="BE520" s="25"/>
      <c r="BF520" s="25"/>
      <c r="BG520" s="25"/>
      <c r="BH520" s="25"/>
      <c r="BI520" s="25"/>
      <c r="BJ520" s="25"/>
      <c r="BK520" s="25"/>
      <c r="BL520" s="25"/>
      <c r="BM520" s="25"/>
      <c r="BN520" s="25"/>
      <c r="BO520" s="25"/>
      <c r="BP520" s="25"/>
      <c r="BQ520" s="25"/>
      <c r="BR520" s="25"/>
      <c r="BS520" s="25"/>
      <c r="BT520" s="25"/>
      <c r="BU520" s="25"/>
      <c r="BV520" s="25"/>
      <c r="BW520" s="25"/>
      <c r="BX520" s="25"/>
      <c r="BY520" s="25"/>
      <c r="BZ520" s="25"/>
      <c r="CA520" s="25"/>
      <c r="CB520" s="25"/>
      <c r="CC520" s="25"/>
      <c r="CD520" s="25"/>
      <c r="CE520" s="25"/>
      <c r="CF520" s="25"/>
      <c r="CG520" s="25"/>
      <c r="CH520" s="25"/>
      <c r="CI520" s="25"/>
      <c r="CJ520" s="25"/>
      <c r="CK520" s="25"/>
      <c r="CL520" s="25"/>
      <c r="CM520" s="25"/>
      <c r="CN520" s="25"/>
      <c r="CO520" s="25"/>
      <c r="CP520" s="25"/>
      <c r="CQ520" s="25"/>
      <c r="CR520" s="25"/>
      <c r="CS520" s="25"/>
    </row>
    <row r="521" spans="2:97">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c r="AN521" s="25"/>
      <c r="AO521" s="25"/>
      <c r="AP521" s="25"/>
      <c r="AQ521" s="25"/>
      <c r="AR521" s="25"/>
      <c r="AS521" s="25"/>
      <c r="AT521" s="25"/>
      <c r="AU521" s="25"/>
      <c r="AV521" s="25"/>
      <c r="AW521" s="25"/>
      <c r="AX521" s="25"/>
      <c r="AY521" s="25"/>
      <c r="AZ521" s="25"/>
      <c r="BA521" s="25"/>
      <c r="BB521" s="25"/>
      <c r="BC521" s="25"/>
      <c r="BD521" s="25"/>
      <c r="BE521" s="25"/>
      <c r="BF521" s="25"/>
      <c r="BG521" s="25"/>
      <c r="BH521" s="25"/>
      <c r="BI521" s="25"/>
      <c r="BJ521" s="25"/>
      <c r="BK521" s="25"/>
      <c r="BL521" s="25"/>
      <c r="BM521" s="25"/>
      <c r="BN521" s="25"/>
      <c r="BO521" s="25"/>
      <c r="BP521" s="25"/>
      <c r="BQ521" s="25"/>
      <c r="BR521" s="25"/>
      <c r="BS521" s="25"/>
      <c r="BT521" s="25"/>
      <c r="BU521" s="25"/>
      <c r="BV521" s="25"/>
      <c r="BW521" s="25"/>
      <c r="BX521" s="25"/>
      <c r="BY521" s="25"/>
      <c r="BZ521" s="25"/>
      <c r="CA521" s="25"/>
      <c r="CB521" s="25"/>
      <c r="CC521" s="25"/>
      <c r="CD521" s="25"/>
      <c r="CE521" s="25"/>
      <c r="CF521" s="25"/>
      <c r="CG521" s="25"/>
      <c r="CH521" s="25"/>
      <c r="CI521" s="25"/>
      <c r="CJ521" s="25"/>
      <c r="CK521" s="25"/>
      <c r="CL521" s="25"/>
      <c r="CM521" s="25"/>
      <c r="CN521" s="25"/>
      <c r="CO521" s="25"/>
      <c r="CP521" s="25"/>
      <c r="CQ521" s="25"/>
      <c r="CR521" s="25"/>
      <c r="CS521" s="25"/>
    </row>
    <row r="522" spans="2:97">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c r="AN522" s="25"/>
      <c r="AO522" s="25"/>
      <c r="AP522" s="25"/>
      <c r="AQ522" s="25"/>
      <c r="AR522" s="25"/>
      <c r="AS522" s="25"/>
      <c r="AT522" s="25"/>
      <c r="AU522" s="25"/>
      <c r="AV522" s="25"/>
      <c r="AW522" s="25"/>
      <c r="AX522" s="25"/>
      <c r="AY522" s="25"/>
      <c r="AZ522" s="25"/>
      <c r="BA522" s="25"/>
      <c r="BB522" s="25"/>
      <c r="BC522" s="25"/>
      <c r="BD522" s="25"/>
      <c r="BE522" s="25"/>
      <c r="BF522" s="25"/>
      <c r="BG522" s="25"/>
      <c r="BH522" s="25"/>
      <c r="BI522" s="25"/>
      <c r="BJ522" s="25"/>
      <c r="BK522" s="25"/>
      <c r="BL522" s="25"/>
      <c r="BM522" s="25"/>
      <c r="BN522" s="25"/>
      <c r="BO522" s="25"/>
      <c r="BP522" s="25"/>
      <c r="BQ522" s="25"/>
      <c r="BR522" s="25"/>
      <c r="BS522" s="25"/>
      <c r="BT522" s="25"/>
      <c r="BU522" s="25"/>
      <c r="BV522" s="25"/>
      <c r="BW522" s="25"/>
      <c r="BX522" s="25"/>
      <c r="BY522" s="25"/>
      <c r="BZ522" s="25"/>
      <c r="CA522" s="25"/>
      <c r="CB522" s="25"/>
      <c r="CC522" s="25"/>
      <c r="CD522" s="25"/>
      <c r="CE522" s="25"/>
      <c r="CF522" s="25"/>
      <c r="CG522" s="25"/>
      <c r="CH522" s="25"/>
      <c r="CI522" s="25"/>
      <c r="CJ522" s="25"/>
      <c r="CK522" s="25"/>
      <c r="CL522" s="25"/>
      <c r="CM522" s="25"/>
      <c r="CN522" s="25"/>
      <c r="CO522" s="25"/>
      <c r="CP522" s="25"/>
      <c r="CQ522" s="25"/>
      <c r="CR522" s="25"/>
      <c r="CS522" s="25"/>
    </row>
    <row r="523" spans="2:97">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c r="AN523" s="25"/>
      <c r="AO523" s="25"/>
      <c r="AP523" s="25"/>
      <c r="AQ523" s="25"/>
      <c r="AR523" s="25"/>
      <c r="AS523" s="25"/>
      <c r="AT523" s="25"/>
      <c r="AU523" s="25"/>
      <c r="AV523" s="25"/>
      <c r="AW523" s="25"/>
      <c r="AX523" s="25"/>
      <c r="AY523" s="25"/>
      <c r="AZ523" s="25"/>
      <c r="BA523" s="25"/>
      <c r="BB523" s="25"/>
      <c r="BC523" s="25"/>
      <c r="BD523" s="25"/>
      <c r="BE523" s="25"/>
      <c r="BF523" s="25"/>
      <c r="BG523" s="25"/>
      <c r="BH523" s="25"/>
      <c r="BI523" s="25"/>
      <c r="BJ523" s="25"/>
      <c r="BK523" s="25"/>
      <c r="BL523" s="25"/>
      <c r="BM523" s="25"/>
      <c r="BN523" s="25"/>
      <c r="BO523" s="25"/>
      <c r="BP523" s="25"/>
      <c r="BQ523" s="25"/>
      <c r="BR523" s="25"/>
      <c r="BS523" s="25"/>
      <c r="BT523" s="25"/>
      <c r="BU523" s="25"/>
      <c r="BV523" s="25"/>
      <c r="BW523" s="25"/>
      <c r="BX523" s="25"/>
      <c r="BY523" s="25"/>
      <c r="BZ523" s="25"/>
      <c r="CA523" s="25"/>
      <c r="CB523" s="25"/>
      <c r="CC523" s="25"/>
      <c r="CD523" s="25"/>
      <c r="CE523" s="25"/>
      <c r="CF523" s="25"/>
      <c r="CG523" s="25"/>
      <c r="CH523" s="25"/>
      <c r="CI523" s="25"/>
      <c r="CJ523" s="25"/>
      <c r="CK523" s="25"/>
      <c r="CL523" s="25"/>
      <c r="CM523" s="25"/>
      <c r="CN523" s="25"/>
      <c r="CO523" s="25"/>
      <c r="CP523" s="25"/>
      <c r="CQ523" s="25"/>
      <c r="CR523" s="25"/>
      <c r="CS523" s="25"/>
    </row>
  </sheetData>
  <mergeCells count="18">
    <mergeCell ref="M2:M3"/>
    <mergeCell ref="N2:N3"/>
    <mergeCell ref="CP2:CP3"/>
    <mergeCell ref="CQ2:CQ3"/>
    <mergeCell ref="CR2:CR3"/>
    <mergeCell ref="CS2:CS3"/>
    <mergeCell ref="G2:G3"/>
    <mergeCell ref="H2:H3"/>
    <mergeCell ref="I2:I3"/>
    <mergeCell ref="J2:J3"/>
    <mergeCell ref="K2:K3"/>
    <mergeCell ref="L2:L3"/>
    <mergeCell ref="A2:A3"/>
    <mergeCell ref="B2:B3"/>
    <mergeCell ref="C2:C3"/>
    <mergeCell ref="D2:D3"/>
    <mergeCell ref="E2:E3"/>
    <mergeCell ref="F2:F3"/>
  </mergeCells>
  <hyperlinks>
    <hyperlink ref="CR11" r:id="rId1" xr:uid="{BE611727-90EB-490B-8180-ABA905D19286}"/>
    <hyperlink ref="CR9" r:id="rId2" xr:uid="{69EA9B44-3A68-4B8A-96E1-C8A93323C763}"/>
    <hyperlink ref="CR25" r:id="rId3" location="1" xr:uid="{6DED0DD1-243E-4275-9839-3E154FC755B6}"/>
    <hyperlink ref="CR21" r:id="rId4" xr:uid="{27F70C86-03A7-4A1F-8C5A-7DF83977EB86}"/>
    <hyperlink ref="CR23" r:id="rId5" xr:uid="{98518171-5F15-401D-90B8-7774040428C7}"/>
    <hyperlink ref="CR6" r:id="rId6" xr:uid="{0FC7FA55-C226-476B-8D12-A68CAFFC72B8}"/>
    <hyperlink ref="CR14" r:id="rId7" xr:uid="{7E1E5727-ABCD-4471-BC3A-652812BB8B72}"/>
    <hyperlink ref="CR18" r:id="rId8" location="page_scan_tab_contents" display="https://www.jstor.org/stable/43595383?read-now=1&amp;seq=1 - page_scan_tab_contents" xr:uid="{BD573700-BAC4-4E2D-A2BB-67D813456942}"/>
    <hyperlink ref="CR17" r:id="rId9" location="page_scan_tab_contents" display="https://www.jstor.org/stable/43595383?read-now=1&amp;seq=1 - page_scan_tab_contents" xr:uid="{916E074F-3B5C-48E3-BBC8-46B5F6D84E8B}"/>
    <hyperlink ref="CR20" r:id="rId10" location="page_scan_tab_contents" display="https://www.jstor.org/stable/43595383?read-now=1&amp;seq=1 - page_scan_tab_contents" xr:uid="{B9172026-BBC6-4239-92F1-DA92951E47DF}"/>
    <hyperlink ref="CR66" r:id="rId11" xr:uid="{24085E1E-030B-4864-B9B6-7748A48A319D}"/>
    <hyperlink ref="CR65" r:id="rId12" xr:uid="{09832F92-FD62-47C7-B0DA-CEF92DFA9595}"/>
    <hyperlink ref="CR67" r:id="rId13" xr:uid="{2E216AF3-B51E-4DA2-9B18-EF37A8C3C78C}"/>
    <hyperlink ref="CR19" r:id="rId14" location="page_scan_tab_contents" display="https://www.jstor.org/stable/43595383?read-now=1&amp;seq=1 - page_scan_tab_contents" xr:uid="{A4C49DBC-2C4D-4FE9-B255-847E1CA909B8}"/>
    <hyperlink ref="CR12" r:id="rId15" xr:uid="{12182C14-F55D-4EF3-A01B-121EFFBDFFAC}"/>
    <hyperlink ref="CR13" r:id="rId16" xr:uid="{39E5E9F3-159E-498B-9186-BFC12F37B67C}"/>
    <hyperlink ref="CR24" r:id="rId17" xr:uid="{54730473-0F80-475F-A79C-D5D98DD6A0DF}"/>
    <hyperlink ref="CR22" r:id="rId18" xr:uid="{D821A80F-59CF-49B1-BA89-21EB72742F30}"/>
    <hyperlink ref="CR10" r:id="rId19" xr:uid="{BDA70888-D282-4405-A8EE-84DD441A8E7A}"/>
    <hyperlink ref="CR8" r:id="rId20" xr:uid="{5FFDFDA9-2D5A-4DC5-9777-CFE20507F280}"/>
    <hyperlink ref="CR16" r:id="rId21" xr:uid="{55E4DE50-2F20-4F5E-829B-DEF320FB46D8}"/>
    <hyperlink ref="CR30" r:id="rId22" xr:uid="{DD637761-7481-49C8-B3A3-D2CA4C78AB24}"/>
    <hyperlink ref="CR31" r:id="rId23" xr:uid="{F9B8D961-F997-480A-B5FB-B6EBE6C04030}"/>
    <hyperlink ref="CR15" r:id="rId24" xr:uid="{06CAE711-3A82-43C1-9F69-5117815E317C}"/>
    <hyperlink ref="CR37" r:id="rId25" xr:uid="{1B5645DF-EC79-44AC-9A86-F282EEF0137A}"/>
    <hyperlink ref="CR58" r:id="rId26" xr:uid="{F97CC798-75ED-46A6-8F8D-EFAE231FD2F2}"/>
    <hyperlink ref="CR39" r:id="rId27" xr:uid="{81ADB1DF-2B53-4492-AD37-85A80BEBBBDB}"/>
    <hyperlink ref="CR62" r:id="rId28" xr:uid="{B6553AEB-533D-4672-9D18-1D71916017C3}"/>
    <hyperlink ref="CR35" r:id="rId29" xr:uid="{BDC4990C-7C30-4709-B79C-A59F198FDDC4}"/>
    <hyperlink ref="CR36" r:id="rId30" xr:uid="{B410864A-083A-4FA1-A5D0-47349FB50FD1}"/>
    <hyperlink ref="CR64" r:id="rId31" display="https://www.jstage.jst.go.jp/article/jjfe/57/1/57_KJ00009983906/_pdf/-char/ja" xr:uid="{F102C792-6807-4516-81A0-95F3127C2EB1}"/>
    <hyperlink ref="CR48" r:id="rId32" xr:uid="{3CF36917-0FA0-42FF-BC0C-730619359018}"/>
    <hyperlink ref="CR53" r:id="rId33" xr:uid="{352F043A-9C56-473A-A772-2BF74CBF0D7A}"/>
    <hyperlink ref="CR56" r:id="rId34" xr:uid="{964BA9C6-C2FF-4F38-8CF0-94CCC5656CCA}"/>
    <hyperlink ref="CR54" r:id="rId35" xr:uid="{8B1C82DC-DA70-40A6-9A1F-400DD5BBD8C1}"/>
    <hyperlink ref="CR49" r:id="rId36" xr:uid="{49264CD7-4E32-4986-A6AD-BF7EF49179CE}"/>
    <hyperlink ref="CR55" r:id="rId37" xr:uid="{34B5A233-2A59-4648-B839-2414B5F4A13D}"/>
    <hyperlink ref="CR57" r:id="rId38" xr:uid="{4398F8AE-4129-4DFE-84E5-BB316E207456}"/>
    <hyperlink ref="CR61" r:id="rId39" xr:uid="{80969A65-E9D6-44D2-8F3C-C86D42C58D16}"/>
    <hyperlink ref="CR60" r:id="rId40" xr:uid="{BEB04E8B-59D9-4F9F-9D48-B252D59F7C56}"/>
    <hyperlink ref="CR59" r:id="rId41" xr:uid="{57B9461A-0F20-41AC-A4AD-9EF69BC4E783}"/>
    <hyperlink ref="CR47" r:id="rId42" xr:uid="{39FA6FA3-C79B-45B8-89F7-3B737660FC07}"/>
    <hyperlink ref="CR45" r:id="rId43" xr:uid="{5EC7DF57-A4AC-4987-B5BA-5FB1736F6D3E}"/>
    <hyperlink ref="CR43" r:id="rId44" xr:uid="{45C48F82-1329-4DEE-A0BD-632B0A40AC5E}"/>
    <hyperlink ref="CR44" r:id="rId45" xr:uid="{B364DE75-8084-4517-82AD-B40C2A334AB7}"/>
    <hyperlink ref="CR46" r:id="rId46" xr:uid="{514B6CE7-C160-41A0-9703-1C12B63395BB}"/>
    <hyperlink ref="CR40" r:id="rId47" xr:uid="{76E68247-7E40-440D-A1F5-8F9217330AD3}"/>
    <hyperlink ref="CR32" r:id="rId48" xr:uid="{72A4466E-04C4-4DCF-91AC-F0F10BDF65CE}"/>
    <hyperlink ref="CR34" r:id="rId49" xr:uid="{4021AA90-D7E1-4DB8-B561-E73669E6E795}"/>
    <hyperlink ref="CR33" r:id="rId50" xr:uid="{AFC14549-796F-4B2B-BD10-D635D65363D8}"/>
    <hyperlink ref="CR50" r:id="rId51" xr:uid="{DB21C055-9B33-4085-BB45-5C6F58AA6EAF}"/>
    <hyperlink ref="CR41" r:id="rId52" xr:uid="{4D6611C2-7D19-4F80-A5B5-1644734D0F51}"/>
    <hyperlink ref="CR42" r:id="rId53" xr:uid="{D32A7C26-3384-44FC-BE55-61B43CD81977}"/>
    <hyperlink ref="CR70" r:id="rId54" xr:uid="{D19B10BD-6381-434B-B09B-EE5AD1DBF0A2}"/>
    <hyperlink ref="CR71" r:id="rId55" xr:uid="{7591DF09-41E5-48CA-91C4-9C9CEFFD5032}"/>
    <hyperlink ref="CR69" r:id="rId56" xr:uid="{D5E19F2E-BD44-415A-B16E-F7089243B9F4}"/>
    <hyperlink ref="CR80" r:id="rId57" xr:uid="{E70C4DC5-CEE2-4922-A982-899C959FF814}"/>
    <hyperlink ref="CR75" r:id="rId58" xr:uid="{14B2A52F-8325-416E-88E8-DA403EF15E51}"/>
    <hyperlink ref="CR76" r:id="rId59" xr:uid="{F11DC59D-BFDB-4A51-9BA0-856063BC0B1E}"/>
    <hyperlink ref="CR77" r:id="rId60" xr:uid="{79ED8591-EDEF-4BEF-B835-909F10F9F14D}"/>
    <hyperlink ref="CR72" r:id="rId61" xr:uid="{E9484874-9595-4113-94ED-87BC91045361}"/>
    <hyperlink ref="CR78" r:id="rId62" xr:uid="{A2F05776-D2C3-4892-AAA0-2BEEC4826EC4}"/>
    <hyperlink ref="CR74" r:id="rId63" xr:uid="{80E7DA35-4151-4A91-B0ED-630B632FFB96}"/>
    <hyperlink ref="CR68" r:id="rId64" xr:uid="{63054425-333C-426C-94AE-3979743C10FE}"/>
    <hyperlink ref="CR73" r:id="rId65" xr:uid="{8563C2B8-E94C-46F5-AAFE-410D03CD3C24}"/>
    <hyperlink ref="CR84" r:id="rId66" xr:uid="{35AA3FCE-186B-4A3F-9874-DDE261C4C2FD}"/>
    <hyperlink ref="CR79" r:id="rId67" xr:uid="{7EEF9B6A-7A5A-4858-8D82-1E976D9F697F}"/>
    <hyperlink ref="CR26" r:id="rId68" xr:uid="{B58DAE74-84AC-4157-9689-D9067BA8C2B2}"/>
    <hyperlink ref="CR28" r:id="rId69" display="https://advances.sciencemag.org/content/6/12/eaaw5790" xr:uid="{0868A613-646A-4C72-A595-3E1F1CBA8233}"/>
    <hyperlink ref="CR29" r:id="rId70" display="https://advances.sciencemag.org/content/6/12/eaaw5790" xr:uid="{A896BDDE-9607-460F-A537-3A75F7430176}"/>
    <hyperlink ref="CR27" r:id="rId71" display="https://advances.sciencemag.org/content/6/12/eaaw5790" xr:uid="{5F5F5DE7-945B-47D9-8978-8FE62606CE03}"/>
    <hyperlink ref="CR81" r:id="rId72" xr:uid="{74466F65-F1A0-468F-8E7E-8E96117F83BB}"/>
    <hyperlink ref="CR82" r:id="rId73" xr:uid="{C0BD0444-364E-47CB-B932-DBCF79DCE498}"/>
    <hyperlink ref="CR83" r:id="rId74" xr:uid="{3395C48F-01CF-4C99-9524-31358E00CE32}"/>
    <hyperlink ref="CR108" r:id="rId75" xr:uid="{DD876234-1C97-4C5B-AE6E-FE327EBC4047}"/>
    <hyperlink ref="CR105" r:id="rId76" xr:uid="{801EFEF7-1312-4315-85BC-BB7821B17A16}"/>
    <hyperlink ref="CR106" r:id="rId77" xr:uid="{4550563E-321E-4720-8C1E-5518CB3B6402}"/>
    <hyperlink ref="CR91" r:id="rId78" xr:uid="{B4CDFE35-2214-4049-A786-6AFAED2A4ADB}"/>
    <hyperlink ref="CR92" r:id="rId79" xr:uid="{35035D1F-BE51-4120-8674-040E7E2ACD85}"/>
    <hyperlink ref="CR94" r:id="rId80" xr:uid="{B541D01D-F50F-467D-94A6-05C84FAF2990}"/>
    <hyperlink ref="CR107" r:id="rId81" xr:uid="{142019E5-3599-4927-A08C-E2F5CD527491}"/>
    <hyperlink ref="CR99" r:id="rId82" xr:uid="{0F53BF15-6ADC-4DE9-AC0D-377F5B605166}"/>
    <hyperlink ref="CR100" r:id="rId83" xr:uid="{B7E4FE71-2D0E-4E7A-8A18-BC932D7495AE}"/>
    <hyperlink ref="CR101" r:id="rId84" xr:uid="{971EB2BE-EE08-4073-A177-857ABB648B4F}"/>
    <hyperlink ref="CR95" r:id="rId85" xr:uid="{B94D5DBF-4C23-40F8-B542-EEACD4C483BB}"/>
    <hyperlink ref="CR96" r:id="rId86" xr:uid="{635E3D43-13A5-4741-BD37-605CCB18CAB5}"/>
    <hyperlink ref="CR97" r:id="rId87" xr:uid="{FA624BCF-2010-4F8D-A7A3-DA31CBB190C0}"/>
    <hyperlink ref="CR98" r:id="rId88" xr:uid="{271906FA-D49A-4895-818E-6B8336CFDBA1}"/>
    <hyperlink ref="CR90" r:id="rId89" xr:uid="{B78B9C61-1301-4814-B901-C8F6C47DDCEF}"/>
    <hyperlink ref="CR89" r:id="rId90" xr:uid="{33F66F50-070B-43F6-B413-F0ED8EBF2C2C}"/>
    <hyperlink ref="CR4" r:id="rId91" xr:uid="{78D2AEF7-8858-4194-A1D2-4C5E7B92AAA9}"/>
    <hyperlink ref="CR5" r:id="rId92" xr:uid="{B2803263-EC7B-413D-8BDA-1FD4ECE89E3A}"/>
    <hyperlink ref="CR93" r:id="rId93" xr:uid="{0A2CB13F-BB29-427C-BD3D-FE7EB130564F}"/>
    <hyperlink ref="CR85" r:id="rId94" xr:uid="{FB643687-5C0E-4356-BB7C-E4147C0983FF}"/>
    <hyperlink ref="CR86" r:id="rId95" xr:uid="{3D41423E-E7AB-41B1-A3B3-6D9024EC3DBD}"/>
    <hyperlink ref="CR87" r:id="rId96" xr:uid="{CAD57C5D-A072-4626-B8DE-CB4C79982AEC}"/>
    <hyperlink ref="CR88" r:id="rId97" xr:uid="{D896E7D7-F2EE-47BE-B69D-EA36C5631CE0}"/>
  </hyperlinks>
  <pageMargins left="0.7" right="0.7" top="0.75" bottom="0.75" header="0.3" footer="0.3"/>
  <pageSetup paperSize="9" scale="10" orientation="portrait" r:id="rId98"/>
  <drawing r:id="rId9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310C-5586-46C0-926B-DF8B3C8205B8}">
  <dimension ref="A1:CP32"/>
  <sheetViews>
    <sheetView topLeftCell="BW1" workbookViewId="0">
      <selection activeCell="BY6" sqref="BY6:BY8"/>
    </sheetView>
  </sheetViews>
  <sheetFormatPr defaultRowHeight="15"/>
  <sheetData>
    <row r="1" spans="1:9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row>
    <row r="2" spans="1:94">
      <c r="N2" t="s">
        <v>92</v>
      </c>
      <c r="P2" t="s">
        <v>93</v>
      </c>
      <c r="Q2" t="s">
        <v>94</v>
      </c>
      <c r="R2" t="s">
        <v>94</v>
      </c>
      <c r="S2" t="s">
        <v>95</v>
      </c>
      <c r="T2" t="s">
        <v>96</v>
      </c>
      <c r="U2" t="s">
        <v>97</v>
      </c>
      <c r="V2" t="s">
        <v>98</v>
      </c>
      <c r="W2" t="s">
        <v>99</v>
      </c>
      <c r="X2" t="s">
        <v>100</v>
      </c>
      <c r="Y2" t="s">
        <v>101</v>
      </c>
      <c r="Z2" t="s">
        <v>101</v>
      </c>
      <c r="AA2" t="s">
        <v>101</v>
      </c>
      <c r="AB2" t="s">
        <v>102</v>
      </c>
      <c r="AC2" t="s">
        <v>102</v>
      </c>
      <c r="AD2" t="s">
        <v>103</v>
      </c>
      <c r="AE2" t="s">
        <v>104</v>
      </c>
      <c r="AF2" t="s">
        <v>104</v>
      </c>
      <c r="AG2" t="s">
        <v>104</v>
      </c>
      <c r="AH2" t="s">
        <v>105</v>
      </c>
      <c r="AI2" t="s">
        <v>105</v>
      </c>
      <c r="AJ2" t="s">
        <v>105</v>
      </c>
      <c r="AK2" t="s">
        <v>106</v>
      </c>
      <c r="AL2" t="s">
        <v>106</v>
      </c>
      <c r="AM2" t="s">
        <v>106</v>
      </c>
      <c r="AN2" t="s">
        <v>106</v>
      </c>
      <c r="AO2" t="s">
        <v>106</v>
      </c>
      <c r="AP2" t="s">
        <v>106</v>
      </c>
      <c r="AQ2" t="s">
        <v>106</v>
      </c>
      <c r="AR2" t="s">
        <v>106</v>
      </c>
      <c r="AS2" t="s">
        <v>107</v>
      </c>
      <c r="AT2" t="s">
        <v>107</v>
      </c>
      <c r="AU2" t="s">
        <v>107</v>
      </c>
      <c r="AV2" t="s">
        <v>108</v>
      </c>
      <c r="AW2" t="s">
        <v>109</v>
      </c>
      <c r="AX2" t="s">
        <v>94</v>
      </c>
      <c r="AY2" t="s">
        <v>110</v>
      </c>
      <c r="AZ2" t="s">
        <v>95</v>
      </c>
      <c r="BA2" t="s">
        <v>111</v>
      </c>
      <c r="BB2" t="s">
        <v>111</v>
      </c>
      <c r="BC2" t="s">
        <v>95</v>
      </c>
      <c r="BD2" t="s">
        <v>95</v>
      </c>
      <c r="BE2" t="s">
        <v>95</v>
      </c>
      <c r="BF2" t="s">
        <v>95</v>
      </c>
      <c r="BG2" t="s">
        <v>95</v>
      </c>
      <c r="BH2" t="s">
        <v>95</v>
      </c>
      <c r="BI2" t="s">
        <v>95</v>
      </c>
      <c r="BJ2" t="s">
        <v>95</v>
      </c>
      <c r="BK2" t="s">
        <v>95</v>
      </c>
      <c r="BL2" t="s">
        <v>112</v>
      </c>
      <c r="BM2" t="s">
        <v>112</v>
      </c>
      <c r="BN2" t="s">
        <v>112</v>
      </c>
      <c r="BO2" t="s">
        <v>112</v>
      </c>
      <c r="BQ2" t="s">
        <v>112</v>
      </c>
      <c r="BR2" t="s">
        <v>112</v>
      </c>
      <c r="BS2" t="s">
        <v>112</v>
      </c>
      <c r="BT2" t="s">
        <v>112</v>
      </c>
      <c r="BU2" t="s">
        <v>112</v>
      </c>
      <c r="BV2" t="s">
        <v>112</v>
      </c>
      <c r="BW2" t="s">
        <v>112</v>
      </c>
      <c r="BX2" t="s">
        <v>112</v>
      </c>
      <c r="BY2" t="s">
        <v>112</v>
      </c>
      <c r="BZ2" t="s">
        <v>113</v>
      </c>
      <c r="CA2" t="s">
        <v>113</v>
      </c>
      <c r="CB2" t="s">
        <v>113</v>
      </c>
      <c r="CC2" t="s">
        <v>113</v>
      </c>
      <c r="CD2" t="s">
        <v>113</v>
      </c>
      <c r="CE2" t="s">
        <v>113</v>
      </c>
      <c r="CF2" t="s">
        <v>113</v>
      </c>
      <c r="CG2" t="s">
        <v>113</v>
      </c>
      <c r="CH2" t="s">
        <v>113</v>
      </c>
      <c r="CI2" t="s">
        <v>113</v>
      </c>
      <c r="CJ2" t="s">
        <v>113</v>
      </c>
      <c r="CK2" t="s">
        <v>113</v>
      </c>
      <c r="CL2" t="s">
        <v>113</v>
      </c>
    </row>
    <row r="3" spans="1:94">
      <c r="A3" t="s">
        <v>374</v>
      </c>
      <c r="B3" t="s">
        <v>427</v>
      </c>
      <c r="C3" t="s">
        <v>465</v>
      </c>
      <c r="D3" t="s">
        <v>440</v>
      </c>
      <c r="E3" t="s">
        <v>441</v>
      </c>
      <c r="F3">
        <v>2019</v>
      </c>
      <c r="G3">
        <v>2019</v>
      </c>
      <c r="H3">
        <v>1</v>
      </c>
      <c r="I3">
        <v>0</v>
      </c>
      <c r="J3">
        <v>1</v>
      </c>
      <c r="K3">
        <v>1</v>
      </c>
      <c r="L3">
        <v>0</v>
      </c>
      <c r="M3">
        <v>0</v>
      </c>
      <c r="N3">
        <v>16.91</v>
      </c>
      <c r="O3">
        <v>142.9</v>
      </c>
      <c r="P3">
        <v>1407.5</v>
      </c>
      <c r="Q3">
        <v>7</v>
      </c>
      <c r="R3">
        <v>65</v>
      </c>
      <c r="S3">
        <v>66.75</v>
      </c>
      <c r="T3">
        <v>1817.3</v>
      </c>
      <c r="U3">
        <v>2.1</v>
      </c>
      <c r="AV3">
        <v>9184</v>
      </c>
      <c r="AW3">
        <v>9.6999999999999993</v>
      </c>
      <c r="AY3">
        <v>69.7</v>
      </c>
      <c r="BL3">
        <v>1.7</v>
      </c>
      <c r="BM3">
        <v>5.8</v>
      </c>
      <c r="BN3">
        <v>60.9</v>
      </c>
      <c r="BO3">
        <v>68.400000000000006</v>
      </c>
      <c r="BP3">
        <v>0.36</v>
      </c>
      <c r="BQ3">
        <v>5.0999999999999996</v>
      </c>
      <c r="BR3">
        <v>12.8</v>
      </c>
      <c r="BS3">
        <v>6.7</v>
      </c>
      <c r="BT3">
        <v>24.6</v>
      </c>
      <c r="BU3">
        <v>93</v>
      </c>
      <c r="BZ3">
        <v>1.4348653846153848E-2</v>
      </c>
      <c r="CA3">
        <v>9.410050704225352E-2</v>
      </c>
      <c r="CB3">
        <v>1.561800477137177</v>
      </c>
    </row>
    <row r="4" spans="1:94">
      <c r="A4" t="s">
        <v>374</v>
      </c>
      <c r="B4" t="s">
        <v>427</v>
      </c>
      <c r="C4" t="s">
        <v>465</v>
      </c>
      <c r="D4" t="s">
        <v>659</v>
      </c>
      <c r="E4" t="s">
        <v>660</v>
      </c>
      <c r="F4">
        <v>1983</v>
      </c>
      <c r="G4">
        <v>1991</v>
      </c>
      <c r="BL4">
        <v>2.6</v>
      </c>
      <c r="BM4">
        <v>7.1</v>
      </c>
      <c r="BN4">
        <v>50.3</v>
      </c>
      <c r="BO4">
        <v>60</v>
      </c>
      <c r="BQ4">
        <v>18.7</v>
      </c>
      <c r="BT4">
        <v>18.7</v>
      </c>
      <c r="BU4">
        <v>78.7</v>
      </c>
      <c r="BV4">
        <v>7</v>
      </c>
      <c r="BW4">
        <v>94.2</v>
      </c>
      <c r="BZ4">
        <v>2.1945000000000003E-2</v>
      </c>
      <c r="CA4">
        <v>0.11519199999999999</v>
      </c>
      <c r="CB4">
        <v>1.28996</v>
      </c>
    </row>
    <row r="5" spans="1:94">
      <c r="A5" t="s">
        <v>114</v>
      </c>
      <c r="B5" t="s">
        <v>664</v>
      </c>
      <c r="C5" t="s">
        <v>116</v>
      </c>
      <c r="D5" t="s">
        <v>669</v>
      </c>
      <c r="E5" t="s">
        <v>670</v>
      </c>
      <c r="F5">
        <v>2007</v>
      </c>
      <c r="G5">
        <v>2009</v>
      </c>
      <c r="H5">
        <v>0</v>
      </c>
      <c r="I5">
        <v>0</v>
      </c>
      <c r="J5">
        <v>0</v>
      </c>
      <c r="K5">
        <v>0</v>
      </c>
      <c r="L5">
        <v>0</v>
      </c>
      <c r="M5">
        <v>0</v>
      </c>
      <c r="N5">
        <v>20.3</v>
      </c>
      <c r="O5">
        <v>183.60000000000002</v>
      </c>
      <c r="P5">
        <v>3389</v>
      </c>
      <c r="Q5">
        <v>0</v>
      </c>
      <c r="R5">
        <v>667</v>
      </c>
      <c r="S5">
        <v>85.2</v>
      </c>
      <c r="T5">
        <v>1599.1</v>
      </c>
      <c r="U5">
        <v>1.26</v>
      </c>
      <c r="W5">
        <v>3.7749999999999999</v>
      </c>
      <c r="X5">
        <v>4.5999999999999996</v>
      </c>
      <c r="Y5">
        <v>0.47500000000000003</v>
      </c>
      <c r="AB5">
        <v>1.8666666666666667</v>
      </c>
      <c r="AD5">
        <v>2.38</v>
      </c>
      <c r="AE5">
        <v>0.52439999999999998</v>
      </c>
      <c r="AF5">
        <v>1.2199499999999999</v>
      </c>
      <c r="AG5">
        <v>0.77774999999999994</v>
      </c>
      <c r="AH5">
        <v>37</v>
      </c>
      <c r="AI5">
        <v>34.9</v>
      </c>
      <c r="AJ5">
        <v>32.200000000000003</v>
      </c>
      <c r="AV5">
        <v>7933</v>
      </c>
      <c r="AW5">
        <v>6.8</v>
      </c>
      <c r="AX5">
        <v>10.3</v>
      </c>
      <c r="AY5">
        <v>28.810126226192569</v>
      </c>
      <c r="BC5">
        <v>45.44</v>
      </c>
      <c r="BD5">
        <v>48.15</v>
      </c>
      <c r="BE5">
        <v>46.28</v>
      </c>
      <c r="BF5">
        <v>44.87</v>
      </c>
      <c r="BG5">
        <v>44.87</v>
      </c>
      <c r="BH5">
        <v>43.54</v>
      </c>
      <c r="BJ5">
        <v>3.52</v>
      </c>
      <c r="BK5">
        <v>2.27</v>
      </c>
      <c r="BL5">
        <v>1.63584</v>
      </c>
      <c r="BM5">
        <v>4.6705499999999995</v>
      </c>
      <c r="BN5">
        <v>19.946680000000001</v>
      </c>
      <c r="BO5">
        <v>26.253070000000001</v>
      </c>
      <c r="BP5">
        <v>0.133317741506041</v>
      </c>
      <c r="BQ5">
        <v>0.9</v>
      </c>
      <c r="BR5">
        <v>0.5</v>
      </c>
      <c r="BS5">
        <v>2.1</v>
      </c>
      <c r="BT5">
        <v>3.5</v>
      </c>
      <c r="BU5">
        <f>BO5+BT5</f>
        <v>29.753070000000001</v>
      </c>
      <c r="BW5">
        <v>172.8</v>
      </c>
      <c r="BY5">
        <f>BU5+$BW$5</f>
        <v>202.55307000000002</v>
      </c>
      <c r="BZ5">
        <v>1.380711876923077E-2</v>
      </c>
      <c r="CA5">
        <v>7.5776055718309851E-2</v>
      </c>
      <c r="CB5">
        <v>0.51153915174552689</v>
      </c>
      <c r="CD5">
        <v>0.60112232623306749</v>
      </c>
      <c r="CM5" t="s">
        <v>661</v>
      </c>
      <c r="CN5" t="s">
        <v>120</v>
      </c>
      <c r="CO5" t="s">
        <v>662</v>
      </c>
      <c r="CP5" t="s">
        <v>122</v>
      </c>
    </row>
    <row r="6" spans="1:94">
      <c r="A6" t="s">
        <v>114</v>
      </c>
      <c r="B6" t="s">
        <v>664</v>
      </c>
      <c r="C6" t="s">
        <v>116</v>
      </c>
      <c r="D6" t="s">
        <v>671</v>
      </c>
      <c r="E6" t="s">
        <v>672</v>
      </c>
      <c r="F6">
        <v>2007</v>
      </c>
      <c r="G6">
        <v>2007</v>
      </c>
      <c r="H6">
        <v>0</v>
      </c>
      <c r="I6">
        <v>0</v>
      </c>
      <c r="J6">
        <v>0</v>
      </c>
      <c r="K6">
        <v>0</v>
      </c>
      <c r="L6">
        <v>0</v>
      </c>
      <c r="M6">
        <v>0</v>
      </c>
      <c r="N6">
        <v>20.3</v>
      </c>
      <c r="O6">
        <v>183.60000000000002</v>
      </c>
      <c r="P6">
        <v>3389</v>
      </c>
      <c r="Q6">
        <v>0</v>
      </c>
      <c r="R6">
        <v>667</v>
      </c>
      <c r="S6">
        <v>85.2</v>
      </c>
      <c r="T6">
        <v>1599.1</v>
      </c>
      <c r="U6">
        <v>1.26</v>
      </c>
      <c r="AV6">
        <v>7600</v>
      </c>
      <c r="AW6">
        <v>6.4</v>
      </c>
      <c r="AX6">
        <v>10.1</v>
      </c>
      <c r="BC6">
        <v>45.44</v>
      </c>
      <c r="BD6">
        <v>48.15</v>
      </c>
      <c r="BE6">
        <v>46.28</v>
      </c>
      <c r="BL6">
        <v>1.4705260756170611</v>
      </c>
      <c r="BM6">
        <v>4.1985558260424396</v>
      </c>
      <c r="BN6">
        <v>17.930918098340499</v>
      </c>
      <c r="BO6">
        <v>23.6</v>
      </c>
      <c r="BP6">
        <v>0.133317741506041</v>
      </c>
      <c r="BQ6">
        <v>0.80904823702523176</v>
      </c>
      <c r="BR6">
        <v>0.44947124279179534</v>
      </c>
      <c r="BS6">
        <v>1.8877792197255405</v>
      </c>
      <c r="BT6">
        <v>3.1462986995425677</v>
      </c>
      <c r="BU6">
        <f t="shared" ref="BU6:BU14" si="0">BO6+BT6</f>
        <v>26.746298699542571</v>
      </c>
      <c r="BW6">
        <v>172.8</v>
      </c>
      <c r="BY6">
        <f t="shared" ref="BY6:BY14" si="1">BU6+$BW$5</f>
        <v>199.54629869954258</v>
      </c>
      <c r="BZ6" t="s">
        <v>673</v>
      </c>
      <c r="CA6" t="s">
        <v>673</v>
      </c>
      <c r="CB6" t="s">
        <v>673</v>
      </c>
      <c r="CD6" t="s">
        <v>673</v>
      </c>
      <c r="CM6" t="s">
        <v>663</v>
      </c>
      <c r="CN6" t="s">
        <v>120</v>
      </c>
      <c r="CO6" t="s">
        <v>527</v>
      </c>
      <c r="CP6" t="s">
        <v>122</v>
      </c>
    </row>
    <row r="7" spans="1:94">
      <c r="A7" t="s">
        <v>114</v>
      </c>
      <c r="B7" t="s">
        <v>664</v>
      </c>
      <c r="C7" t="s">
        <v>116</v>
      </c>
      <c r="D7" t="s">
        <v>674</v>
      </c>
      <c r="E7" t="s">
        <v>675</v>
      </c>
      <c r="F7">
        <v>2007</v>
      </c>
      <c r="G7">
        <v>2008</v>
      </c>
      <c r="H7">
        <v>0</v>
      </c>
      <c r="I7">
        <v>0</v>
      </c>
      <c r="J7">
        <v>0</v>
      </c>
      <c r="K7">
        <v>0</v>
      </c>
      <c r="L7">
        <v>0</v>
      </c>
      <c r="M7">
        <v>0</v>
      </c>
      <c r="AV7">
        <v>10833</v>
      </c>
      <c r="AW7">
        <v>5.9</v>
      </c>
      <c r="AX7">
        <v>9.5</v>
      </c>
      <c r="BC7">
        <v>45.44</v>
      </c>
      <c r="BD7">
        <v>48.15</v>
      </c>
      <c r="BE7">
        <v>46.28</v>
      </c>
      <c r="BL7">
        <v>1.7322298687353517</v>
      </c>
      <c r="BM7">
        <v>4.9457564391516877</v>
      </c>
      <c r="BN7">
        <v>21.122013692112962</v>
      </c>
      <c r="BO7">
        <v>27.8</v>
      </c>
      <c r="BP7">
        <v>0.133317741506041</v>
      </c>
      <c r="BQ7">
        <v>0.95303139785175606</v>
      </c>
      <c r="BR7">
        <v>0.52946188769541991</v>
      </c>
      <c r="BS7">
        <v>2.2237399283207639</v>
      </c>
      <c r="BT7">
        <v>3.7062332138679399</v>
      </c>
      <c r="BU7">
        <f t="shared" si="0"/>
        <v>31.50623321386794</v>
      </c>
      <c r="BY7">
        <f t="shared" si="1"/>
        <v>204.30623321386796</v>
      </c>
      <c r="BZ7">
        <v>0.25547275042499784</v>
      </c>
      <c r="CA7">
        <v>0.72941012232093227</v>
      </c>
      <c r="CB7">
        <v>3.1151171272540692</v>
      </c>
      <c r="CD7">
        <v>4.0999999999999996</v>
      </c>
      <c r="CM7" t="s">
        <v>663</v>
      </c>
      <c r="CN7" t="s">
        <v>120</v>
      </c>
      <c r="CO7" t="s">
        <v>527</v>
      </c>
      <c r="CP7" t="s">
        <v>122</v>
      </c>
    </row>
    <row r="8" spans="1:94">
      <c r="A8" t="s">
        <v>114</v>
      </c>
      <c r="B8" t="s">
        <v>664</v>
      </c>
      <c r="C8" t="s">
        <v>116</v>
      </c>
      <c r="D8" t="s">
        <v>676</v>
      </c>
      <c r="E8" t="s">
        <v>677</v>
      </c>
      <c r="F8">
        <v>2008</v>
      </c>
      <c r="G8">
        <v>2009</v>
      </c>
      <c r="H8">
        <v>0</v>
      </c>
      <c r="I8">
        <v>0</v>
      </c>
      <c r="J8">
        <v>0</v>
      </c>
      <c r="K8">
        <v>0</v>
      </c>
      <c r="L8">
        <v>0</v>
      </c>
      <c r="M8">
        <v>0</v>
      </c>
      <c r="AV8">
        <v>11467</v>
      </c>
      <c r="AW8">
        <v>5.9</v>
      </c>
      <c r="AX8">
        <v>9.5</v>
      </c>
      <c r="BC8">
        <v>45.44</v>
      </c>
      <c r="BD8">
        <v>48.15</v>
      </c>
      <c r="BE8">
        <v>46.28</v>
      </c>
      <c r="BL8">
        <v>1.8381575945213262</v>
      </c>
      <c r="BM8">
        <v>5.2481947825530497</v>
      </c>
      <c r="BN8">
        <v>22.413647622925623</v>
      </c>
      <c r="BO8">
        <v>29.5</v>
      </c>
      <c r="BP8">
        <v>0.133317741506041</v>
      </c>
      <c r="BQ8">
        <v>1.0113102962815397</v>
      </c>
      <c r="BR8">
        <v>0.56183905348974417</v>
      </c>
      <c r="BS8">
        <v>2.3597240246569258</v>
      </c>
      <c r="BT8">
        <v>3.9328733744282096</v>
      </c>
      <c r="BU8">
        <f t="shared" si="0"/>
        <v>33.432873374428212</v>
      </c>
      <c r="BY8">
        <f t="shared" si="1"/>
        <v>206.23287337442821</v>
      </c>
      <c r="BZ8">
        <v>0.10592772578597473</v>
      </c>
      <c r="CA8">
        <v>0.30243834340136216</v>
      </c>
      <c r="CB8">
        <v>1.291633930812663</v>
      </c>
      <c r="CD8">
        <v>1.7</v>
      </c>
      <c r="CM8" t="s">
        <v>663</v>
      </c>
      <c r="CN8" t="s">
        <v>120</v>
      </c>
      <c r="CO8" t="s">
        <v>527</v>
      </c>
      <c r="CP8" t="s">
        <v>122</v>
      </c>
    </row>
    <row r="9" spans="1:94">
      <c r="A9" t="s">
        <v>114</v>
      </c>
      <c r="B9" t="s">
        <v>664</v>
      </c>
      <c r="C9" t="s">
        <v>116</v>
      </c>
      <c r="D9" t="s">
        <v>678</v>
      </c>
      <c r="E9" t="s">
        <v>679</v>
      </c>
      <c r="F9">
        <v>2007</v>
      </c>
      <c r="G9">
        <v>2007</v>
      </c>
      <c r="H9">
        <v>1</v>
      </c>
      <c r="I9">
        <v>0</v>
      </c>
      <c r="J9">
        <v>1</v>
      </c>
      <c r="K9">
        <v>0</v>
      </c>
      <c r="L9">
        <v>0</v>
      </c>
      <c r="M9">
        <v>0</v>
      </c>
      <c r="N9">
        <v>20.3</v>
      </c>
      <c r="O9">
        <v>183.60000000000002</v>
      </c>
      <c r="P9">
        <v>3389</v>
      </c>
      <c r="Q9">
        <v>0</v>
      </c>
      <c r="R9">
        <v>667</v>
      </c>
      <c r="S9">
        <v>85.2</v>
      </c>
      <c r="T9">
        <v>1657.133</v>
      </c>
      <c r="U9">
        <v>1.2944439999999999</v>
      </c>
      <c r="AV9">
        <v>5533</v>
      </c>
      <c r="AW9">
        <v>6.7</v>
      </c>
      <c r="AX9">
        <v>10.6</v>
      </c>
      <c r="BC9">
        <v>45.44</v>
      </c>
      <c r="BD9">
        <v>48.15</v>
      </c>
      <c r="BE9">
        <v>46.28</v>
      </c>
      <c r="BL9">
        <v>1.252439581351819</v>
      </c>
      <c r="BM9">
        <v>3.5758886484514001</v>
      </c>
      <c r="BN9">
        <v>15.271671770196781</v>
      </c>
      <c r="BO9">
        <v>20.100000000000001</v>
      </c>
      <c r="BP9">
        <v>0.133317741506041</v>
      </c>
      <c r="BQ9">
        <v>0.80149667264621838</v>
      </c>
      <c r="BR9">
        <v>0.44527592924789899</v>
      </c>
      <c r="BS9">
        <v>1.8701589028411758</v>
      </c>
      <c r="BT9">
        <v>3.1169315047352932</v>
      </c>
      <c r="BU9">
        <f t="shared" si="0"/>
        <v>23.216931504735296</v>
      </c>
      <c r="BW9">
        <v>172.8</v>
      </c>
      <c r="BY9">
        <f t="shared" si="1"/>
        <v>196.01693150473531</v>
      </c>
      <c r="BZ9" t="s">
        <v>673</v>
      </c>
      <c r="CA9" t="s">
        <v>673</v>
      </c>
      <c r="CB9" t="s">
        <v>673</v>
      </c>
      <c r="CD9" t="s">
        <v>673</v>
      </c>
      <c r="CM9" t="s">
        <v>663</v>
      </c>
      <c r="CN9" t="s">
        <v>120</v>
      </c>
      <c r="CO9" t="s">
        <v>527</v>
      </c>
      <c r="CP9" t="s">
        <v>122</v>
      </c>
    </row>
    <row r="10" spans="1:94">
      <c r="A10" t="s">
        <v>114</v>
      </c>
      <c r="B10" t="s">
        <v>664</v>
      </c>
      <c r="C10" t="s">
        <v>116</v>
      </c>
      <c r="D10" t="s">
        <v>680</v>
      </c>
      <c r="E10" t="s">
        <v>681</v>
      </c>
      <c r="F10">
        <v>2007</v>
      </c>
      <c r="G10">
        <v>2008</v>
      </c>
      <c r="H10">
        <v>1</v>
      </c>
      <c r="I10">
        <v>0</v>
      </c>
      <c r="J10">
        <v>1</v>
      </c>
      <c r="K10">
        <v>0</v>
      </c>
      <c r="L10">
        <v>0</v>
      </c>
      <c r="M10">
        <v>0</v>
      </c>
      <c r="N10">
        <v>20.3</v>
      </c>
      <c r="O10">
        <v>183.60000000000002</v>
      </c>
      <c r="P10">
        <v>3389</v>
      </c>
      <c r="Q10">
        <v>0</v>
      </c>
      <c r="R10">
        <v>667</v>
      </c>
      <c r="S10">
        <v>85.2</v>
      </c>
      <c r="T10">
        <v>1657.133</v>
      </c>
      <c r="U10">
        <v>1.2944439999999999</v>
      </c>
      <c r="AV10">
        <v>9933</v>
      </c>
      <c r="AW10">
        <v>5.9</v>
      </c>
      <c r="AX10">
        <v>9.5</v>
      </c>
      <c r="BC10">
        <v>45.44</v>
      </c>
      <c r="BD10">
        <v>48.15</v>
      </c>
      <c r="BE10">
        <v>46.28</v>
      </c>
      <c r="BL10">
        <v>1.6699194418024252</v>
      </c>
      <c r="BM10">
        <v>4.7678515312685334</v>
      </c>
      <c r="BN10">
        <v>20.36222902692904</v>
      </c>
      <c r="BO10">
        <v>26.8</v>
      </c>
      <c r="BP10">
        <v>0.133317741506041</v>
      </c>
      <c r="BQ10">
        <v>0.94774830544429367</v>
      </c>
      <c r="BR10">
        <v>0.52652683635794084</v>
      </c>
      <c r="BS10">
        <v>2.2114127127033516</v>
      </c>
      <c r="BT10">
        <v>3.685687854505586</v>
      </c>
      <c r="BU10">
        <f t="shared" si="0"/>
        <v>30.485687854505585</v>
      </c>
      <c r="BY10">
        <f t="shared" si="1"/>
        <v>203.2856878545056</v>
      </c>
      <c r="BZ10">
        <v>0.41747986045060631</v>
      </c>
      <c r="CA10">
        <v>1.1919628828171334</v>
      </c>
      <c r="CB10">
        <v>5.0905572567322599</v>
      </c>
      <c r="CD10">
        <v>6.7</v>
      </c>
      <c r="CM10" t="s">
        <v>663</v>
      </c>
      <c r="CN10" t="s">
        <v>120</v>
      </c>
      <c r="CO10" t="s">
        <v>527</v>
      </c>
      <c r="CP10" t="s">
        <v>122</v>
      </c>
    </row>
    <row r="11" spans="1:94">
      <c r="A11" t="s">
        <v>114</v>
      </c>
      <c r="B11" t="s">
        <v>664</v>
      </c>
      <c r="C11" t="s">
        <v>116</v>
      </c>
      <c r="D11" t="s">
        <v>682</v>
      </c>
      <c r="E11" t="s">
        <v>683</v>
      </c>
      <c r="F11">
        <v>2008</v>
      </c>
      <c r="G11">
        <v>2009</v>
      </c>
      <c r="H11">
        <v>1</v>
      </c>
      <c r="I11">
        <v>0</v>
      </c>
      <c r="J11">
        <v>1</v>
      </c>
      <c r="K11">
        <v>0</v>
      </c>
      <c r="L11">
        <v>0</v>
      </c>
      <c r="M11">
        <v>0</v>
      </c>
      <c r="N11">
        <v>20.3</v>
      </c>
      <c r="O11">
        <v>183.60000000000002</v>
      </c>
      <c r="P11">
        <v>3389</v>
      </c>
      <c r="Q11">
        <v>0</v>
      </c>
      <c r="R11">
        <v>667</v>
      </c>
      <c r="S11">
        <v>85.2</v>
      </c>
      <c r="T11">
        <v>1657.133</v>
      </c>
      <c r="U11">
        <v>1.2944439999999999</v>
      </c>
      <c r="AV11">
        <v>11467</v>
      </c>
      <c r="AW11">
        <v>5.9</v>
      </c>
      <c r="AX11">
        <v>9.5</v>
      </c>
      <c r="AY11">
        <v>31.350445534820999</v>
      </c>
      <c r="BC11">
        <v>45.44</v>
      </c>
      <c r="BD11">
        <v>48.15</v>
      </c>
      <c r="BE11">
        <v>46.28</v>
      </c>
      <c r="BL11">
        <v>1.7633850822018147</v>
      </c>
      <c r="BM11">
        <v>5.0347088930932644</v>
      </c>
      <c r="BN11">
        <v>21.501906024704919</v>
      </c>
      <c r="BO11">
        <v>28.4</v>
      </c>
      <c r="BP11">
        <v>0.133317741506041</v>
      </c>
      <c r="BQ11">
        <v>0.99293282919446302</v>
      </c>
      <c r="BR11">
        <v>0.55162934955247933</v>
      </c>
      <c r="BS11">
        <v>2.3168432681204134</v>
      </c>
      <c r="BT11">
        <v>3.8614054468673555</v>
      </c>
      <c r="BU11">
        <f t="shared" si="0"/>
        <v>32.261405446867357</v>
      </c>
      <c r="BY11">
        <f t="shared" si="1"/>
        <v>205.06140544686735</v>
      </c>
      <c r="BZ11">
        <v>9.3465640399389469E-2</v>
      </c>
      <c r="CA11">
        <v>0.2668573618247313</v>
      </c>
      <c r="CB11">
        <v>1.1396769977758792</v>
      </c>
      <c r="CD11">
        <v>1.5</v>
      </c>
      <c r="CM11" t="s">
        <v>663</v>
      </c>
      <c r="CN11" t="s">
        <v>120</v>
      </c>
      <c r="CO11" t="s">
        <v>527</v>
      </c>
      <c r="CP11" t="s">
        <v>122</v>
      </c>
    </row>
    <row r="12" spans="1:94">
      <c r="A12" t="s">
        <v>114</v>
      </c>
      <c r="B12" t="s">
        <v>664</v>
      </c>
      <c r="C12" t="s">
        <v>116</v>
      </c>
      <c r="D12" t="s">
        <v>684</v>
      </c>
      <c r="E12" t="s">
        <v>685</v>
      </c>
      <c r="F12">
        <v>2007</v>
      </c>
      <c r="G12">
        <v>2007</v>
      </c>
      <c r="H12">
        <v>1</v>
      </c>
      <c r="I12">
        <v>0</v>
      </c>
      <c r="J12">
        <v>1</v>
      </c>
      <c r="K12">
        <v>0</v>
      </c>
      <c r="L12">
        <v>1</v>
      </c>
      <c r="M12">
        <v>0</v>
      </c>
      <c r="N12">
        <v>20.3</v>
      </c>
      <c r="O12">
        <v>183.60000000000002</v>
      </c>
      <c r="P12">
        <v>3389</v>
      </c>
      <c r="Q12">
        <v>0</v>
      </c>
      <c r="R12">
        <v>667</v>
      </c>
      <c r="S12">
        <v>85.2</v>
      </c>
      <c r="T12">
        <v>1657.133</v>
      </c>
      <c r="U12">
        <v>1.2944439999999999</v>
      </c>
      <c r="AV12">
        <v>0</v>
      </c>
      <c r="AW12">
        <v>0</v>
      </c>
      <c r="AX12">
        <v>0</v>
      </c>
      <c r="AY12">
        <v>0</v>
      </c>
      <c r="BC12" t="s">
        <v>673</v>
      </c>
      <c r="BD12" t="s">
        <v>673</v>
      </c>
      <c r="BE12" t="s">
        <v>673</v>
      </c>
      <c r="BL12" t="s">
        <v>673</v>
      </c>
      <c r="BM12" t="s">
        <v>673</v>
      </c>
      <c r="BN12" t="s">
        <v>673</v>
      </c>
      <c r="BO12" t="s">
        <v>673</v>
      </c>
      <c r="BP12" t="s">
        <v>673</v>
      </c>
      <c r="BQ12">
        <v>1.1033938182888849</v>
      </c>
      <c r="BR12">
        <v>0.6129965657160471</v>
      </c>
      <c r="BS12">
        <v>2.5745855760073977</v>
      </c>
      <c r="BT12">
        <v>4.2909759600123296</v>
      </c>
      <c r="BU12">
        <f>BT12</f>
        <v>4.2909759600123296</v>
      </c>
      <c r="BW12">
        <v>172.8</v>
      </c>
      <c r="BY12">
        <f t="shared" si="1"/>
        <v>177.09097596001234</v>
      </c>
      <c r="BZ12" t="s">
        <v>673</v>
      </c>
      <c r="CA12" t="s">
        <v>673</v>
      </c>
      <c r="CB12" t="s">
        <v>673</v>
      </c>
      <c r="CC12" t="s">
        <v>673</v>
      </c>
      <c r="CD12" t="s">
        <v>673</v>
      </c>
      <c r="CM12" t="s">
        <v>663</v>
      </c>
      <c r="CN12" t="s">
        <v>120</v>
      </c>
      <c r="CO12" t="s">
        <v>527</v>
      </c>
      <c r="CP12" t="s">
        <v>122</v>
      </c>
    </row>
    <row r="13" spans="1:94">
      <c r="A13" t="s">
        <v>114</v>
      </c>
      <c r="B13" t="s">
        <v>664</v>
      </c>
      <c r="C13" t="s">
        <v>116</v>
      </c>
      <c r="D13" t="s">
        <v>686</v>
      </c>
      <c r="E13" t="s">
        <v>687</v>
      </c>
      <c r="F13">
        <v>2007</v>
      </c>
      <c r="G13">
        <v>2008</v>
      </c>
      <c r="H13">
        <v>1</v>
      </c>
      <c r="I13">
        <v>0</v>
      </c>
      <c r="J13">
        <v>1</v>
      </c>
      <c r="K13">
        <v>0</v>
      </c>
      <c r="L13">
        <v>1</v>
      </c>
      <c r="M13">
        <v>0</v>
      </c>
      <c r="N13">
        <v>20.3</v>
      </c>
      <c r="O13">
        <v>183.60000000000002</v>
      </c>
      <c r="P13">
        <v>3389</v>
      </c>
      <c r="Q13">
        <v>0</v>
      </c>
      <c r="R13">
        <v>667</v>
      </c>
      <c r="S13">
        <v>85.2</v>
      </c>
      <c r="T13">
        <v>1657.133</v>
      </c>
      <c r="U13">
        <v>1.2944439999999999</v>
      </c>
      <c r="AV13">
        <v>2600</v>
      </c>
      <c r="AW13">
        <v>4.2</v>
      </c>
      <c r="AX13">
        <v>7</v>
      </c>
      <c r="BC13">
        <v>45.44</v>
      </c>
      <c r="BD13">
        <v>48.15</v>
      </c>
      <c r="BE13">
        <v>46.28</v>
      </c>
      <c r="BL13">
        <v>0.13708293925243789</v>
      </c>
      <c r="BM13">
        <v>0.3913907973429393</v>
      </c>
      <c r="BN13">
        <v>1.6715262634046228</v>
      </c>
      <c r="BO13">
        <v>2.2000000000000002</v>
      </c>
      <c r="BP13">
        <v>0.133317741506041</v>
      </c>
      <c r="BQ13">
        <v>0.40643789639579719</v>
      </c>
      <c r="BR13">
        <v>0.22579883133099843</v>
      </c>
      <c r="BS13">
        <v>0.94835509159019338</v>
      </c>
      <c r="BT13">
        <v>1.580591819316989</v>
      </c>
      <c r="BU13">
        <f t="shared" si="0"/>
        <v>3.7805918193169892</v>
      </c>
      <c r="BY13">
        <f t="shared" si="1"/>
        <v>176.58059181931699</v>
      </c>
      <c r="BZ13">
        <v>0.13708293925243789</v>
      </c>
      <c r="CA13">
        <v>0.3913907973429393</v>
      </c>
      <c r="CB13">
        <v>1.6715262634046228</v>
      </c>
      <c r="CD13">
        <v>2.2000000000000002</v>
      </c>
      <c r="CM13" t="s">
        <v>663</v>
      </c>
      <c r="CN13" t="s">
        <v>120</v>
      </c>
      <c r="CO13" t="s">
        <v>527</v>
      </c>
      <c r="CP13" t="s">
        <v>122</v>
      </c>
    </row>
    <row r="14" spans="1:94">
      <c r="A14" t="s">
        <v>114</v>
      </c>
      <c r="B14" t="s">
        <v>664</v>
      </c>
      <c r="C14" t="s">
        <v>116</v>
      </c>
      <c r="D14" t="s">
        <v>688</v>
      </c>
      <c r="E14" t="s">
        <v>689</v>
      </c>
      <c r="F14">
        <v>2008</v>
      </c>
      <c r="G14">
        <v>2009</v>
      </c>
      <c r="H14">
        <v>1</v>
      </c>
      <c r="I14">
        <v>0</v>
      </c>
      <c r="J14">
        <v>1</v>
      </c>
      <c r="K14">
        <v>0</v>
      </c>
      <c r="L14">
        <v>1</v>
      </c>
      <c r="M14">
        <v>0</v>
      </c>
      <c r="N14">
        <v>20.3</v>
      </c>
      <c r="O14">
        <v>183.60000000000002</v>
      </c>
      <c r="P14">
        <v>3389</v>
      </c>
      <c r="Q14">
        <v>0</v>
      </c>
      <c r="R14">
        <v>667</v>
      </c>
      <c r="S14">
        <v>85.2</v>
      </c>
      <c r="T14">
        <v>1657.133</v>
      </c>
      <c r="U14">
        <v>1.2944439999999999</v>
      </c>
      <c r="AV14">
        <v>5567</v>
      </c>
      <c r="AW14">
        <v>4.8</v>
      </c>
      <c r="AX14">
        <v>8</v>
      </c>
      <c r="BC14">
        <v>45.44</v>
      </c>
      <c r="BD14">
        <v>48.15</v>
      </c>
      <c r="BE14">
        <v>46.28</v>
      </c>
      <c r="BL14">
        <v>0.49848341546341052</v>
      </c>
      <c r="BM14">
        <v>1.4232392630652337</v>
      </c>
      <c r="BN14">
        <v>6.0782773214713552</v>
      </c>
      <c r="BO14">
        <v>8</v>
      </c>
      <c r="BP14">
        <v>0.133317741506041</v>
      </c>
      <c r="BQ14">
        <v>0.70457722880223517</v>
      </c>
      <c r="BR14">
        <v>0.39143179377901949</v>
      </c>
      <c r="BS14">
        <v>1.644013533871882</v>
      </c>
      <c r="BT14">
        <v>2.7400225564531366</v>
      </c>
      <c r="BU14">
        <f t="shared" si="0"/>
        <v>10.740022556453138</v>
      </c>
      <c r="BY14">
        <f t="shared" si="1"/>
        <v>183.54002255645315</v>
      </c>
      <c r="BZ14">
        <v>0.3614004762109726</v>
      </c>
      <c r="CA14">
        <v>1.0318484657222944</v>
      </c>
      <c r="CB14">
        <v>4.4067510580667326</v>
      </c>
      <c r="CD14">
        <v>5.8</v>
      </c>
      <c r="CM14" t="s">
        <v>663</v>
      </c>
      <c r="CN14" t="s">
        <v>120</v>
      </c>
      <c r="CO14" t="s">
        <v>527</v>
      </c>
      <c r="CP14" t="s">
        <v>122</v>
      </c>
    </row>
    <row r="15" spans="1:94">
      <c r="A15" t="s">
        <v>114</v>
      </c>
      <c r="B15" t="s">
        <v>665</v>
      </c>
      <c r="C15" t="s">
        <v>507</v>
      </c>
      <c r="D15" t="s">
        <v>666</v>
      </c>
      <c r="E15" t="s">
        <v>667</v>
      </c>
      <c r="F15">
        <v>2007</v>
      </c>
      <c r="G15">
        <v>2007</v>
      </c>
      <c r="H15">
        <v>0</v>
      </c>
      <c r="I15">
        <v>0</v>
      </c>
      <c r="J15">
        <v>0</v>
      </c>
      <c r="K15">
        <v>1</v>
      </c>
      <c r="L15">
        <v>0</v>
      </c>
      <c r="M15">
        <v>0</v>
      </c>
      <c r="N15">
        <v>15.3</v>
      </c>
      <c r="O15">
        <v>123.60000000000001</v>
      </c>
      <c r="P15">
        <v>4618</v>
      </c>
      <c r="Q15">
        <v>0</v>
      </c>
      <c r="R15">
        <v>1300</v>
      </c>
      <c r="S15">
        <v>87.9</v>
      </c>
      <c r="T15">
        <v>1449.4</v>
      </c>
      <c r="U15">
        <v>1.233333</v>
      </c>
      <c r="W15">
        <v>3.92</v>
      </c>
      <c r="X15">
        <v>4.8499999999999996</v>
      </c>
      <c r="Y15">
        <v>0.62000000000000011</v>
      </c>
      <c r="AB15">
        <v>9.1466666666666665</v>
      </c>
      <c r="AD15">
        <v>2.7250000000000001</v>
      </c>
      <c r="AE15">
        <v>0.38750000000000001</v>
      </c>
      <c r="AF15">
        <v>0.67714999999999992</v>
      </c>
      <c r="AG15">
        <v>0.13405</v>
      </c>
      <c r="AH15">
        <v>30.7</v>
      </c>
      <c r="AI15">
        <v>29.7</v>
      </c>
      <c r="AJ15">
        <v>39.6</v>
      </c>
      <c r="AV15">
        <v>8344</v>
      </c>
      <c r="AW15">
        <v>10.6</v>
      </c>
      <c r="AX15">
        <v>21.4</v>
      </c>
      <c r="AY15">
        <v>73.633578526263037</v>
      </c>
      <c r="BC15">
        <v>45.67</v>
      </c>
      <c r="BD15">
        <v>48.27</v>
      </c>
      <c r="BE15">
        <v>48.34</v>
      </c>
      <c r="BJ15">
        <v>5.74</v>
      </c>
      <c r="BK15">
        <v>4</v>
      </c>
      <c r="BL15">
        <v>2.0094800000000004</v>
      </c>
      <c r="BM15">
        <v>5.7923999999999998</v>
      </c>
      <c r="BN15">
        <v>73.331779999999995</v>
      </c>
      <c r="BO15">
        <v>81.133659999999992</v>
      </c>
      <c r="CM15" t="s">
        <v>661</v>
      </c>
      <c r="CN15" t="s">
        <v>120</v>
      </c>
      <c r="CO15" t="s">
        <v>662</v>
      </c>
      <c r="CP15" t="s">
        <v>122</v>
      </c>
    </row>
    <row r="16" spans="1:94">
      <c r="A16" t="s">
        <v>114</v>
      </c>
      <c r="B16" t="s">
        <v>115</v>
      </c>
      <c r="C16" t="s">
        <v>116</v>
      </c>
      <c r="D16" t="s">
        <v>117</v>
      </c>
      <c r="E16" t="s">
        <v>118</v>
      </c>
      <c r="F16">
        <v>2008</v>
      </c>
      <c r="G16">
        <v>2008</v>
      </c>
      <c r="H16">
        <v>1</v>
      </c>
      <c r="I16">
        <v>1</v>
      </c>
      <c r="J16">
        <v>0</v>
      </c>
      <c r="K16">
        <v>1</v>
      </c>
      <c r="L16">
        <v>0</v>
      </c>
      <c r="M16">
        <v>0</v>
      </c>
      <c r="N16">
        <v>15.3</v>
      </c>
      <c r="O16">
        <v>123.60000000000001</v>
      </c>
      <c r="P16">
        <v>1558</v>
      </c>
      <c r="Q16">
        <v>0</v>
      </c>
      <c r="R16">
        <v>769</v>
      </c>
      <c r="S16">
        <v>82.666669999999996</v>
      </c>
      <c r="T16">
        <v>1561.7</v>
      </c>
      <c r="U16">
        <v>1.2250000000000001</v>
      </c>
      <c r="AV16">
        <v>5733</v>
      </c>
      <c r="AW16">
        <v>6.3</v>
      </c>
      <c r="AY16">
        <v>17.871167365236797</v>
      </c>
      <c r="BL16">
        <v>0.69256127965907133</v>
      </c>
      <c r="BM16">
        <v>3.0027021557206424</v>
      </c>
      <c r="BN16">
        <v>14.180069782292339</v>
      </c>
      <c r="BO16">
        <v>17.875333217672054</v>
      </c>
      <c r="BP16">
        <v>0.41173261805356887</v>
      </c>
      <c r="BQ16">
        <v>3.0450391287489351</v>
      </c>
      <c r="BR16">
        <v>1.8264326229867685</v>
      </c>
      <c r="BS16">
        <v>2.2350164764826652</v>
      </c>
      <c r="BT16">
        <v>7.1064882282183692</v>
      </c>
      <c r="BU16">
        <v>24.981821445890425</v>
      </c>
      <c r="BW16">
        <v>98.899772727272705</v>
      </c>
      <c r="BZ16">
        <v>0.10642264909395685</v>
      </c>
      <c r="CA16">
        <v>0.43544182881399829</v>
      </c>
      <c r="CB16">
        <v>2.1394355047428526</v>
      </c>
      <c r="CD16">
        <v>2.6812999826508079</v>
      </c>
      <c r="CE16">
        <v>0.45754794593490544</v>
      </c>
      <c r="CF16">
        <v>0.28282320072647354</v>
      </c>
      <c r="CG16">
        <v>0.32560208757137638</v>
      </c>
      <c r="CH16">
        <v>1.0659732342327553</v>
      </c>
      <c r="CM16" t="s">
        <v>119</v>
      </c>
      <c r="CN16" t="s">
        <v>120</v>
      </c>
      <c r="CO16" t="s">
        <v>121</v>
      </c>
      <c r="CP16" t="s">
        <v>122</v>
      </c>
    </row>
    <row r="17" spans="1:94">
      <c r="A17" t="s">
        <v>114</v>
      </c>
      <c r="B17" t="s">
        <v>115</v>
      </c>
      <c r="C17" t="s">
        <v>116</v>
      </c>
      <c r="D17" t="s">
        <v>690</v>
      </c>
      <c r="E17" t="s">
        <v>691</v>
      </c>
      <c r="F17">
        <v>2008</v>
      </c>
      <c r="G17">
        <v>2009</v>
      </c>
      <c r="H17">
        <v>0</v>
      </c>
      <c r="I17">
        <v>0</v>
      </c>
      <c r="J17">
        <v>0</v>
      </c>
      <c r="K17">
        <v>0</v>
      </c>
      <c r="L17">
        <v>0</v>
      </c>
      <c r="M17">
        <v>0</v>
      </c>
      <c r="N17">
        <v>15.3</v>
      </c>
      <c r="O17">
        <v>123.60000000000001</v>
      </c>
      <c r="P17">
        <v>1558</v>
      </c>
      <c r="Q17">
        <v>0</v>
      </c>
      <c r="R17">
        <v>769</v>
      </c>
      <c r="S17">
        <v>82.666669999999996</v>
      </c>
      <c r="T17">
        <v>1561.7</v>
      </c>
      <c r="U17">
        <v>1.2250000000000001</v>
      </c>
      <c r="AV17">
        <v>13067</v>
      </c>
      <c r="AW17">
        <v>5.5</v>
      </c>
      <c r="AY17">
        <v>31.044963348371233</v>
      </c>
      <c r="BL17">
        <v>0.87832641456762439</v>
      </c>
      <c r="BM17">
        <v>3.8081144526977941</v>
      </c>
      <c r="BN17">
        <v>17.983578083271798</v>
      </c>
      <c r="BO17">
        <v>22.670018950537216</v>
      </c>
      <c r="BP17">
        <v>0.41173261805356887</v>
      </c>
      <c r="BQ17">
        <v>3.861807436720655</v>
      </c>
      <c r="BR17">
        <v>2.3163351234233236</v>
      </c>
      <c r="BS17">
        <v>2.8345130834558803</v>
      </c>
      <c r="BT17">
        <v>9.0126556435998584</v>
      </c>
      <c r="BU17">
        <v>31.682674594137076</v>
      </c>
      <c r="BZ17">
        <v>0.18576513490855306</v>
      </c>
      <c r="CA17">
        <v>0.80541229697715178</v>
      </c>
      <c r="CB17">
        <v>3.803508300979459</v>
      </c>
      <c r="CD17">
        <v>4.7946857328651618</v>
      </c>
      <c r="CE17">
        <v>0.81676830797171984</v>
      </c>
      <c r="CF17">
        <v>0.48990250043655514</v>
      </c>
      <c r="CG17">
        <v>0.59949660697321505</v>
      </c>
      <c r="CH17">
        <v>1.9061674153814891</v>
      </c>
      <c r="CM17" t="s">
        <v>119</v>
      </c>
      <c r="CN17" t="s">
        <v>120</v>
      </c>
      <c r="CO17" t="s">
        <v>121</v>
      </c>
      <c r="CP17" t="s">
        <v>122</v>
      </c>
    </row>
    <row r="18" spans="1:94">
      <c r="A18" t="s">
        <v>114</v>
      </c>
      <c r="B18" t="s">
        <v>115</v>
      </c>
      <c r="C18" t="s">
        <v>116</v>
      </c>
      <c r="D18" t="s">
        <v>690</v>
      </c>
      <c r="E18" t="s">
        <v>691</v>
      </c>
      <c r="F18">
        <v>2009</v>
      </c>
      <c r="G18">
        <v>2010</v>
      </c>
      <c r="H18">
        <v>0</v>
      </c>
      <c r="I18">
        <v>0</v>
      </c>
      <c r="J18">
        <v>0</v>
      </c>
      <c r="K18">
        <v>0</v>
      </c>
      <c r="L18">
        <v>0</v>
      </c>
      <c r="M18">
        <v>0</v>
      </c>
      <c r="N18">
        <v>15.3</v>
      </c>
      <c r="O18">
        <v>123.60000000000001</v>
      </c>
      <c r="P18">
        <v>1558</v>
      </c>
      <c r="Q18">
        <v>0</v>
      </c>
      <c r="R18">
        <v>769</v>
      </c>
      <c r="S18">
        <v>82.666669999999996</v>
      </c>
      <c r="T18">
        <v>1561.7</v>
      </c>
      <c r="U18">
        <v>1.2250000000000001</v>
      </c>
      <c r="AV18">
        <v>13067</v>
      </c>
      <c r="AW18">
        <v>5.5</v>
      </c>
      <c r="AY18">
        <v>31.044963348371233</v>
      </c>
      <c r="BL18">
        <v>0.89816540955785817</v>
      </c>
      <c r="BM18">
        <v>3.8941293582002081</v>
      </c>
      <c r="BN18">
        <v>18.389777998910379</v>
      </c>
      <c r="BO18">
        <v>23.182072766668444</v>
      </c>
      <c r="BP18">
        <v>0.41173261805356887</v>
      </c>
      <c r="BQ18">
        <v>3.9490351200962741</v>
      </c>
      <c r="BR18">
        <v>2.3686548079359651</v>
      </c>
      <c r="BS18">
        <v>2.8985369929384563</v>
      </c>
      <c r="BT18">
        <v>9.216226920970696</v>
      </c>
      <c r="BU18">
        <v>32.398299687639138</v>
      </c>
      <c r="BZ18">
        <v>1.9838994990233783E-2</v>
      </c>
      <c r="CA18">
        <v>8.6014905502413974E-2</v>
      </c>
      <c r="CB18">
        <v>0.40619991563858093</v>
      </c>
      <c r="CD18">
        <v>0.51205381613122825</v>
      </c>
      <c r="CE18">
        <v>8.7227683375619147E-2</v>
      </c>
      <c r="CF18">
        <v>5.2319684512641462E-2</v>
      </c>
      <c r="CG18">
        <v>6.402390948257608E-2</v>
      </c>
      <c r="CH18">
        <v>0.20357127737083758</v>
      </c>
      <c r="CM18" t="s">
        <v>119</v>
      </c>
      <c r="CN18" t="s">
        <v>120</v>
      </c>
      <c r="CO18" t="s">
        <v>121</v>
      </c>
      <c r="CP18" t="s">
        <v>122</v>
      </c>
    </row>
    <row r="19" spans="1:94">
      <c r="A19" t="s">
        <v>114</v>
      </c>
      <c r="B19" t="s">
        <v>115</v>
      </c>
      <c r="C19" t="s">
        <v>116</v>
      </c>
      <c r="D19" t="s">
        <v>690</v>
      </c>
      <c r="E19" t="s">
        <v>691</v>
      </c>
      <c r="F19">
        <v>2010</v>
      </c>
      <c r="G19">
        <v>2011</v>
      </c>
      <c r="H19">
        <v>0</v>
      </c>
      <c r="I19">
        <v>0</v>
      </c>
      <c r="J19">
        <v>0</v>
      </c>
      <c r="K19">
        <v>0</v>
      </c>
      <c r="L19">
        <v>0</v>
      </c>
      <c r="M19">
        <v>0</v>
      </c>
      <c r="N19">
        <v>15.3</v>
      </c>
      <c r="O19">
        <v>123.60000000000001</v>
      </c>
      <c r="P19">
        <v>1558</v>
      </c>
      <c r="Q19">
        <v>0</v>
      </c>
      <c r="R19">
        <v>769</v>
      </c>
      <c r="S19">
        <v>82.666669999999996</v>
      </c>
      <c r="T19">
        <v>1561.7</v>
      </c>
      <c r="U19">
        <v>1.2250000000000001</v>
      </c>
      <c r="AV19">
        <v>13067</v>
      </c>
      <c r="AW19">
        <v>5.5</v>
      </c>
      <c r="AY19">
        <v>31.044963348371233</v>
      </c>
      <c r="BL19">
        <v>1.0676986394744017</v>
      </c>
      <c r="BM19">
        <v>4.6291658234026576</v>
      </c>
      <c r="BN19">
        <v>21.860940914367358</v>
      </c>
      <c r="BO19">
        <v>27.557805377244417</v>
      </c>
      <c r="BP19">
        <v>0.41173261805356887</v>
      </c>
      <c r="BQ19">
        <v>4.6944353234879417</v>
      </c>
      <c r="BR19">
        <v>2.8157502937712682</v>
      </c>
      <c r="BS19">
        <v>3.4456504012441096</v>
      </c>
      <c r="BT19">
        <v>10.955836018503319</v>
      </c>
      <c r="BU19">
        <v>38.51364139574774</v>
      </c>
      <c r="BZ19">
        <v>0.16953322991654352</v>
      </c>
      <c r="CA19">
        <v>0.73503646520244947</v>
      </c>
      <c r="CB19">
        <v>3.4711629154569792</v>
      </c>
      <c r="CD19">
        <v>4.3757326105759731</v>
      </c>
      <c r="CE19">
        <v>0.74540020339166757</v>
      </c>
      <c r="CF19">
        <v>0.44709548583530312</v>
      </c>
      <c r="CG19">
        <v>0.54711340830565325</v>
      </c>
      <c r="CH19">
        <v>1.7396090975326235</v>
      </c>
      <c r="CM19" t="s">
        <v>119</v>
      </c>
      <c r="CN19" t="s">
        <v>120</v>
      </c>
      <c r="CO19" t="s">
        <v>121</v>
      </c>
      <c r="CP19" t="s">
        <v>122</v>
      </c>
    </row>
    <row r="20" spans="1:94">
      <c r="A20" t="s">
        <v>114</v>
      </c>
      <c r="B20" t="s">
        <v>115</v>
      </c>
      <c r="C20" t="s">
        <v>116</v>
      </c>
      <c r="D20" t="s">
        <v>690</v>
      </c>
      <c r="E20" t="s">
        <v>691</v>
      </c>
      <c r="F20">
        <v>2011</v>
      </c>
      <c r="G20">
        <v>2012</v>
      </c>
      <c r="H20">
        <v>0</v>
      </c>
      <c r="I20">
        <v>0</v>
      </c>
      <c r="J20">
        <v>0</v>
      </c>
      <c r="K20">
        <v>0</v>
      </c>
      <c r="L20">
        <v>0</v>
      </c>
      <c r="M20">
        <v>0</v>
      </c>
      <c r="N20">
        <v>15.3</v>
      </c>
      <c r="O20">
        <v>123.60000000000001</v>
      </c>
      <c r="P20">
        <v>1558</v>
      </c>
      <c r="Q20">
        <v>0</v>
      </c>
      <c r="R20">
        <v>769</v>
      </c>
      <c r="S20">
        <v>82.666669999999996</v>
      </c>
      <c r="T20">
        <v>1561.7</v>
      </c>
      <c r="U20">
        <v>1.2250000000000001</v>
      </c>
      <c r="AV20">
        <v>13067</v>
      </c>
      <c r="AW20">
        <v>5.5</v>
      </c>
      <c r="AY20">
        <v>31.044963348371233</v>
      </c>
      <c r="BL20">
        <v>1.0893411794637475</v>
      </c>
      <c r="BM20">
        <v>4.7230002657689267</v>
      </c>
      <c r="BN20">
        <v>22.304068095063993</v>
      </c>
      <c r="BO20">
        <v>28.116409540296665</v>
      </c>
      <c r="BP20">
        <v>0.41173261805356887</v>
      </c>
      <c r="BQ20">
        <v>4.7895927962613456</v>
      </c>
      <c r="BR20">
        <v>2.8728263132396048</v>
      </c>
      <c r="BS20">
        <v>3.5154946661341921</v>
      </c>
      <c r="BT20">
        <v>11.177913775635142</v>
      </c>
      <c r="BU20">
        <v>39.294323315931805</v>
      </c>
      <c r="BZ20">
        <v>2.1642539989345844E-2</v>
      </c>
      <c r="CA20">
        <v>9.3834442366269144E-2</v>
      </c>
      <c r="CB20">
        <v>0.44312718069663504</v>
      </c>
      <c r="CD20">
        <v>0.55860416305224803</v>
      </c>
      <c r="CE20">
        <v>9.5157472773403917E-2</v>
      </c>
      <c r="CF20">
        <v>5.7076019468336625E-2</v>
      </c>
      <c r="CG20">
        <v>6.9844264890082552E-2</v>
      </c>
      <c r="CH20">
        <v>0.22207775713182265</v>
      </c>
      <c r="CM20" t="s">
        <v>119</v>
      </c>
      <c r="CN20" t="s">
        <v>120</v>
      </c>
      <c r="CO20" t="s">
        <v>121</v>
      </c>
      <c r="CP20" t="s">
        <v>122</v>
      </c>
    </row>
    <row r="21" spans="1:94">
      <c r="A21" t="s">
        <v>114</v>
      </c>
      <c r="B21" t="s">
        <v>115</v>
      </c>
      <c r="C21" t="s">
        <v>116</v>
      </c>
      <c r="D21" t="s">
        <v>690</v>
      </c>
      <c r="E21" t="s">
        <v>691</v>
      </c>
      <c r="F21">
        <v>2012</v>
      </c>
      <c r="G21">
        <v>2013</v>
      </c>
      <c r="H21">
        <v>0</v>
      </c>
      <c r="I21">
        <v>0</v>
      </c>
      <c r="J21">
        <v>0</v>
      </c>
      <c r="K21">
        <v>0</v>
      </c>
      <c r="L21">
        <v>0</v>
      </c>
      <c r="M21">
        <v>0</v>
      </c>
      <c r="N21">
        <v>15.3</v>
      </c>
      <c r="O21">
        <v>123.60000000000001</v>
      </c>
      <c r="P21">
        <v>1558</v>
      </c>
      <c r="Q21">
        <v>0</v>
      </c>
      <c r="R21">
        <v>769</v>
      </c>
      <c r="S21">
        <v>82.666669999999996</v>
      </c>
      <c r="T21">
        <v>1561.7</v>
      </c>
      <c r="U21">
        <v>1.2250000000000001</v>
      </c>
      <c r="AV21">
        <v>13067</v>
      </c>
      <c r="AW21">
        <v>5.5</v>
      </c>
      <c r="AY21">
        <v>31.044963348371233</v>
      </c>
      <c r="BL21">
        <v>0.95948593952767181</v>
      </c>
      <c r="BM21">
        <v>4.1599936115713074</v>
      </c>
      <c r="BN21">
        <v>19.645305010884183</v>
      </c>
      <c r="BO21">
        <v>24.764784561983163</v>
      </c>
      <c r="BP21">
        <v>0.41173261805356887</v>
      </c>
      <c r="BQ21">
        <v>4.2186479596209203</v>
      </c>
      <c r="BR21">
        <v>2.5303701964295859</v>
      </c>
      <c r="BS21">
        <v>3.0964290767936928</v>
      </c>
      <c r="BT21">
        <v>9.8454472328441991</v>
      </c>
      <c r="BU21">
        <v>34.610231794827364</v>
      </c>
      <c r="BZ21">
        <v>-0.12985523993607573</v>
      </c>
      <c r="CA21">
        <v>-0.56300665419761931</v>
      </c>
      <c r="CB21">
        <v>-2.6587630841798102</v>
      </c>
      <c r="CD21">
        <v>-3.3516249783135024</v>
      </c>
      <c r="CE21">
        <v>-0.57094483664042528</v>
      </c>
      <c r="CF21">
        <v>-0.34245611681001886</v>
      </c>
      <c r="CG21">
        <v>-0.41906558934049931</v>
      </c>
      <c r="CH21">
        <v>-1.332466542790943</v>
      </c>
      <c r="CM21" t="s">
        <v>119</v>
      </c>
      <c r="CN21" t="s">
        <v>120</v>
      </c>
      <c r="CO21" t="s">
        <v>121</v>
      </c>
      <c r="CP21" t="s">
        <v>122</v>
      </c>
    </row>
    <row r="22" spans="1:94">
      <c r="A22" t="s">
        <v>114</v>
      </c>
      <c r="B22" t="s">
        <v>115</v>
      </c>
      <c r="C22" t="s">
        <v>116</v>
      </c>
      <c r="D22" t="s">
        <v>690</v>
      </c>
      <c r="E22" t="s">
        <v>691</v>
      </c>
      <c r="F22">
        <v>2013</v>
      </c>
      <c r="G22">
        <v>2014</v>
      </c>
      <c r="H22">
        <v>0</v>
      </c>
      <c r="I22">
        <v>0</v>
      </c>
      <c r="J22">
        <v>0</v>
      </c>
      <c r="K22">
        <v>0</v>
      </c>
      <c r="L22">
        <v>0</v>
      </c>
      <c r="M22">
        <v>0</v>
      </c>
      <c r="N22">
        <v>15.3</v>
      </c>
      <c r="O22">
        <v>123.60000000000001</v>
      </c>
      <c r="P22">
        <v>1558</v>
      </c>
      <c r="Q22">
        <v>0</v>
      </c>
      <c r="R22">
        <v>769</v>
      </c>
      <c r="S22">
        <v>82.666669999999996</v>
      </c>
      <c r="T22">
        <v>1561.7</v>
      </c>
      <c r="U22">
        <v>1.2250000000000001</v>
      </c>
      <c r="AV22">
        <v>13067</v>
      </c>
      <c r="AW22">
        <v>5.5</v>
      </c>
      <c r="AY22">
        <v>31.044963348371233</v>
      </c>
      <c r="BL22">
        <v>0.93243276454098933</v>
      </c>
      <c r="BM22">
        <v>4.0427005586134692</v>
      </c>
      <c r="BN22">
        <v>19.091396035013386</v>
      </c>
      <c r="BO22">
        <v>24.066529358167845</v>
      </c>
      <c r="BP22">
        <v>0.41173261805356887</v>
      </c>
      <c r="BQ22">
        <v>4.0997011186541652</v>
      </c>
      <c r="BR22">
        <v>2.4590251720941652</v>
      </c>
      <c r="BS22">
        <v>3.0091237456810886</v>
      </c>
      <c r="BT22">
        <v>9.5678500364294194</v>
      </c>
      <c r="BU22">
        <v>33.634379394597261</v>
      </c>
      <c r="BZ22">
        <v>-2.7053174986682471E-2</v>
      </c>
      <c r="CA22">
        <v>-0.11729305295783821</v>
      </c>
      <c r="CB22">
        <v>-0.55390897587079735</v>
      </c>
      <c r="CD22">
        <v>-0.69825520381531803</v>
      </c>
      <c r="CE22">
        <v>-0.11894684096675512</v>
      </c>
      <c r="CF22">
        <v>-7.1345024335420781E-2</v>
      </c>
      <c r="CG22">
        <v>-8.730533111260419E-2</v>
      </c>
      <c r="CH22">
        <v>-0.27759719641477965</v>
      </c>
      <c r="CM22" t="s">
        <v>119</v>
      </c>
      <c r="CN22" t="s">
        <v>120</v>
      </c>
      <c r="CO22" t="s">
        <v>121</v>
      </c>
      <c r="CP22" t="s">
        <v>122</v>
      </c>
    </row>
    <row r="24" spans="1:94">
      <c r="BL24" t="s">
        <v>668</v>
      </c>
      <c r="BQ24" t="s">
        <v>668</v>
      </c>
    </row>
    <row r="25" spans="1:94">
      <c r="BL25">
        <v>3.969069100158814E-2</v>
      </c>
      <c r="BM25">
        <v>0.16239951949856365</v>
      </c>
      <c r="BN25">
        <v>0.79790978949984814</v>
      </c>
      <c r="BQ25">
        <v>0.42923023884762929</v>
      </c>
      <c r="BR25">
        <v>0.26531923283236875</v>
      </c>
      <c r="BS25">
        <v>0.30545052832000202</v>
      </c>
    </row>
    <row r="26" spans="1:94">
      <c r="BL26">
        <v>1.5241225344609846</v>
      </c>
      <c r="BM26">
        <v>6.2361415487448442</v>
      </c>
      <c r="BN26">
        <v>30.639735916794166</v>
      </c>
      <c r="BO26">
        <v>38.4</v>
      </c>
      <c r="BP26">
        <v>0.41173261805356887</v>
      </c>
      <c r="BQ26">
        <v>6.7863586555581348</v>
      </c>
      <c r="BR26">
        <v>4.1948383623949663</v>
      </c>
      <c r="BS26">
        <v>4.8293355153039439</v>
      </c>
      <c r="BT26">
        <v>15.810532533257044</v>
      </c>
    </row>
    <row r="27" spans="1:94">
      <c r="BL27">
        <v>1.9329366517773425</v>
      </c>
      <c r="BM27">
        <v>7.9088565995800506</v>
      </c>
      <c r="BN27">
        <v>38.858206748642608</v>
      </c>
      <c r="BO27">
        <v>48.7</v>
      </c>
      <c r="BP27">
        <v>0.41173261805356887</v>
      </c>
      <c r="BQ27">
        <v>8.6066579824396143</v>
      </c>
      <c r="BR27">
        <v>5.3200163606415334</v>
      </c>
      <c r="BS27">
        <v>6.1247041561276587</v>
      </c>
      <c r="BT27">
        <v>20.051378499208806</v>
      </c>
    </row>
    <row r="28" spans="1:94">
      <c r="BL28">
        <v>1.9765964118790893</v>
      </c>
      <c r="BM28">
        <v>8.08749607102847</v>
      </c>
      <c r="BN28">
        <v>39.735907517092436</v>
      </c>
      <c r="BO28">
        <v>49.8</v>
      </c>
      <c r="BP28">
        <v>0.41173261805356887</v>
      </c>
      <c r="BQ28">
        <v>8.8010588814269539</v>
      </c>
      <c r="BR28">
        <v>5.4401810012309717</v>
      </c>
      <c r="BS28">
        <v>6.263044496409802</v>
      </c>
      <c r="BT28">
        <v>20.504284379067727</v>
      </c>
    </row>
    <row r="29" spans="1:94">
      <c r="BL29">
        <v>2.3496889072940181</v>
      </c>
      <c r="BM29">
        <v>9.6140515543149689</v>
      </c>
      <c r="BN29">
        <v>47.23625953839101</v>
      </c>
      <c r="BO29">
        <v>59.2</v>
      </c>
      <c r="BP29">
        <v>0.41173261805356887</v>
      </c>
      <c r="BQ29">
        <v>10.462302927318792</v>
      </c>
      <c r="BR29">
        <v>6.4670424753589071</v>
      </c>
      <c r="BS29">
        <v>7.4452255860935814</v>
      </c>
      <c r="BT29">
        <v>24.374570988771278</v>
      </c>
    </row>
    <row r="30" spans="1:94">
      <c r="BL30">
        <v>2.3973177364959235</v>
      </c>
      <c r="BM30">
        <v>9.8089309777132438</v>
      </c>
      <c r="BN30">
        <v>48.193751285790825</v>
      </c>
      <c r="BO30">
        <v>60.4</v>
      </c>
      <c r="BP30">
        <v>0.41173261805356887</v>
      </c>
      <c r="BQ30">
        <v>10.674376635304982</v>
      </c>
      <c r="BR30">
        <v>6.5981311741837496</v>
      </c>
      <c r="BS30">
        <v>7.5961423209468286</v>
      </c>
      <c r="BT30">
        <v>24.868650130435558</v>
      </c>
    </row>
    <row r="31" spans="1:94">
      <c r="BL31">
        <v>2.1115447612844891</v>
      </c>
      <c r="BM31">
        <v>8.6396544373235873</v>
      </c>
      <c r="BN31">
        <v>42.448800801391926</v>
      </c>
      <c r="BO31">
        <v>53.2</v>
      </c>
      <c r="BP31">
        <v>0.41173261805356887</v>
      </c>
      <c r="BQ31">
        <v>9.4019343873878327</v>
      </c>
      <c r="BR31">
        <v>5.8115989812346944</v>
      </c>
      <c r="BS31">
        <v>6.6906419118273401</v>
      </c>
      <c r="BT31">
        <v>21.904175280449866</v>
      </c>
    </row>
    <row r="32" spans="1:94">
      <c r="BL32">
        <v>2.0520087247821071</v>
      </c>
      <c r="BM32">
        <v>8.3960551580757414</v>
      </c>
      <c r="BN32">
        <v>41.251936117142151</v>
      </c>
      <c r="BO32">
        <v>51.7</v>
      </c>
      <c r="BP32">
        <v>0.41173261805356887</v>
      </c>
      <c r="BQ32">
        <v>9.1368422524050938</v>
      </c>
      <c r="BR32">
        <v>5.6477381077036402</v>
      </c>
      <c r="BS32">
        <v>6.5019959932607794</v>
      </c>
      <c r="BT32">
        <v>21.286576353369512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D9E5D-9A9F-41D8-83B2-0D80F1B5BAFA}">
  <dimension ref="A1:AW8"/>
  <sheetViews>
    <sheetView topLeftCell="AF1" workbookViewId="0"/>
  </sheetViews>
  <sheetFormatPr defaultRowHeight="15"/>
  <cols>
    <col min="35" max="35" width="17.5703125" bestFit="1" customWidth="1"/>
    <col min="43" max="43" width="12.42578125" bestFit="1" customWidth="1"/>
  </cols>
  <sheetData>
    <row r="1" spans="1:49">
      <c r="A1" t="s">
        <v>653</v>
      </c>
      <c r="B1" t="s">
        <v>130</v>
      </c>
      <c r="C1" t="s">
        <v>62</v>
      </c>
      <c r="D1" t="s">
        <v>63</v>
      </c>
      <c r="E1" t="s">
        <v>64</v>
      </c>
      <c r="F1" t="s">
        <v>65</v>
      </c>
      <c r="G1" t="s">
        <v>654</v>
      </c>
      <c r="H1" t="s">
        <v>67</v>
      </c>
      <c r="I1" t="s">
        <v>68</v>
      </c>
      <c r="J1" t="s">
        <v>69</v>
      </c>
      <c r="K1" t="s">
        <v>70</v>
      </c>
      <c r="L1" t="s">
        <v>655</v>
      </c>
      <c r="M1" t="s">
        <v>656</v>
      </c>
      <c r="N1" t="s">
        <v>657</v>
      </c>
      <c r="O1" t="s">
        <v>74</v>
      </c>
      <c r="P1" t="s">
        <v>658</v>
      </c>
      <c r="Q1" t="s">
        <v>76</v>
      </c>
      <c r="R1" t="s">
        <v>77</v>
      </c>
      <c r="S1" t="s">
        <v>78</v>
      </c>
      <c r="T1" t="s">
        <v>126</v>
      </c>
      <c r="U1" t="s">
        <v>127</v>
      </c>
      <c r="V1" t="s">
        <v>128</v>
      </c>
      <c r="W1" t="s">
        <v>79</v>
      </c>
      <c r="X1" t="s">
        <v>80</v>
      </c>
      <c r="Y1" t="s">
        <v>81</v>
      </c>
      <c r="Z1" t="s">
        <v>82</v>
      </c>
      <c r="AA1" t="s">
        <v>83</v>
      </c>
      <c r="AB1" t="s">
        <v>123</v>
      </c>
      <c r="AC1" t="s">
        <v>124</v>
      </c>
      <c r="AD1" t="s">
        <v>125</v>
      </c>
      <c r="AE1" t="s">
        <v>129</v>
      </c>
      <c r="AF1" t="s">
        <v>84</v>
      </c>
      <c r="AG1" t="s">
        <v>85</v>
      </c>
      <c r="AH1" t="s">
        <v>86</v>
      </c>
      <c r="AI1" t="s">
        <v>702</v>
      </c>
      <c r="AJ1" t="s">
        <v>696</v>
      </c>
      <c r="AK1" t="s">
        <v>87</v>
      </c>
      <c r="AL1" t="s">
        <v>703</v>
      </c>
      <c r="AM1" t="s">
        <v>704</v>
      </c>
      <c r="AN1" t="s">
        <v>705</v>
      </c>
      <c r="AO1" t="s">
        <v>697</v>
      </c>
      <c r="AP1" t="s">
        <v>698</v>
      </c>
      <c r="AQ1" t="s">
        <v>131</v>
      </c>
      <c r="AR1" t="s">
        <v>706</v>
      </c>
      <c r="AS1" t="s">
        <v>88</v>
      </c>
      <c r="AT1" t="s">
        <v>692</v>
      </c>
      <c r="AU1" t="s">
        <v>700</v>
      </c>
      <c r="AV1" t="s">
        <v>701</v>
      </c>
      <c r="AW1" t="s">
        <v>699</v>
      </c>
    </row>
    <row r="2" spans="1:49">
      <c r="A2">
        <v>0</v>
      </c>
      <c r="B2">
        <v>19.30833333</v>
      </c>
      <c r="C2">
        <v>0.69256127999999995</v>
      </c>
      <c r="D2">
        <v>3.0027021559999998</v>
      </c>
      <c r="E2">
        <v>14.18006978</v>
      </c>
      <c r="F2">
        <v>17.875333220000002</v>
      </c>
      <c r="G2">
        <v>0.397558364</v>
      </c>
      <c r="H2">
        <v>3.0450391290000001</v>
      </c>
      <c r="I2">
        <v>1.8264326230000001</v>
      </c>
      <c r="J2">
        <v>2.2350164760000002</v>
      </c>
      <c r="K2">
        <v>7.1064882279999999</v>
      </c>
      <c r="L2">
        <v>24.981821450000002</v>
      </c>
      <c r="M2">
        <v>0.63793569800000005</v>
      </c>
      <c r="N2">
        <v>98.899772729999995</v>
      </c>
      <c r="O2">
        <v>0</v>
      </c>
      <c r="P2">
        <v>124.51952989999999</v>
      </c>
    </row>
    <row r="3" spans="1:49">
      <c r="A3">
        <v>1</v>
      </c>
      <c r="B3">
        <v>19.31666667</v>
      </c>
      <c r="C3">
        <v>0.87832641499999997</v>
      </c>
      <c r="D3">
        <v>3.808114453</v>
      </c>
      <c r="E3">
        <v>17.983578080000001</v>
      </c>
      <c r="F3">
        <v>22.670018949999999</v>
      </c>
      <c r="O3">
        <v>0</v>
      </c>
    </row>
    <row r="4" spans="1:49">
      <c r="A4">
        <v>2</v>
      </c>
      <c r="B4">
        <v>19.2</v>
      </c>
      <c r="C4">
        <v>0.89816541000000005</v>
      </c>
      <c r="D4">
        <v>3.8941293579999998</v>
      </c>
      <c r="E4">
        <v>18.389778</v>
      </c>
      <c r="F4">
        <v>23.182072770000001</v>
      </c>
      <c r="O4">
        <v>0</v>
      </c>
    </row>
    <row r="5" spans="1:49">
      <c r="A5">
        <v>3</v>
      </c>
      <c r="B5">
        <v>18.899999999999999</v>
      </c>
      <c r="C5">
        <v>1.0676986390000001</v>
      </c>
      <c r="D5">
        <v>4.6291658230000001</v>
      </c>
      <c r="E5">
        <v>21.86094091</v>
      </c>
      <c r="F5">
        <v>27.557805380000001</v>
      </c>
      <c r="O5">
        <v>0</v>
      </c>
    </row>
    <row r="6" spans="1:49">
      <c r="A6">
        <v>4</v>
      </c>
      <c r="B6">
        <v>19.216666669999999</v>
      </c>
      <c r="C6">
        <v>1.089341179</v>
      </c>
      <c r="D6">
        <v>4.7230002659999997</v>
      </c>
      <c r="E6">
        <v>22.304068099999999</v>
      </c>
      <c r="F6">
        <v>28.116409539999999</v>
      </c>
      <c r="O6">
        <v>0</v>
      </c>
    </row>
    <row r="7" spans="1:49">
      <c r="A7">
        <v>5</v>
      </c>
      <c r="B7">
        <v>19.350000000000001</v>
      </c>
      <c r="C7">
        <v>0.95948593999999998</v>
      </c>
      <c r="D7">
        <v>4.1599936120000001</v>
      </c>
      <c r="E7">
        <v>19.645305010000001</v>
      </c>
      <c r="F7">
        <v>24.764784559999999</v>
      </c>
      <c r="O7">
        <v>0</v>
      </c>
    </row>
    <row r="8" spans="1:49">
      <c r="A8">
        <v>6</v>
      </c>
      <c r="B8">
        <v>19.375</v>
      </c>
      <c r="C8">
        <v>0.93243276500000005</v>
      </c>
      <c r="D8">
        <v>4.042700559</v>
      </c>
      <c r="E8">
        <v>19.091396039999999</v>
      </c>
      <c r="F8">
        <v>24.066529360000001</v>
      </c>
      <c r="O8">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90ED1-EF09-4A34-A06D-5BC92427766B}">
  <dimension ref="A1:CS523"/>
  <sheetViews>
    <sheetView view="pageBreakPreview" topLeftCell="BP10" zoomScale="91" zoomScaleNormal="100" zoomScaleSheetLayoutView="91" workbookViewId="0">
      <selection activeCell="CR84" activeCellId="1" sqref="CP84 CR84"/>
    </sheetView>
  </sheetViews>
  <sheetFormatPr defaultColWidth="10.5703125" defaultRowHeight="15.75"/>
  <cols>
    <col min="1" max="1" width="19.140625" style="27" customWidth="1"/>
    <col min="2" max="2" width="8.42578125" style="28" bestFit="1" customWidth="1"/>
    <col min="3" max="3" width="69.85546875" style="28" bestFit="1" customWidth="1"/>
    <col min="4" max="4" width="22.140625" style="28" customWidth="1"/>
    <col min="5" max="5" width="137.5703125" style="28" customWidth="1"/>
    <col min="6" max="6" width="25.42578125" style="28" bestFit="1" customWidth="1"/>
    <col min="7" max="7" width="14.42578125" style="28" bestFit="1" customWidth="1"/>
    <col min="8" max="8" width="13.5703125" style="28" bestFit="1" customWidth="1"/>
    <col min="9" max="9" width="9.42578125" style="28" bestFit="1" customWidth="1"/>
    <col min="10" max="10" width="9" style="28" bestFit="1" customWidth="1"/>
    <col min="11" max="11" width="31.140625" style="28" customWidth="1"/>
    <col min="12" max="12" width="11.140625" style="28" bestFit="1" customWidth="1"/>
    <col min="13" max="13" width="12" style="28" bestFit="1" customWidth="1"/>
    <col min="14" max="14" width="22" style="28" bestFit="1" customWidth="1"/>
    <col min="15" max="15" width="24" style="28" bestFit="1" customWidth="1"/>
    <col min="16" max="16" width="12.85546875" style="28" bestFit="1" customWidth="1"/>
    <col min="17" max="17" width="14.140625" style="28" bestFit="1" customWidth="1"/>
    <col min="18" max="18" width="9.42578125" style="28" bestFit="1" customWidth="1"/>
    <col min="19" max="19" width="13.5703125" style="28" bestFit="1" customWidth="1"/>
    <col min="20" max="20" width="15.5703125" style="28" bestFit="1" customWidth="1"/>
    <col min="21" max="21" width="17.140625" style="28" bestFit="1" customWidth="1"/>
    <col min="22" max="22" width="11" style="28" bestFit="1" customWidth="1"/>
    <col min="23" max="23" width="18" style="28" bestFit="1" customWidth="1"/>
    <col min="24" max="24" width="8.85546875" style="28" bestFit="1" customWidth="1"/>
    <col min="25" max="25" width="9.42578125" style="28" bestFit="1" customWidth="1"/>
    <col min="26" max="26" width="12.5703125" style="28" bestFit="1" customWidth="1"/>
    <col min="27" max="27" width="12.140625" style="28" bestFit="1" customWidth="1"/>
    <col min="28" max="28" width="12.42578125" style="28" bestFit="1" customWidth="1"/>
    <col min="29" max="29" width="19.42578125" style="28" bestFit="1" customWidth="1"/>
    <col min="30" max="30" width="18.85546875" style="28" bestFit="1" customWidth="1"/>
    <col min="31" max="31" width="10.85546875" style="28" bestFit="1" customWidth="1"/>
    <col min="32" max="32" width="9.5703125" style="28" bestFit="1" customWidth="1"/>
    <col min="33" max="33" width="10.42578125" style="28" bestFit="1" customWidth="1"/>
    <col min="34" max="34" width="11.140625" style="28" bestFit="1" customWidth="1"/>
    <col min="35" max="37" width="9" style="28" bestFit="1" customWidth="1"/>
    <col min="38" max="38" width="8.5703125" style="28" bestFit="1" customWidth="1"/>
    <col min="39" max="39" width="9.140625" style="28" bestFit="1" customWidth="1"/>
    <col min="40" max="40" width="8.5703125" style="28" bestFit="1" customWidth="1"/>
    <col min="41" max="41" width="10" style="28" bestFit="1" customWidth="1"/>
    <col min="42" max="42" width="8.140625" style="28" bestFit="1" customWidth="1"/>
    <col min="43" max="43" width="31" style="28" bestFit="1" customWidth="1"/>
    <col min="44" max="44" width="30.85546875" style="28" bestFit="1" customWidth="1"/>
    <col min="45" max="45" width="16.85546875" style="28" bestFit="1" customWidth="1"/>
    <col min="46" max="46" width="30.42578125" style="28" bestFit="1" customWidth="1"/>
    <col min="47" max="47" width="26.5703125" style="28" bestFit="1" customWidth="1"/>
    <col min="48" max="48" width="15.5703125" style="28" bestFit="1" customWidth="1"/>
    <col min="49" max="49" width="14" style="28" bestFit="1" customWidth="1"/>
    <col min="50" max="50" width="11.140625" style="28" bestFit="1" customWidth="1"/>
    <col min="51" max="51" width="12.85546875" style="28" bestFit="1" customWidth="1"/>
    <col min="52" max="52" width="15" style="28" bestFit="1" customWidth="1"/>
    <col min="53" max="53" width="17.85546875" style="28" bestFit="1" customWidth="1"/>
    <col min="54" max="54" width="27" style="28" bestFit="1" customWidth="1"/>
    <col min="55" max="55" width="30.5703125" style="28" bestFit="1" customWidth="1"/>
    <col min="56" max="56" width="9.140625" style="28" bestFit="1" customWidth="1"/>
    <col min="57" max="57" width="11" style="28" bestFit="1" customWidth="1"/>
    <col min="58" max="58" width="8.5703125" style="28" bestFit="1" customWidth="1"/>
    <col min="59" max="59" width="11.5703125" style="28" bestFit="1" customWidth="1"/>
    <col min="60" max="60" width="12.85546875" style="28" bestFit="1" customWidth="1"/>
    <col min="61" max="61" width="11" style="28" bestFit="1" customWidth="1"/>
    <col min="62" max="62" width="8.5703125" style="28" bestFit="1" customWidth="1"/>
    <col min="63" max="63" width="14" style="28" bestFit="1" customWidth="1"/>
    <col min="64" max="64" width="15" style="28" bestFit="1" customWidth="1"/>
    <col min="65" max="67" width="10" style="28" bestFit="1" customWidth="1"/>
    <col min="68" max="68" width="11.5703125" style="28" bestFit="1" customWidth="1"/>
    <col min="69" max="69" width="16.85546875" style="28" bestFit="1" customWidth="1"/>
    <col min="70" max="72" width="10" style="28" bestFit="1" customWidth="1"/>
    <col min="73" max="73" width="11.5703125" style="28" bestFit="1" customWidth="1"/>
    <col min="74" max="74" width="14.85546875" style="28" bestFit="1" customWidth="1"/>
    <col min="75" max="75" width="12.140625" style="28" bestFit="1" customWidth="1"/>
    <col min="76" max="76" width="15" style="28" bestFit="1" customWidth="1"/>
    <col min="77" max="77" width="12.5703125" style="28" bestFit="1" customWidth="1"/>
    <col min="78" max="78" width="27.85546875" style="28" bestFit="1" customWidth="1"/>
    <col min="79" max="82" width="15.5703125" style="28" bestFit="1" customWidth="1"/>
    <col min="83" max="83" width="15.5703125" style="28" customWidth="1"/>
    <col min="84" max="89" width="15.5703125" style="28" bestFit="1" customWidth="1"/>
    <col min="90" max="91" width="15.85546875" style="28" bestFit="1" customWidth="1"/>
    <col min="92" max="92" width="15.85546875" style="28" customWidth="1"/>
    <col min="93" max="93" width="15.5703125" style="28" bestFit="1" customWidth="1"/>
    <col min="94" max="94" width="86.5703125" style="28" bestFit="1" customWidth="1"/>
    <col min="95" max="95" width="14.140625" style="28" bestFit="1" customWidth="1"/>
    <col min="96" max="96" width="235.42578125" style="28" bestFit="1" customWidth="1"/>
    <col min="97" max="97" width="10.5703125" style="28"/>
    <col min="98" max="16384" width="10.5703125" style="27"/>
  </cols>
  <sheetData>
    <row r="1" spans="1:97" s="2" customFormat="1" ht="13.5" thickBot="1">
      <c r="A1" s="1" t="s">
        <v>132</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row>
    <row r="2" spans="1:97" s="2" customFormat="1">
      <c r="A2" s="34" t="s">
        <v>133</v>
      </c>
      <c r="B2" s="34" t="s">
        <v>134</v>
      </c>
      <c r="C2" s="34" t="s">
        <v>1</v>
      </c>
      <c r="D2" s="36" t="s">
        <v>135</v>
      </c>
      <c r="E2" s="34" t="s">
        <v>136</v>
      </c>
      <c r="F2" s="34" t="s">
        <v>137</v>
      </c>
      <c r="G2" s="34" t="s">
        <v>138</v>
      </c>
      <c r="H2" s="34" t="s">
        <v>139</v>
      </c>
      <c r="I2" s="34" t="s">
        <v>140</v>
      </c>
      <c r="J2" s="34" t="s">
        <v>141</v>
      </c>
      <c r="K2" s="34" t="s">
        <v>142</v>
      </c>
      <c r="L2" s="34" t="s">
        <v>143</v>
      </c>
      <c r="M2" s="34" t="s">
        <v>144</v>
      </c>
      <c r="N2" s="34" t="s">
        <v>145</v>
      </c>
      <c r="O2" s="3" t="s">
        <v>146</v>
      </c>
      <c r="P2" s="3" t="s">
        <v>147</v>
      </c>
      <c r="Q2" s="3" t="s">
        <v>148</v>
      </c>
      <c r="R2" s="3" t="s">
        <v>149</v>
      </c>
      <c r="S2" s="3" t="s">
        <v>150</v>
      </c>
      <c r="T2" s="3" t="s">
        <v>151</v>
      </c>
      <c r="U2" s="3" t="s">
        <v>152</v>
      </c>
      <c r="V2" s="3" t="s">
        <v>153</v>
      </c>
      <c r="W2" s="3" t="s">
        <v>154</v>
      </c>
      <c r="X2" s="3" t="s">
        <v>155</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c r="AO2" s="3" t="s">
        <v>171</v>
      </c>
      <c r="AP2" s="3" t="s">
        <v>172</v>
      </c>
      <c r="AQ2" s="3" t="s">
        <v>173</v>
      </c>
      <c r="AR2" s="3" t="s">
        <v>174</v>
      </c>
      <c r="AS2" s="3" t="s">
        <v>175</v>
      </c>
      <c r="AT2" s="3" t="s">
        <v>176</v>
      </c>
      <c r="AU2" s="3" t="s">
        <v>177</v>
      </c>
      <c r="AV2" s="3" t="s">
        <v>178</v>
      </c>
      <c r="AW2" s="3" t="s">
        <v>179</v>
      </c>
      <c r="AX2" s="3" t="s">
        <v>180</v>
      </c>
      <c r="AY2" s="3" t="s">
        <v>181</v>
      </c>
      <c r="AZ2" s="3" t="s">
        <v>182</v>
      </c>
      <c r="BA2" s="3" t="s">
        <v>183</v>
      </c>
      <c r="BB2" s="3" t="s">
        <v>184</v>
      </c>
      <c r="BC2" s="3" t="s">
        <v>185</v>
      </c>
      <c r="BD2" s="3" t="s">
        <v>186</v>
      </c>
      <c r="BE2" s="3" t="s">
        <v>187</v>
      </c>
      <c r="BF2" s="3" t="s">
        <v>188</v>
      </c>
      <c r="BG2" s="3" t="s">
        <v>189</v>
      </c>
      <c r="BH2" s="3" t="s">
        <v>190</v>
      </c>
      <c r="BI2" s="3" t="s">
        <v>191</v>
      </c>
      <c r="BJ2" s="3" t="s">
        <v>192</v>
      </c>
      <c r="BK2" s="3" t="s">
        <v>193</v>
      </c>
      <c r="BL2" s="3" t="s">
        <v>194</v>
      </c>
      <c r="BM2" s="3" t="s">
        <v>195</v>
      </c>
      <c r="BN2" s="3" t="s">
        <v>196</v>
      </c>
      <c r="BO2" s="3" t="s">
        <v>197</v>
      </c>
      <c r="BP2" s="3" t="s">
        <v>198</v>
      </c>
      <c r="BQ2" s="3" t="s">
        <v>199</v>
      </c>
      <c r="BR2" s="3" t="s">
        <v>200</v>
      </c>
      <c r="BS2" s="3" t="s">
        <v>201</v>
      </c>
      <c r="BT2" s="3" t="s">
        <v>202</v>
      </c>
      <c r="BU2" s="3" t="s">
        <v>203</v>
      </c>
      <c r="BV2" s="3" t="s">
        <v>204</v>
      </c>
      <c r="BW2" s="3" t="s">
        <v>205</v>
      </c>
      <c r="BX2" s="3" t="s">
        <v>206</v>
      </c>
      <c r="BY2" s="3" t="s">
        <v>207</v>
      </c>
      <c r="BZ2" s="3" t="s">
        <v>208</v>
      </c>
      <c r="CA2" s="3" t="s">
        <v>209</v>
      </c>
      <c r="CB2" s="3" t="s">
        <v>210</v>
      </c>
      <c r="CC2" s="3" t="s">
        <v>211</v>
      </c>
      <c r="CD2" s="3" t="s">
        <v>212</v>
      </c>
      <c r="CE2" s="3" t="s">
        <v>213</v>
      </c>
      <c r="CF2" s="3" t="s">
        <v>214</v>
      </c>
      <c r="CG2" s="3" t="s">
        <v>215</v>
      </c>
      <c r="CH2" s="3" t="s">
        <v>216</v>
      </c>
      <c r="CI2" s="3" t="s">
        <v>217</v>
      </c>
      <c r="CJ2" s="3" t="s">
        <v>218</v>
      </c>
      <c r="CK2" s="3" t="s">
        <v>219</v>
      </c>
      <c r="CL2" s="3" t="s">
        <v>220</v>
      </c>
      <c r="CM2" s="3" t="s">
        <v>221</v>
      </c>
      <c r="CN2" s="3" t="s">
        <v>222</v>
      </c>
      <c r="CO2" s="3" t="s">
        <v>223</v>
      </c>
      <c r="CP2" s="40" t="s">
        <v>224</v>
      </c>
      <c r="CQ2" s="40" t="s">
        <v>225</v>
      </c>
      <c r="CR2" s="40" t="s">
        <v>226</v>
      </c>
      <c r="CS2" s="38" t="s">
        <v>227</v>
      </c>
    </row>
    <row r="3" spans="1:97" s="2" customFormat="1">
      <c r="A3" s="35"/>
      <c r="B3" s="35"/>
      <c r="C3" s="35"/>
      <c r="D3" s="37"/>
      <c r="E3" s="35"/>
      <c r="F3" s="35"/>
      <c r="G3" s="35"/>
      <c r="H3" s="35"/>
      <c r="I3" s="35"/>
      <c r="J3" s="35"/>
      <c r="K3" s="35"/>
      <c r="L3" s="35"/>
      <c r="M3" s="35"/>
      <c r="N3" s="35"/>
      <c r="O3" s="4" t="s">
        <v>228</v>
      </c>
      <c r="P3" s="4"/>
      <c r="Q3" s="4" t="s">
        <v>93</v>
      </c>
      <c r="R3" s="4" t="s">
        <v>229</v>
      </c>
      <c r="S3" s="4" t="s">
        <v>94</v>
      </c>
      <c r="T3" s="4" t="s">
        <v>230</v>
      </c>
      <c r="U3" s="4" t="s">
        <v>231</v>
      </c>
      <c r="V3" s="4" t="s">
        <v>232</v>
      </c>
      <c r="W3" s="4" t="s">
        <v>233</v>
      </c>
      <c r="X3" s="4" t="s">
        <v>234</v>
      </c>
      <c r="Y3" s="4" t="s">
        <v>235</v>
      </c>
      <c r="Z3" s="4" t="s">
        <v>236</v>
      </c>
      <c r="AA3" s="4" t="s">
        <v>236</v>
      </c>
      <c r="AB3" s="4" t="s">
        <v>236</v>
      </c>
      <c r="AC3" s="4" t="s">
        <v>237</v>
      </c>
      <c r="AD3" s="4" t="s">
        <v>237</v>
      </c>
      <c r="AE3" s="4" t="s">
        <v>238</v>
      </c>
      <c r="AF3" s="4" t="s">
        <v>239</v>
      </c>
      <c r="AG3" s="4" t="s">
        <v>239</v>
      </c>
      <c r="AH3" s="4" t="s">
        <v>239</v>
      </c>
      <c r="AI3" s="4" t="s">
        <v>240</v>
      </c>
      <c r="AJ3" s="4" t="s">
        <v>240</v>
      </c>
      <c r="AK3" s="4" t="s">
        <v>240</v>
      </c>
      <c r="AL3" s="4" t="s">
        <v>241</v>
      </c>
      <c r="AM3" s="4" t="s">
        <v>241</v>
      </c>
      <c r="AN3" s="4" t="s">
        <v>241</v>
      </c>
      <c r="AO3" s="4" t="s">
        <v>241</v>
      </c>
      <c r="AP3" s="4" t="s">
        <v>241</v>
      </c>
      <c r="AQ3" s="4" t="s">
        <v>241</v>
      </c>
      <c r="AR3" s="4" t="s">
        <v>241</v>
      </c>
      <c r="AS3" s="4" t="s">
        <v>241</v>
      </c>
      <c r="AT3" s="4" t="s">
        <v>242</v>
      </c>
      <c r="AU3" s="4" t="s">
        <v>242</v>
      </c>
      <c r="AV3" s="4" t="s">
        <v>242</v>
      </c>
      <c r="AW3" s="4" t="s">
        <v>243</v>
      </c>
      <c r="AX3" s="4" t="s">
        <v>109</v>
      </c>
      <c r="AY3" s="4" t="s">
        <v>94</v>
      </c>
      <c r="AZ3" s="4" t="s">
        <v>244</v>
      </c>
      <c r="BA3" s="4" t="s">
        <v>230</v>
      </c>
      <c r="BB3" s="4" t="s">
        <v>245</v>
      </c>
      <c r="BC3" s="4" t="s">
        <v>245</v>
      </c>
      <c r="BD3" s="4" t="s">
        <v>230</v>
      </c>
      <c r="BE3" s="4" t="s">
        <v>230</v>
      </c>
      <c r="BF3" s="4" t="s">
        <v>230</v>
      </c>
      <c r="BG3" s="4" t="s">
        <v>230</v>
      </c>
      <c r="BH3" s="4" t="s">
        <v>230</v>
      </c>
      <c r="BI3" s="4" t="s">
        <v>230</v>
      </c>
      <c r="BJ3" s="4" t="s">
        <v>230</v>
      </c>
      <c r="BK3" s="4" t="s">
        <v>230</v>
      </c>
      <c r="BL3" s="4" t="s">
        <v>230</v>
      </c>
      <c r="BM3" s="4" t="s">
        <v>246</v>
      </c>
      <c r="BN3" s="4" t="s">
        <v>246</v>
      </c>
      <c r="BO3" s="4" t="s">
        <v>246</v>
      </c>
      <c r="BP3" s="4" t="s">
        <v>246</v>
      </c>
      <c r="BQ3" s="4"/>
      <c r="BR3" s="4" t="s">
        <v>246</v>
      </c>
      <c r="BS3" s="4" t="s">
        <v>246</v>
      </c>
      <c r="BT3" s="4" t="s">
        <v>246</v>
      </c>
      <c r="BU3" s="4" t="s">
        <v>246</v>
      </c>
      <c r="BV3" s="4" t="s">
        <v>246</v>
      </c>
      <c r="BW3" s="4" t="s">
        <v>246</v>
      </c>
      <c r="BX3" s="4" t="s">
        <v>246</v>
      </c>
      <c r="BY3" s="4" t="s">
        <v>246</v>
      </c>
      <c r="BZ3" s="4" t="s">
        <v>246</v>
      </c>
      <c r="CA3" s="4" t="s">
        <v>247</v>
      </c>
      <c r="CB3" s="4" t="s">
        <v>247</v>
      </c>
      <c r="CC3" s="4" t="s">
        <v>247</v>
      </c>
      <c r="CD3" s="4" t="s">
        <v>247</v>
      </c>
      <c r="CE3" s="4"/>
      <c r="CF3" s="4" t="s">
        <v>247</v>
      </c>
      <c r="CG3" s="4" t="s">
        <v>247</v>
      </c>
      <c r="CH3" s="4" t="s">
        <v>247</v>
      </c>
      <c r="CI3" s="4" t="s">
        <v>247</v>
      </c>
      <c r="CJ3" s="4" t="s">
        <v>247</v>
      </c>
      <c r="CK3" s="4" t="s">
        <v>247</v>
      </c>
      <c r="CL3" s="4" t="s">
        <v>247</v>
      </c>
      <c r="CM3" s="4" t="s">
        <v>247</v>
      </c>
      <c r="CN3" s="4" t="s">
        <v>247</v>
      </c>
      <c r="CO3" s="4" t="s">
        <v>247</v>
      </c>
      <c r="CP3" s="41"/>
      <c r="CQ3" s="41"/>
      <c r="CR3" s="41"/>
      <c r="CS3" s="39"/>
    </row>
    <row r="4" spans="1:97" s="2" customFormat="1" ht="12.75">
      <c r="A4" s="2">
        <v>1</v>
      </c>
      <c r="B4" s="5" t="s">
        <v>248</v>
      </c>
      <c r="C4" s="5" t="s">
        <v>249</v>
      </c>
      <c r="D4" s="6" t="s">
        <v>250</v>
      </c>
      <c r="E4" s="5" t="s">
        <v>251</v>
      </c>
      <c r="F4" s="5" t="s">
        <v>252</v>
      </c>
      <c r="G4" s="5">
        <v>2011</v>
      </c>
      <c r="H4" s="5">
        <v>2011</v>
      </c>
      <c r="I4" s="5">
        <v>1</v>
      </c>
      <c r="J4" s="5">
        <v>1</v>
      </c>
      <c r="K4" s="5">
        <v>1</v>
      </c>
      <c r="L4" s="5">
        <v>1</v>
      </c>
      <c r="M4" s="5">
        <v>0</v>
      </c>
      <c r="N4" s="5">
        <v>0</v>
      </c>
      <c r="O4" s="6">
        <v>19.3</v>
      </c>
      <c r="P4" s="6">
        <f t="shared" ref="P4:P15" si="0">(O4-5)*12</f>
        <v>171.60000000000002</v>
      </c>
      <c r="Q4" s="6">
        <v>1700</v>
      </c>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5"/>
      <c r="AV4" s="6"/>
      <c r="AW4" s="6">
        <v>3430</v>
      </c>
      <c r="AX4" s="6"/>
      <c r="AY4" s="6"/>
      <c r="AZ4" s="6"/>
      <c r="BA4" s="6"/>
      <c r="BB4" s="6"/>
      <c r="BC4" s="6"/>
      <c r="BD4" s="6"/>
      <c r="BE4" s="6"/>
      <c r="BF4" s="6"/>
      <c r="BG4" s="6"/>
      <c r="BH4" s="6"/>
      <c r="BI4" s="6"/>
      <c r="BJ4" s="6"/>
      <c r="BK4" s="6"/>
      <c r="BL4" s="6"/>
      <c r="BM4" s="6"/>
      <c r="BN4" s="6">
        <f>47.35*0.145</f>
        <v>6.8657499999999994</v>
      </c>
      <c r="BO4" s="6">
        <f>47.35*0.6</f>
        <v>28.41</v>
      </c>
      <c r="BP4" s="6">
        <f>SUM(BM4:BO4)</f>
        <v>35.275750000000002</v>
      </c>
      <c r="BQ4" s="6">
        <f t="shared" ref="BQ4:BQ11" si="1">BU4/BP4</f>
        <v>0.34228187919463082</v>
      </c>
      <c r="BR4" s="6">
        <f>47.35*0.125</f>
        <v>5.9187500000000002</v>
      </c>
      <c r="BS4" s="6">
        <f>47.35*0.13</f>
        <v>6.1555</v>
      </c>
      <c r="BT4" s="6"/>
      <c r="BU4" s="6">
        <f>SUM(BR4:BT4)</f>
        <v>12.074249999999999</v>
      </c>
      <c r="BV4" s="6">
        <f t="shared" ref="BV4:BV11" si="2">BU4+BP4</f>
        <v>47.35</v>
      </c>
      <c r="BW4" s="6"/>
      <c r="BX4" s="6">
        <v>96.45</v>
      </c>
      <c r="BY4" s="6"/>
      <c r="BZ4" s="6">
        <f>BV4+BX4</f>
        <v>143.80000000000001</v>
      </c>
      <c r="CA4" s="6"/>
      <c r="CB4" s="6"/>
      <c r="CC4" s="6"/>
      <c r="CD4" s="6">
        <v>1.63</v>
      </c>
      <c r="CE4" s="6"/>
      <c r="CF4" s="6"/>
      <c r="CG4" s="6"/>
      <c r="CH4" s="6"/>
      <c r="CI4" s="6"/>
      <c r="CJ4" s="6"/>
      <c r="CK4" s="6"/>
      <c r="CL4" s="6"/>
      <c r="CM4" s="6"/>
      <c r="CN4" s="6"/>
      <c r="CO4" s="6"/>
      <c r="CP4" s="5" t="s">
        <v>253</v>
      </c>
      <c r="CQ4" s="5" t="s">
        <v>254</v>
      </c>
      <c r="CR4" s="7" t="s">
        <v>255</v>
      </c>
      <c r="CS4" s="8" t="s">
        <v>256</v>
      </c>
    </row>
    <row r="5" spans="1:97" s="2" customFormat="1" ht="12.75">
      <c r="A5" s="2">
        <v>2</v>
      </c>
      <c r="B5" s="2" t="s">
        <v>248</v>
      </c>
      <c r="C5" s="2" t="s">
        <v>257</v>
      </c>
      <c r="D5" s="4" t="s">
        <v>250</v>
      </c>
      <c r="E5" s="2" t="s">
        <v>251</v>
      </c>
      <c r="F5" s="2" t="s">
        <v>258</v>
      </c>
      <c r="G5" s="2">
        <v>2011</v>
      </c>
      <c r="H5" s="2">
        <v>2011</v>
      </c>
      <c r="I5" s="2">
        <v>1</v>
      </c>
      <c r="J5" s="2">
        <v>1</v>
      </c>
      <c r="K5" s="2">
        <v>1</v>
      </c>
      <c r="L5" s="2">
        <v>1</v>
      </c>
      <c r="M5" s="2">
        <v>0</v>
      </c>
      <c r="N5" s="2">
        <v>0</v>
      </c>
      <c r="O5" s="4">
        <v>19.3</v>
      </c>
      <c r="P5" s="4">
        <f t="shared" si="0"/>
        <v>171.60000000000002</v>
      </c>
      <c r="Q5" s="4">
        <v>1700</v>
      </c>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V5" s="4"/>
      <c r="AW5" s="4">
        <v>3800</v>
      </c>
      <c r="AX5" s="4"/>
      <c r="AY5" s="4"/>
      <c r="AZ5" s="4"/>
      <c r="BA5" s="4"/>
      <c r="BB5" s="4"/>
      <c r="BC5" s="4"/>
      <c r="BD5" s="4"/>
      <c r="BE5" s="4"/>
      <c r="BF5" s="4"/>
      <c r="BG5" s="4"/>
      <c r="BH5" s="4"/>
      <c r="BI5" s="4"/>
      <c r="BJ5" s="4"/>
      <c r="BK5" s="4"/>
      <c r="BL5" s="4"/>
      <c r="BM5" s="4"/>
      <c r="BN5" s="4">
        <f>51.95*0.145</f>
        <v>7.5327500000000001</v>
      </c>
      <c r="BO5" s="4">
        <f>51.95*0.6</f>
        <v>31.17</v>
      </c>
      <c r="BP5" s="4">
        <f>SUM(BM5:BO5)</f>
        <v>38.702750000000002</v>
      </c>
      <c r="BQ5" s="4">
        <f t="shared" si="1"/>
        <v>0.34228187919463088</v>
      </c>
      <c r="BR5" s="4">
        <f>51.95*0.125</f>
        <v>6.4937500000000004</v>
      </c>
      <c r="BS5" s="4">
        <f>51.95*0.13</f>
        <v>6.7535000000000007</v>
      </c>
      <c r="BT5" s="4"/>
      <c r="BU5" s="4">
        <f>SUM(BR5:BT5)</f>
        <v>13.247250000000001</v>
      </c>
      <c r="BV5" s="4">
        <f t="shared" si="2"/>
        <v>51.95</v>
      </c>
      <c r="BW5" s="4"/>
      <c r="BX5" s="4">
        <v>107.54</v>
      </c>
      <c r="BY5" s="4"/>
      <c r="BZ5" s="4">
        <f>BV5+BX5</f>
        <v>159.49</v>
      </c>
      <c r="CA5" s="4"/>
      <c r="CB5" s="4"/>
      <c r="CC5" s="4"/>
      <c r="CD5" s="4">
        <v>1.58</v>
      </c>
      <c r="CE5" s="4"/>
      <c r="CF5" s="4"/>
      <c r="CG5" s="4"/>
      <c r="CH5" s="4"/>
      <c r="CI5" s="4"/>
      <c r="CJ5" s="4"/>
      <c r="CK5" s="4"/>
      <c r="CL5" s="4"/>
      <c r="CM5" s="4"/>
      <c r="CN5" s="4"/>
      <c r="CO5" s="4"/>
      <c r="CP5" s="2" t="s">
        <v>259</v>
      </c>
      <c r="CQ5" s="2" t="s">
        <v>254</v>
      </c>
      <c r="CR5" s="7" t="s">
        <v>255</v>
      </c>
      <c r="CS5" s="9" t="s">
        <v>256</v>
      </c>
    </row>
    <row r="6" spans="1:97" s="2" customFormat="1" ht="12.75">
      <c r="A6" s="2">
        <v>3</v>
      </c>
      <c r="B6" s="2" t="s">
        <v>248</v>
      </c>
      <c r="C6" s="2" t="s">
        <v>260</v>
      </c>
      <c r="D6" s="4" t="s">
        <v>261</v>
      </c>
      <c r="E6" s="2" t="s">
        <v>262</v>
      </c>
      <c r="F6" s="2" t="s">
        <v>263</v>
      </c>
      <c r="G6" s="2">
        <v>1993</v>
      </c>
      <c r="H6" s="2">
        <v>2000</v>
      </c>
      <c r="I6" s="2">
        <v>0</v>
      </c>
      <c r="J6" s="2">
        <v>0</v>
      </c>
      <c r="K6" s="2">
        <v>0</v>
      </c>
      <c r="L6" s="2">
        <v>0</v>
      </c>
      <c r="M6" s="2">
        <v>0</v>
      </c>
      <c r="N6" s="2">
        <v>0</v>
      </c>
      <c r="O6" s="4">
        <v>12.8</v>
      </c>
      <c r="P6" s="4">
        <f t="shared" si="0"/>
        <v>93.600000000000009</v>
      </c>
      <c r="Q6" s="4">
        <v>2678.8</v>
      </c>
      <c r="R6" s="4"/>
      <c r="S6" s="4">
        <v>1100</v>
      </c>
      <c r="T6" s="4">
        <v>86.6</v>
      </c>
      <c r="U6" s="4">
        <v>1434.3</v>
      </c>
      <c r="V6" s="4">
        <v>0.91</v>
      </c>
      <c r="W6" s="4"/>
      <c r="X6" s="4"/>
      <c r="Y6" s="4">
        <v>5</v>
      </c>
      <c r="Z6" s="4"/>
      <c r="AA6" s="4"/>
      <c r="AB6" s="4"/>
      <c r="AC6" s="4"/>
      <c r="AD6" s="4"/>
      <c r="AE6" s="4"/>
      <c r="AF6" s="4"/>
      <c r="AG6" s="4"/>
      <c r="AH6" s="4"/>
      <c r="AI6" s="4"/>
      <c r="AJ6" s="4"/>
      <c r="AK6" s="4"/>
      <c r="AL6" s="4"/>
      <c r="AM6" s="4"/>
      <c r="AN6" s="4"/>
      <c r="AO6" s="4"/>
      <c r="AP6" s="4"/>
      <c r="AQ6" s="4">
        <f>(448.91/1000/1000)*10000</f>
        <v>4.4891000000000005</v>
      </c>
      <c r="AR6" s="4"/>
      <c r="AS6" s="4"/>
      <c r="AT6" s="4">
        <f>(95.75/1000/1000)*10000</f>
        <v>0.95750000000000002</v>
      </c>
      <c r="AU6" s="4">
        <f>(68.43/1000/1000)*10000</f>
        <v>0.68430000000000002</v>
      </c>
      <c r="AV6" s="4">
        <f>(27.32/1000/1000)*10000</f>
        <v>0.2732</v>
      </c>
      <c r="AW6" s="4"/>
      <c r="AX6" s="4"/>
      <c r="AY6" s="4"/>
      <c r="AZ6" s="4"/>
      <c r="BA6" s="4"/>
      <c r="BB6" s="4"/>
      <c r="BC6" s="4"/>
      <c r="BD6" s="4"/>
      <c r="BE6" s="4"/>
      <c r="BF6" s="4"/>
      <c r="BG6" s="4"/>
      <c r="BH6" s="4"/>
      <c r="BI6" s="4"/>
      <c r="BJ6" s="4"/>
      <c r="BK6" s="4"/>
      <c r="BL6" s="4"/>
      <c r="BM6" s="4"/>
      <c r="BN6" s="4"/>
      <c r="BO6" s="4"/>
      <c r="BP6" s="4">
        <f>71.6*0.5</f>
        <v>35.799999999999997</v>
      </c>
      <c r="BQ6" s="4">
        <f t="shared" si="1"/>
        <v>0.85474860335195546</v>
      </c>
      <c r="BR6" s="4"/>
      <c r="BS6" s="4"/>
      <c r="BT6" s="4"/>
      <c r="BU6" s="4">
        <f>61.2*0.5</f>
        <v>30.6</v>
      </c>
      <c r="BV6" s="4">
        <f t="shared" si="2"/>
        <v>66.400000000000006</v>
      </c>
      <c r="BW6" s="4"/>
      <c r="BX6" s="4"/>
      <c r="BY6" s="4"/>
      <c r="BZ6" s="4"/>
      <c r="CA6" s="4"/>
      <c r="CB6" s="4"/>
      <c r="CC6" s="4">
        <f>16.1281*0.5</f>
        <v>8.0640499999999999</v>
      </c>
      <c r="CD6" s="4">
        <f>(1.2989+0.2015+0.296)*0.5</f>
        <v>0.8982</v>
      </c>
      <c r="CE6" s="4"/>
      <c r="CF6" s="4">
        <f>SUM(CA6:CD6)</f>
        <v>8.9622499999999992</v>
      </c>
      <c r="CG6" s="4"/>
      <c r="CH6" s="4"/>
      <c r="CI6" s="4"/>
      <c r="CJ6" s="4"/>
      <c r="CK6" s="4"/>
      <c r="CL6" s="4"/>
      <c r="CM6" s="4"/>
      <c r="CN6" s="4"/>
      <c r="CO6" s="4"/>
      <c r="CP6" s="2" t="s">
        <v>264</v>
      </c>
      <c r="CQ6" s="2" t="s">
        <v>254</v>
      </c>
      <c r="CR6" s="10" t="s">
        <v>265</v>
      </c>
      <c r="CS6" s="9" t="s">
        <v>256</v>
      </c>
    </row>
    <row r="7" spans="1:97" s="2" customFormat="1" ht="12.75">
      <c r="A7" s="2">
        <v>4</v>
      </c>
      <c r="B7" s="2" t="s">
        <v>248</v>
      </c>
      <c r="C7" s="2" t="s">
        <v>266</v>
      </c>
      <c r="D7" s="4" t="s">
        <v>250</v>
      </c>
      <c r="E7" s="2" t="s">
        <v>251</v>
      </c>
      <c r="F7" s="2" t="s">
        <v>267</v>
      </c>
      <c r="G7" s="2">
        <v>2011</v>
      </c>
      <c r="H7" s="2">
        <v>2011</v>
      </c>
      <c r="I7" s="2">
        <v>1</v>
      </c>
      <c r="J7" s="2">
        <v>1</v>
      </c>
      <c r="K7" s="2">
        <v>1</v>
      </c>
      <c r="L7" s="2">
        <v>1</v>
      </c>
      <c r="M7" s="2">
        <v>0</v>
      </c>
      <c r="N7" s="2">
        <v>0</v>
      </c>
      <c r="O7" s="4">
        <v>19.3</v>
      </c>
      <c r="P7" s="4">
        <f t="shared" si="0"/>
        <v>171.60000000000002</v>
      </c>
      <c r="Q7" s="4">
        <v>1700</v>
      </c>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V7" s="4"/>
      <c r="AW7" s="4">
        <v>3330</v>
      </c>
      <c r="AX7" s="4"/>
      <c r="AY7" s="4"/>
      <c r="AZ7" s="4"/>
      <c r="BA7" s="4"/>
      <c r="BB7" s="4"/>
      <c r="BC7" s="4"/>
      <c r="BD7" s="4"/>
      <c r="BE7" s="4"/>
      <c r="BF7" s="4"/>
      <c r="BG7" s="4"/>
      <c r="BH7" s="4"/>
      <c r="BI7" s="4"/>
      <c r="BJ7" s="4"/>
      <c r="BK7" s="4"/>
      <c r="BL7" s="4"/>
      <c r="BM7" s="4"/>
      <c r="BN7" s="4">
        <f>58.7*0.145</f>
        <v>8.5114999999999998</v>
      </c>
      <c r="BO7" s="4">
        <f>58.7*0.6</f>
        <v>35.22</v>
      </c>
      <c r="BP7" s="4">
        <f>SUM(BM7:BO7)</f>
        <v>43.731499999999997</v>
      </c>
      <c r="BQ7" s="4">
        <f t="shared" si="1"/>
        <v>0.34228187919463093</v>
      </c>
      <c r="BR7" s="4">
        <f>58.7*0.125</f>
        <v>7.3375000000000004</v>
      </c>
      <c r="BS7" s="4">
        <f>58.7*0.13</f>
        <v>7.6310000000000002</v>
      </c>
      <c r="BT7" s="4"/>
      <c r="BU7" s="4">
        <f>SUM(BR7:BT7)</f>
        <v>14.968500000000001</v>
      </c>
      <c r="BV7" s="4">
        <f t="shared" si="2"/>
        <v>58.699999999999996</v>
      </c>
      <c r="BW7" s="4"/>
      <c r="BX7" s="4">
        <v>79.14</v>
      </c>
      <c r="BY7" s="4"/>
      <c r="BZ7" s="4">
        <f>BV7+BX7</f>
        <v>137.84</v>
      </c>
      <c r="CA7" s="4"/>
      <c r="CB7" s="4"/>
      <c r="CC7" s="4"/>
      <c r="CD7" s="4">
        <v>1.71</v>
      </c>
      <c r="CE7" s="4"/>
      <c r="CF7" s="4"/>
      <c r="CG7" s="4"/>
      <c r="CH7" s="4"/>
      <c r="CI7" s="4"/>
      <c r="CJ7" s="4"/>
      <c r="CK7" s="4"/>
      <c r="CL7" s="4"/>
      <c r="CM7" s="4"/>
      <c r="CN7" s="4"/>
      <c r="CO7" s="4"/>
      <c r="CP7" s="2" t="s">
        <v>253</v>
      </c>
      <c r="CQ7" s="2" t="s">
        <v>254</v>
      </c>
      <c r="CR7" s="10" t="s">
        <v>268</v>
      </c>
      <c r="CS7" s="9" t="s">
        <v>256</v>
      </c>
    </row>
    <row r="8" spans="1:97" s="2" customFormat="1" ht="12.75">
      <c r="A8" s="2">
        <v>5</v>
      </c>
      <c r="B8" s="2" t="s">
        <v>248</v>
      </c>
      <c r="C8" s="2" t="s">
        <v>269</v>
      </c>
      <c r="D8" s="4" t="s">
        <v>261</v>
      </c>
      <c r="E8" s="2" t="s">
        <v>270</v>
      </c>
      <c r="F8" s="2" t="s">
        <v>271</v>
      </c>
      <c r="G8" s="2">
        <v>1995</v>
      </c>
      <c r="H8" s="2">
        <v>2008</v>
      </c>
      <c r="I8" s="2">
        <v>1</v>
      </c>
      <c r="J8" s="2">
        <v>1</v>
      </c>
      <c r="K8" s="2">
        <v>1</v>
      </c>
      <c r="L8" s="2">
        <v>1</v>
      </c>
      <c r="M8" s="2">
        <v>0</v>
      </c>
      <c r="N8" s="2">
        <v>0</v>
      </c>
      <c r="O8" s="4">
        <v>23</v>
      </c>
      <c r="P8" s="4">
        <f t="shared" si="0"/>
        <v>216</v>
      </c>
      <c r="Q8" s="4">
        <v>2000</v>
      </c>
      <c r="R8" s="4"/>
      <c r="S8" s="4">
        <v>800</v>
      </c>
      <c r="T8" s="4"/>
      <c r="U8" s="4"/>
      <c r="V8" s="4"/>
      <c r="W8" s="4"/>
      <c r="X8" s="4"/>
      <c r="Y8" s="4"/>
      <c r="Z8" s="4"/>
      <c r="AA8" s="4"/>
      <c r="AB8" s="4"/>
      <c r="AC8" s="4"/>
      <c r="AD8" s="4"/>
      <c r="AE8" s="4"/>
      <c r="AF8" s="4"/>
      <c r="AG8" s="4"/>
      <c r="AH8" s="4"/>
      <c r="AI8" s="4"/>
      <c r="AJ8" s="4"/>
      <c r="AK8" s="4"/>
      <c r="AL8" s="4"/>
      <c r="AM8" s="4"/>
      <c r="AN8" s="4"/>
      <c r="AO8" s="4"/>
      <c r="AP8" s="4"/>
      <c r="AQ8" s="4"/>
      <c r="AR8" s="4"/>
      <c r="AS8" s="4"/>
      <c r="AT8" s="4"/>
      <c r="AW8" s="4">
        <v>2566.67</v>
      </c>
      <c r="AX8" s="4">
        <f>(10.5+13.5)/2</f>
        <v>12</v>
      </c>
      <c r="AY8" s="4"/>
      <c r="AZ8" s="4">
        <f>(AX8/2)^2*PI()*AW8/10000</f>
        <v>29.028353818281531</v>
      </c>
      <c r="BA8" s="4"/>
      <c r="BB8" s="4"/>
      <c r="BC8" s="4"/>
      <c r="BD8" s="4"/>
      <c r="BE8" s="4"/>
      <c r="BF8" s="4"/>
      <c r="BG8" s="4"/>
      <c r="BH8" s="4"/>
      <c r="BI8" s="4"/>
      <c r="BJ8" s="4"/>
      <c r="BK8" s="4"/>
      <c r="BL8" s="4"/>
      <c r="BM8" s="4">
        <f>4.825*0.5</f>
        <v>2.4125000000000001</v>
      </c>
      <c r="BN8" s="4">
        <f>9.3586*0.5</f>
        <v>4.6792999999999996</v>
      </c>
      <c r="BO8" s="4">
        <f>58.5427*0.5</f>
        <v>29.271350000000002</v>
      </c>
      <c r="BP8" s="4">
        <f>SUM(BM8:BO8)</f>
        <v>36.363150000000005</v>
      </c>
      <c r="BQ8" s="4">
        <f t="shared" si="1"/>
        <v>0.25643267978709211</v>
      </c>
      <c r="BR8" s="4">
        <f>9.7892*0.5</f>
        <v>4.8945999999999996</v>
      </c>
      <c r="BS8" s="4"/>
      <c r="BT8" s="4">
        <f>8.8602*0.5</f>
        <v>4.4301000000000004</v>
      </c>
      <c r="BU8" s="4">
        <f>SUM(BR8:BT8)</f>
        <v>9.3247</v>
      </c>
      <c r="BV8" s="4">
        <f t="shared" si="2"/>
        <v>45.687850000000005</v>
      </c>
      <c r="BW8" s="4"/>
      <c r="BX8" s="4"/>
      <c r="BY8" s="4"/>
      <c r="BZ8" s="4"/>
      <c r="CA8" s="4"/>
      <c r="CB8" s="4"/>
      <c r="CC8" s="4"/>
      <c r="CD8" s="4"/>
      <c r="CE8" s="4"/>
      <c r="CF8" s="4"/>
      <c r="CG8" s="4"/>
      <c r="CH8" s="4"/>
      <c r="CI8" s="4"/>
      <c r="CJ8" s="4"/>
      <c r="CK8" s="4"/>
      <c r="CL8" s="4"/>
      <c r="CM8" s="4"/>
      <c r="CN8" s="4"/>
      <c r="CO8" s="4"/>
      <c r="CP8" s="2" t="s">
        <v>272</v>
      </c>
      <c r="CQ8" s="2" t="s">
        <v>254</v>
      </c>
      <c r="CR8" s="10" t="s">
        <v>273</v>
      </c>
      <c r="CS8" s="9" t="s">
        <v>256</v>
      </c>
    </row>
    <row r="9" spans="1:97" s="2" customFormat="1">
      <c r="A9" s="2">
        <v>6</v>
      </c>
      <c r="B9" s="2" t="s">
        <v>248</v>
      </c>
      <c r="C9" s="2" t="s">
        <v>274</v>
      </c>
      <c r="D9" s="4" t="s">
        <v>261</v>
      </c>
      <c r="E9" s="2" t="s">
        <v>275</v>
      </c>
      <c r="F9" s="2" t="s">
        <v>276</v>
      </c>
      <c r="G9" s="2">
        <v>2007</v>
      </c>
      <c r="H9" s="2">
        <v>2008</v>
      </c>
      <c r="I9" s="2">
        <v>1</v>
      </c>
      <c r="J9" s="2">
        <v>1</v>
      </c>
      <c r="K9" s="2">
        <v>1</v>
      </c>
      <c r="L9" s="2">
        <v>1</v>
      </c>
      <c r="M9" s="2">
        <v>0</v>
      </c>
      <c r="N9" s="2">
        <v>0</v>
      </c>
      <c r="O9" s="4">
        <v>23</v>
      </c>
      <c r="P9" s="4">
        <f t="shared" si="0"/>
        <v>216</v>
      </c>
      <c r="Q9" s="4">
        <v>2000</v>
      </c>
      <c r="R9" s="4"/>
      <c r="S9" s="4">
        <f>(580+1604.8)/2</f>
        <v>1092.4000000000001</v>
      </c>
      <c r="T9" s="4">
        <v>80</v>
      </c>
      <c r="U9" s="4"/>
      <c r="V9" s="4"/>
      <c r="W9" s="4"/>
      <c r="X9" s="4"/>
      <c r="Y9" s="4"/>
      <c r="Z9" s="4"/>
      <c r="AA9" s="4"/>
      <c r="AB9" s="4"/>
      <c r="AC9" s="4"/>
      <c r="AD9" s="4"/>
      <c r="AE9" s="4"/>
      <c r="AF9" s="4"/>
      <c r="AG9" s="4"/>
      <c r="AH9" s="4"/>
      <c r="AI9" s="4"/>
      <c r="AJ9" s="4"/>
      <c r="AK9" s="4"/>
      <c r="AL9" s="4"/>
      <c r="AM9" s="4"/>
      <c r="AN9" s="4"/>
      <c r="AO9" s="4"/>
      <c r="AP9" s="4"/>
      <c r="AQ9" s="4"/>
      <c r="AR9" s="4"/>
      <c r="AS9" s="4"/>
      <c r="AT9" s="4"/>
      <c r="AW9" s="4">
        <v>2770.33</v>
      </c>
      <c r="AX9" s="4">
        <f>(10.5+12.5)/2</f>
        <v>11.5</v>
      </c>
      <c r="AY9" s="4"/>
      <c r="AZ9" s="4">
        <f>(AX9/2)^2*PI()*AW9/10000</f>
        <v>28.775114943214181</v>
      </c>
      <c r="BA9" s="4"/>
      <c r="BB9" s="4"/>
      <c r="BC9" s="4"/>
      <c r="BD9" s="4"/>
      <c r="BE9" s="4"/>
      <c r="BF9" s="4"/>
      <c r="BG9" s="4"/>
      <c r="BH9" s="4"/>
      <c r="BI9" s="4"/>
      <c r="BJ9" s="4"/>
      <c r="BK9" s="4"/>
      <c r="BL9" s="4"/>
      <c r="BM9" s="4">
        <f>6.537*0.5</f>
        <v>3.2685</v>
      </c>
      <c r="BN9" s="4">
        <f>12.664*0.5</f>
        <v>6.3319999999999999</v>
      </c>
      <c r="BO9" s="4">
        <f>85.905*0.5</f>
        <v>42.952500000000001</v>
      </c>
      <c r="BP9" s="4">
        <f>SUM(BM9:BO9)</f>
        <v>52.552999999999997</v>
      </c>
      <c r="BQ9" s="4">
        <f t="shared" si="1"/>
        <v>0.36447015393983223</v>
      </c>
      <c r="BR9" s="4">
        <f>(13.56+3.552)*0.5</f>
        <v>8.5560000000000009</v>
      </c>
      <c r="BS9" s="4">
        <f>9.17*0.5</f>
        <v>4.585</v>
      </c>
      <c r="BT9" s="4">
        <f>12.026*0.5</f>
        <v>6.0129999999999999</v>
      </c>
      <c r="BU9" s="4">
        <f>SUM(BR9:BT9)</f>
        <v>19.154000000000003</v>
      </c>
      <c r="BV9" s="4">
        <f t="shared" si="2"/>
        <v>71.706999999999994</v>
      </c>
      <c r="BW9" s="4"/>
      <c r="BX9" s="4"/>
      <c r="BY9" s="4"/>
      <c r="BZ9" s="4"/>
      <c r="CA9" s="4">
        <f>5.886*0.5</f>
        <v>2.9430000000000001</v>
      </c>
      <c r="CB9" s="4">
        <f>5.53581*0.5</f>
        <v>2.7679049999999998</v>
      </c>
      <c r="CC9" s="4">
        <f>35.28824*0.5</f>
        <v>17.644120000000001</v>
      </c>
      <c r="CD9" s="4"/>
      <c r="CE9" s="4"/>
      <c r="CF9" s="4">
        <f>SUM(CA9:CD9)</f>
        <v>23.355025000000001</v>
      </c>
      <c r="CG9" s="4">
        <f>(3.18106+1.45924)*0.5</f>
        <v>2.3201499999999999</v>
      </c>
      <c r="CH9" s="4">
        <f>3.76702*0.5</f>
        <v>1.88351</v>
      </c>
      <c r="CI9" s="4">
        <f>4.66874*0.5</f>
        <v>2.3343699999999998</v>
      </c>
      <c r="CJ9" s="4">
        <f>SUM(CG9:CI9)</f>
        <v>6.53803</v>
      </c>
      <c r="CK9" s="4">
        <f>CJ9+CF9</f>
        <v>29.893055</v>
      </c>
      <c r="CL9" s="4"/>
      <c r="CM9" s="4"/>
      <c r="CN9" s="4"/>
      <c r="CO9" s="4"/>
      <c r="CP9" s="2" t="s">
        <v>277</v>
      </c>
      <c r="CQ9" s="2" t="s">
        <v>254</v>
      </c>
      <c r="CR9" s="10" t="s">
        <v>278</v>
      </c>
      <c r="CS9" s="9" t="s">
        <v>256</v>
      </c>
    </row>
    <row r="10" spans="1:97" s="2" customFormat="1" ht="12.75">
      <c r="A10" s="2">
        <v>7</v>
      </c>
      <c r="B10" s="2" t="s">
        <v>248</v>
      </c>
      <c r="C10" s="2" t="s">
        <v>269</v>
      </c>
      <c r="D10" s="4" t="s">
        <v>261</v>
      </c>
      <c r="E10" s="2" t="s">
        <v>279</v>
      </c>
      <c r="F10" s="2" t="s">
        <v>280</v>
      </c>
      <c r="G10" s="2">
        <v>1995</v>
      </c>
      <c r="H10" s="2">
        <v>2008</v>
      </c>
      <c r="I10" s="2">
        <v>1</v>
      </c>
      <c r="J10" s="2">
        <v>1</v>
      </c>
      <c r="K10" s="2">
        <v>1</v>
      </c>
      <c r="L10" s="2">
        <v>1</v>
      </c>
      <c r="M10" s="2">
        <v>0</v>
      </c>
      <c r="N10" s="2">
        <v>0</v>
      </c>
      <c r="O10" s="4">
        <v>23</v>
      </c>
      <c r="P10" s="4">
        <f t="shared" si="0"/>
        <v>216</v>
      </c>
      <c r="Q10" s="4">
        <v>2000</v>
      </c>
      <c r="R10" s="4"/>
      <c r="S10" s="4">
        <v>800</v>
      </c>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W10" s="4">
        <v>2833.33</v>
      </c>
      <c r="AX10" s="4">
        <f>(10.5+13.5)/2</f>
        <v>12</v>
      </c>
      <c r="AY10" s="4"/>
      <c r="AZ10" s="4">
        <f>(AX10/2)^2*PI()*AW10/10000</f>
        <v>32.044207367504043</v>
      </c>
      <c r="BA10" s="4"/>
      <c r="BB10" s="4"/>
      <c r="BC10" s="4"/>
      <c r="BD10" s="4"/>
      <c r="BE10" s="4"/>
      <c r="BF10" s="4"/>
      <c r="BG10" s="4"/>
      <c r="BH10" s="4"/>
      <c r="BI10" s="4"/>
      <c r="BJ10" s="4"/>
      <c r="BK10" s="4"/>
      <c r="BL10" s="4"/>
      <c r="BM10" s="4">
        <f>5.1296*0.5</f>
        <v>2.5648</v>
      </c>
      <c r="BN10" s="4">
        <f>9.8915*0.5</f>
        <v>4.9457500000000003</v>
      </c>
      <c r="BO10" s="4">
        <f>66.7851*0.5</f>
        <v>33.39255</v>
      </c>
      <c r="BP10" s="4">
        <f>SUM(BM10:BO10)</f>
        <v>40.903100000000002</v>
      </c>
      <c r="BQ10" s="4">
        <f t="shared" si="1"/>
        <v>0.23887798235341573</v>
      </c>
      <c r="BR10" s="4">
        <f>10.1972*0.5</f>
        <v>5.0986000000000002</v>
      </c>
      <c r="BS10" s="4"/>
      <c r="BT10" s="4">
        <f>9.3445*0.5</f>
        <v>4.67225</v>
      </c>
      <c r="BU10" s="4">
        <f>SUM(BR10:BT10)</f>
        <v>9.7708499999999994</v>
      </c>
      <c r="BV10" s="4">
        <f t="shared" si="2"/>
        <v>50.673950000000005</v>
      </c>
      <c r="BW10" s="4"/>
      <c r="BX10" s="4"/>
      <c r="BY10" s="4"/>
      <c r="BZ10" s="4"/>
      <c r="CA10" s="4"/>
      <c r="CB10" s="4"/>
      <c r="CC10" s="4"/>
      <c r="CD10" s="4"/>
      <c r="CE10" s="4"/>
      <c r="CF10" s="4"/>
      <c r="CG10" s="4"/>
      <c r="CH10" s="4"/>
      <c r="CI10" s="4"/>
      <c r="CJ10" s="4"/>
      <c r="CK10" s="4"/>
      <c r="CL10" s="4"/>
      <c r="CM10" s="4"/>
      <c r="CN10" s="4"/>
      <c r="CO10" s="4"/>
      <c r="CP10" s="2" t="s">
        <v>272</v>
      </c>
      <c r="CQ10" s="2" t="s">
        <v>254</v>
      </c>
      <c r="CR10" s="10" t="s">
        <v>273</v>
      </c>
      <c r="CS10" s="9" t="s">
        <v>256</v>
      </c>
    </row>
    <row r="11" spans="1:97" s="2" customFormat="1" ht="12.75">
      <c r="A11" s="2">
        <v>8</v>
      </c>
      <c r="B11" s="2" t="s">
        <v>248</v>
      </c>
      <c r="C11" s="2" t="s">
        <v>274</v>
      </c>
      <c r="D11" s="4" t="s">
        <v>261</v>
      </c>
      <c r="E11" s="2" t="s">
        <v>281</v>
      </c>
      <c r="F11" s="2" t="s">
        <v>282</v>
      </c>
      <c r="G11" s="2">
        <v>1995</v>
      </c>
      <c r="H11" s="2">
        <v>2008</v>
      </c>
      <c r="I11" s="2">
        <v>1</v>
      </c>
      <c r="J11" s="2">
        <v>0</v>
      </c>
      <c r="K11" s="2">
        <v>1</v>
      </c>
      <c r="L11" s="2">
        <v>1</v>
      </c>
      <c r="M11" s="2">
        <v>0</v>
      </c>
      <c r="N11" s="2">
        <v>0</v>
      </c>
      <c r="O11" s="4">
        <v>23</v>
      </c>
      <c r="P11" s="4">
        <f t="shared" si="0"/>
        <v>216</v>
      </c>
      <c r="Q11" s="4">
        <v>2000</v>
      </c>
      <c r="R11" s="4"/>
      <c r="S11" s="4">
        <v>800</v>
      </c>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W11" s="4">
        <v>2629</v>
      </c>
      <c r="AX11" s="4">
        <f>(8.5+11.5)/2</f>
        <v>10</v>
      </c>
      <c r="AY11" s="4"/>
      <c r="AZ11" s="4">
        <f>(AX11/2)^2*PI()*AW11/10000</f>
        <v>20.648117715718918</v>
      </c>
      <c r="BA11" s="4"/>
      <c r="BB11" s="4"/>
      <c r="BC11" s="4"/>
      <c r="BD11" s="4"/>
      <c r="BE11" s="4"/>
      <c r="BF11" s="4"/>
      <c r="BG11" s="4"/>
      <c r="BH11" s="4"/>
      <c r="BI11" s="4"/>
      <c r="BJ11" s="4"/>
      <c r="BK11" s="4"/>
      <c r="BL11" s="4"/>
      <c r="BM11" s="4">
        <f>3.0425*0.5</f>
        <v>1.52125</v>
      </c>
      <c r="BN11" s="4">
        <f>5.962*0.5</f>
        <v>2.9809999999999999</v>
      </c>
      <c r="BO11" s="4">
        <f>39.9792*0.5</f>
        <v>19.989599999999999</v>
      </c>
      <c r="BP11" s="4">
        <f>SUM(BM11:BO11)</f>
        <v>24.491849999999999</v>
      </c>
      <c r="BQ11" s="4">
        <f t="shared" si="1"/>
        <v>0.23912648493274294</v>
      </c>
      <c r="BR11" s="4">
        <f>6.2232*0.5</f>
        <v>3.1116000000000001</v>
      </c>
      <c r="BS11" s="4"/>
      <c r="BT11" s="4">
        <f>5.4901*0.5</f>
        <v>2.74505</v>
      </c>
      <c r="BU11" s="4">
        <f>SUM(BR11:BT11)</f>
        <v>5.8566500000000001</v>
      </c>
      <c r="BV11" s="4">
        <f t="shared" si="2"/>
        <v>30.348500000000001</v>
      </c>
      <c r="BW11" s="4"/>
      <c r="BX11" s="4"/>
      <c r="BY11" s="4"/>
      <c r="BZ11" s="4"/>
      <c r="CA11" s="4"/>
      <c r="CB11" s="4"/>
      <c r="CC11" s="4"/>
      <c r="CD11" s="4"/>
      <c r="CE11" s="4"/>
      <c r="CF11" s="4"/>
      <c r="CG11" s="4"/>
      <c r="CH11" s="4"/>
      <c r="CI11" s="4"/>
      <c r="CJ11" s="4"/>
      <c r="CK11" s="4"/>
      <c r="CL11" s="4"/>
      <c r="CM11" s="4"/>
      <c r="CN11" s="4"/>
      <c r="CO11" s="4"/>
      <c r="CP11" s="2" t="s">
        <v>272</v>
      </c>
      <c r="CQ11" s="2" t="s">
        <v>254</v>
      </c>
      <c r="CR11" s="10" t="s">
        <v>273</v>
      </c>
      <c r="CS11" s="9" t="s">
        <v>256</v>
      </c>
    </row>
    <row r="12" spans="1:97" s="2" customFormat="1" ht="12.75">
      <c r="A12" s="2">
        <v>9</v>
      </c>
      <c r="B12" s="2" t="s">
        <v>248</v>
      </c>
      <c r="C12" s="2" t="s">
        <v>283</v>
      </c>
      <c r="D12" s="4" t="s">
        <v>250</v>
      </c>
      <c r="E12" s="2" t="s">
        <v>284</v>
      </c>
      <c r="F12" s="2" t="s">
        <v>285</v>
      </c>
      <c r="G12" s="2">
        <v>2000</v>
      </c>
      <c r="H12" s="2">
        <v>2011</v>
      </c>
      <c r="I12" s="2">
        <v>1</v>
      </c>
      <c r="J12" s="2">
        <v>0</v>
      </c>
      <c r="K12" s="2">
        <v>1</v>
      </c>
      <c r="L12" s="2">
        <v>1</v>
      </c>
      <c r="M12" s="2">
        <v>0</v>
      </c>
      <c r="N12" s="2">
        <v>0</v>
      </c>
      <c r="O12" s="4">
        <v>16.899999999999999</v>
      </c>
      <c r="P12" s="4">
        <f t="shared" si="0"/>
        <v>142.79999999999998</v>
      </c>
      <c r="Q12" s="4">
        <f>(1251+1608)/2</f>
        <v>1429.5</v>
      </c>
      <c r="R12" s="4"/>
      <c r="S12" s="4">
        <v>112</v>
      </c>
      <c r="T12" s="4"/>
      <c r="U12" s="4"/>
      <c r="V12" s="4"/>
      <c r="W12" s="4"/>
      <c r="X12" s="4"/>
      <c r="Y12" s="4"/>
      <c r="Z12" s="4">
        <v>2.0299999999999998</v>
      </c>
      <c r="AA12" s="4">
        <v>0.37</v>
      </c>
      <c r="AB12" s="4">
        <v>15</v>
      </c>
      <c r="AC12" s="4"/>
      <c r="AD12" s="4"/>
      <c r="AE12" s="4"/>
      <c r="AF12" s="4"/>
      <c r="AG12" s="4"/>
      <c r="AH12" s="4"/>
      <c r="AI12" s="4"/>
      <c r="AJ12" s="4"/>
      <c r="AK12" s="4"/>
      <c r="AL12" s="4"/>
      <c r="AM12" s="4"/>
      <c r="AN12" s="4"/>
      <c r="AO12" s="4"/>
      <c r="AP12" s="4"/>
      <c r="AQ12" s="4"/>
      <c r="AR12" s="4"/>
      <c r="AS12" s="4"/>
      <c r="AT12" s="4"/>
      <c r="AV12" s="4"/>
      <c r="AW12" s="4"/>
      <c r="AX12" s="4">
        <v>8.3000000000000007</v>
      </c>
      <c r="AY12" s="4">
        <v>13.1</v>
      </c>
      <c r="AZ12" s="4"/>
      <c r="BA12" s="4"/>
      <c r="BB12" s="4"/>
      <c r="BC12" s="4"/>
      <c r="BD12" s="4"/>
      <c r="BE12" s="4"/>
      <c r="BF12" s="4"/>
      <c r="BG12" s="4"/>
      <c r="BH12" s="4"/>
      <c r="BI12" s="4"/>
      <c r="BJ12" s="4"/>
      <c r="BK12" s="4">
        <f>25.86/1000*100</f>
        <v>2.5860000000000003</v>
      </c>
      <c r="BL12" s="4">
        <f>25.86/1000*100</f>
        <v>2.5860000000000003</v>
      </c>
      <c r="BM12" s="4"/>
      <c r="BN12" s="4"/>
      <c r="BO12" s="4"/>
      <c r="BP12" s="4">
        <f>4006.1*10000/1000/1000*0.5</f>
        <v>20.0305</v>
      </c>
      <c r="BQ12" s="4"/>
      <c r="BR12" s="4">
        <f>(419.2+249.3)*10000/1000/1000*0.5</f>
        <v>3.3424999999999998</v>
      </c>
      <c r="BS12" s="4"/>
      <c r="BT12" s="4"/>
      <c r="BU12" s="4"/>
      <c r="BV12" s="4"/>
      <c r="BW12" s="4"/>
      <c r="BX12" s="4"/>
      <c r="BY12" s="4"/>
      <c r="BZ12" s="4"/>
      <c r="CA12" s="4"/>
      <c r="CB12" s="4"/>
      <c r="CC12" s="4"/>
      <c r="CD12" s="4">
        <f>384.9*10000/1000/1000*0.5</f>
        <v>1.9245000000000001</v>
      </c>
      <c r="CE12" s="4"/>
      <c r="CF12" s="4"/>
      <c r="CG12" s="4"/>
      <c r="CH12" s="4"/>
      <c r="CI12" s="4"/>
      <c r="CJ12" s="4"/>
      <c r="CK12" s="4"/>
      <c r="CL12" s="4"/>
      <c r="CM12" s="4"/>
      <c r="CN12" s="4"/>
      <c r="CO12" s="4"/>
      <c r="CP12" s="2" t="s">
        <v>286</v>
      </c>
      <c r="CQ12" s="2" t="s">
        <v>254</v>
      </c>
      <c r="CR12" s="10" t="s">
        <v>287</v>
      </c>
      <c r="CS12" s="9" t="s">
        <v>256</v>
      </c>
    </row>
    <row r="13" spans="1:97" s="2" customFormat="1" ht="12.75">
      <c r="A13" s="2">
        <v>10</v>
      </c>
      <c r="B13" s="2" t="s">
        <v>248</v>
      </c>
      <c r="C13" s="2" t="s">
        <v>283</v>
      </c>
      <c r="D13" s="4" t="s">
        <v>250</v>
      </c>
      <c r="E13" s="2" t="s">
        <v>288</v>
      </c>
      <c r="F13" s="2" t="s">
        <v>289</v>
      </c>
      <c r="G13" s="2">
        <v>2000</v>
      </c>
      <c r="H13" s="2">
        <v>2011</v>
      </c>
      <c r="I13" s="2">
        <v>1</v>
      </c>
      <c r="J13" s="2">
        <v>0</v>
      </c>
      <c r="K13" s="2">
        <v>1</v>
      </c>
      <c r="L13" s="2">
        <v>1</v>
      </c>
      <c r="M13" s="2">
        <v>0</v>
      </c>
      <c r="N13" s="2">
        <v>0</v>
      </c>
      <c r="O13" s="4">
        <v>16.899999999999999</v>
      </c>
      <c r="P13" s="4">
        <f t="shared" si="0"/>
        <v>142.79999999999998</v>
      </c>
      <c r="Q13" s="4">
        <f>(1251+1608)/2</f>
        <v>1429.5</v>
      </c>
      <c r="R13" s="4"/>
      <c r="S13" s="4">
        <v>168</v>
      </c>
      <c r="T13" s="4"/>
      <c r="U13" s="4"/>
      <c r="V13" s="4"/>
      <c r="W13" s="4"/>
      <c r="X13" s="4"/>
      <c r="Y13" s="4"/>
      <c r="Z13" s="4">
        <v>1.1200000000000001</v>
      </c>
      <c r="AA13" s="4">
        <v>0.31</v>
      </c>
      <c r="AB13" s="4">
        <v>12.7</v>
      </c>
      <c r="AC13" s="4"/>
      <c r="AD13" s="4"/>
      <c r="AE13" s="4"/>
      <c r="AF13" s="4"/>
      <c r="AG13" s="4"/>
      <c r="AH13" s="4"/>
      <c r="AI13" s="4"/>
      <c r="AJ13" s="4"/>
      <c r="AK13" s="4"/>
      <c r="AL13" s="4"/>
      <c r="AM13" s="4"/>
      <c r="AN13" s="4"/>
      <c r="AO13" s="4"/>
      <c r="AP13" s="4"/>
      <c r="AQ13" s="4"/>
      <c r="AR13" s="4"/>
      <c r="AS13" s="4"/>
      <c r="AT13" s="4"/>
      <c r="AV13" s="4"/>
      <c r="AW13" s="4"/>
      <c r="AX13" s="4">
        <v>8.8000000000000007</v>
      </c>
      <c r="AY13" s="4">
        <v>12.3</v>
      </c>
      <c r="AZ13" s="4"/>
      <c r="BA13" s="4"/>
      <c r="BB13" s="4"/>
      <c r="BC13" s="4"/>
      <c r="BD13" s="4"/>
      <c r="BE13" s="4"/>
      <c r="BF13" s="4"/>
      <c r="BG13" s="4"/>
      <c r="BH13" s="4"/>
      <c r="BI13" s="4"/>
      <c r="BJ13" s="4"/>
      <c r="BK13" s="4">
        <f>23.72/1000*100</f>
        <v>2.3719999999999999</v>
      </c>
      <c r="BL13" s="4">
        <f>23.72/1000*100</f>
        <v>2.3719999999999999</v>
      </c>
      <c r="BM13" s="4"/>
      <c r="BN13" s="4"/>
      <c r="BO13" s="4"/>
      <c r="BP13" s="4">
        <f>3421.4*10000/1000/1000*0.5</f>
        <v>17.106999999999999</v>
      </c>
      <c r="BQ13" s="4"/>
      <c r="BR13" s="4">
        <f>(638.7+372.1)*10000/1000/1000*0.5</f>
        <v>5.0540000000000003</v>
      </c>
      <c r="BS13" s="4"/>
      <c r="BT13" s="4"/>
      <c r="BU13" s="4"/>
      <c r="BV13" s="4"/>
      <c r="BW13" s="4"/>
      <c r="BX13" s="4"/>
      <c r="BY13" s="4"/>
      <c r="BZ13" s="4"/>
      <c r="CA13" s="4"/>
      <c r="CB13" s="4"/>
      <c r="CC13" s="4"/>
      <c r="CD13" s="4">
        <f>246.1*10000/1000/1000*0.5</f>
        <v>1.2304999999999999</v>
      </c>
      <c r="CE13" s="4"/>
      <c r="CF13" s="4"/>
      <c r="CG13" s="4"/>
      <c r="CH13" s="4"/>
      <c r="CI13" s="4"/>
      <c r="CJ13" s="4"/>
      <c r="CK13" s="4"/>
      <c r="CL13" s="4"/>
      <c r="CM13" s="4"/>
      <c r="CN13" s="4"/>
      <c r="CO13" s="4"/>
      <c r="CP13" s="2" t="s">
        <v>290</v>
      </c>
      <c r="CQ13" s="2" t="s">
        <v>254</v>
      </c>
      <c r="CR13" s="10" t="s">
        <v>287</v>
      </c>
      <c r="CS13" s="9" t="s">
        <v>256</v>
      </c>
    </row>
    <row r="14" spans="1:97" s="2" customFormat="1" ht="12.75">
      <c r="A14" s="2">
        <v>11</v>
      </c>
      <c r="B14" s="2" t="s">
        <v>248</v>
      </c>
      <c r="C14" s="2" t="s">
        <v>291</v>
      </c>
      <c r="D14" s="4" t="s">
        <v>250</v>
      </c>
      <c r="E14" s="2" t="s">
        <v>292</v>
      </c>
      <c r="F14" s="2" t="s">
        <v>293</v>
      </c>
      <c r="G14" s="2">
        <v>2000</v>
      </c>
      <c r="H14" s="2">
        <v>2011</v>
      </c>
      <c r="I14" s="2">
        <v>0</v>
      </c>
      <c r="J14" s="2">
        <v>0</v>
      </c>
      <c r="K14" s="2">
        <v>0</v>
      </c>
      <c r="L14" s="2">
        <v>0</v>
      </c>
      <c r="M14" s="2">
        <v>0</v>
      </c>
      <c r="N14" s="2">
        <v>0</v>
      </c>
      <c r="O14" s="4">
        <v>16.899999999999999</v>
      </c>
      <c r="P14" s="4">
        <f t="shared" si="0"/>
        <v>142.79999999999998</v>
      </c>
      <c r="Q14" s="4">
        <f>(1251+1608)/2</f>
        <v>1429.5</v>
      </c>
      <c r="R14" s="4"/>
      <c r="S14" s="4">
        <v>161</v>
      </c>
      <c r="T14" s="4"/>
      <c r="U14" s="4"/>
      <c r="V14" s="4"/>
      <c r="W14" s="4"/>
      <c r="X14" s="4"/>
      <c r="Y14" s="4"/>
      <c r="Z14" s="4">
        <v>1.33</v>
      </c>
      <c r="AA14" s="4">
        <v>0.32</v>
      </c>
      <c r="AB14" s="4">
        <v>9.68</v>
      </c>
      <c r="AC14" s="4"/>
      <c r="AD14" s="4"/>
      <c r="AE14" s="4"/>
      <c r="AF14" s="4"/>
      <c r="AG14" s="4"/>
      <c r="AH14" s="4"/>
      <c r="AI14" s="4"/>
      <c r="AJ14" s="4"/>
      <c r="AK14" s="4"/>
      <c r="AL14" s="4"/>
      <c r="AM14" s="4"/>
      <c r="AN14" s="4"/>
      <c r="AO14" s="4"/>
      <c r="AP14" s="4"/>
      <c r="AQ14" s="4"/>
      <c r="AR14" s="4"/>
      <c r="AS14" s="4"/>
      <c r="AT14" s="4"/>
      <c r="AV14" s="4"/>
      <c r="AW14" s="4"/>
      <c r="AX14" s="4">
        <v>8.1999999999999993</v>
      </c>
      <c r="AY14" s="4">
        <v>11.1</v>
      </c>
      <c r="AZ14" s="4"/>
      <c r="BA14" s="4"/>
      <c r="BB14" s="4"/>
      <c r="BC14" s="4"/>
      <c r="BD14" s="4"/>
      <c r="BE14" s="4"/>
      <c r="BF14" s="4"/>
      <c r="BG14" s="4"/>
      <c r="BH14" s="4"/>
      <c r="BI14" s="4"/>
      <c r="BJ14" s="4"/>
      <c r="BK14" s="4">
        <f>26.41/1000*100</f>
        <v>2.641</v>
      </c>
      <c r="BL14" s="4">
        <f>26.41/1000*100</f>
        <v>2.641</v>
      </c>
      <c r="BM14" s="4"/>
      <c r="BN14" s="4"/>
      <c r="BO14" s="4"/>
      <c r="BP14" s="4">
        <f>2857.7*10000/1000/1000*0.5</f>
        <v>14.288500000000001</v>
      </c>
      <c r="BQ14" s="4">
        <f>BU14/BP14</f>
        <v>0.27361164572908281</v>
      </c>
      <c r="BR14" s="4">
        <f>(781.9+371.3)*10000/1000/1000*0.5</f>
        <v>5.766</v>
      </c>
      <c r="BS14" s="4"/>
      <c r="BT14" s="4"/>
      <c r="BU14" s="4">
        <v>3.9095</v>
      </c>
      <c r="BV14" s="4">
        <v>18.1995</v>
      </c>
      <c r="BW14" s="4"/>
      <c r="BX14" s="4">
        <v>86.17</v>
      </c>
      <c r="BY14" s="4"/>
      <c r="BZ14" s="4">
        <v>104.3695</v>
      </c>
      <c r="CA14" s="4"/>
      <c r="CB14" s="4"/>
      <c r="CC14" s="4"/>
      <c r="CD14" s="4">
        <f>401.8*10000/1000/1000*0.5</f>
        <v>2.0089999999999999</v>
      </c>
      <c r="CE14" s="4"/>
      <c r="CF14" s="4"/>
      <c r="CG14" s="4"/>
      <c r="CH14" s="4"/>
      <c r="CI14" s="4"/>
      <c r="CJ14" s="4"/>
      <c r="CK14" s="4"/>
      <c r="CL14" s="4"/>
      <c r="CM14" s="4"/>
      <c r="CN14" s="4"/>
      <c r="CO14" s="4"/>
      <c r="CP14" s="2" t="s">
        <v>286</v>
      </c>
      <c r="CQ14" s="2" t="s">
        <v>254</v>
      </c>
      <c r="CR14" s="10" t="s">
        <v>287</v>
      </c>
      <c r="CS14" s="9" t="s">
        <v>256</v>
      </c>
    </row>
    <row r="15" spans="1:97" s="2" customFormat="1" ht="12.75">
      <c r="A15" s="2">
        <v>12</v>
      </c>
      <c r="B15" s="2" t="s">
        <v>248</v>
      </c>
      <c r="C15" s="2" t="s">
        <v>294</v>
      </c>
      <c r="D15" s="4" t="s">
        <v>250</v>
      </c>
      <c r="E15" s="2" t="s">
        <v>295</v>
      </c>
      <c r="F15" s="2" t="s">
        <v>296</v>
      </c>
      <c r="G15" s="2">
        <v>2005</v>
      </c>
      <c r="H15" s="2">
        <v>2006</v>
      </c>
      <c r="I15" s="2">
        <v>1</v>
      </c>
      <c r="J15" s="2">
        <v>0</v>
      </c>
      <c r="K15" s="2">
        <v>1</v>
      </c>
      <c r="L15" s="2">
        <v>0</v>
      </c>
      <c r="M15" s="2">
        <v>0</v>
      </c>
      <c r="N15" s="2">
        <v>0</v>
      </c>
      <c r="O15" s="4">
        <v>16.5</v>
      </c>
      <c r="P15" s="4">
        <f t="shared" si="0"/>
        <v>138</v>
      </c>
      <c r="Q15" s="4">
        <f>1300</f>
        <v>1300</v>
      </c>
      <c r="R15" s="4"/>
      <c r="S15" s="4">
        <v>379</v>
      </c>
      <c r="T15" s="4">
        <v>80</v>
      </c>
      <c r="U15" s="4">
        <v>1445.4</v>
      </c>
      <c r="V15" s="4"/>
      <c r="W15" s="4"/>
      <c r="X15" s="4"/>
      <c r="Y15" s="4"/>
      <c r="Z15" s="4">
        <v>1.33</v>
      </c>
      <c r="AA15" s="4">
        <v>0.57999999999999996</v>
      </c>
      <c r="AB15" s="4">
        <v>21.6</v>
      </c>
      <c r="AC15" s="4">
        <f>((30.973762*2+15.999*5)/30.973762)*1.96</f>
        <v>8.9820328263644562</v>
      </c>
      <c r="AD15" s="4"/>
      <c r="AE15" s="4"/>
      <c r="AF15" s="4"/>
      <c r="AG15" s="4"/>
      <c r="AH15" s="4"/>
      <c r="AI15" s="4"/>
      <c r="AJ15" s="4"/>
      <c r="AK15" s="4"/>
      <c r="AL15" s="4"/>
      <c r="AM15" s="4"/>
      <c r="AN15" s="4"/>
      <c r="AO15" s="4"/>
      <c r="AP15" s="4"/>
      <c r="AQ15" s="4"/>
      <c r="AR15" s="4"/>
      <c r="AS15" s="4"/>
      <c r="AT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v>31.97</v>
      </c>
      <c r="BW15" s="4">
        <v>0.74</v>
      </c>
      <c r="BX15" s="4">
        <v>110.95</v>
      </c>
      <c r="BY15" s="4">
        <v>0.64</v>
      </c>
      <c r="BZ15" s="4">
        <f>SUM(BV15:BY15)</f>
        <v>144.29999999999998</v>
      </c>
      <c r="CA15" s="4"/>
      <c r="CB15" s="4"/>
      <c r="CC15" s="4">
        <v>8.2899999999999991</v>
      </c>
      <c r="CD15" s="4">
        <v>1.1100000000000001</v>
      </c>
      <c r="CE15" s="4"/>
      <c r="CF15" s="4">
        <f>SUM(CA15:CD15)</f>
        <v>9.3999999999999986</v>
      </c>
      <c r="CG15" s="4">
        <v>0.96</v>
      </c>
      <c r="CH15" s="4"/>
      <c r="CI15" s="4"/>
      <c r="CJ15" s="4">
        <f>SUM(CG15:CI15)</f>
        <v>0.96</v>
      </c>
      <c r="CK15" s="4">
        <f>CJ15+CF15</f>
        <v>10.36</v>
      </c>
      <c r="CL15" s="4">
        <f>33.941*12/44</f>
        <v>9.256636363636364</v>
      </c>
      <c r="CM15" s="4">
        <f>20.19*12/44</f>
        <v>5.5063636363636368</v>
      </c>
      <c r="CN15" s="4">
        <f>CL15-CM15</f>
        <v>3.7502727272727272</v>
      </c>
      <c r="CO15" s="4">
        <f>CK15-CM15</f>
        <v>4.8536363636363626</v>
      </c>
      <c r="CP15" s="2" t="s">
        <v>297</v>
      </c>
      <c r="CQ15" s="2" t="s">
        <v>254</v>
      </c>
      <c r="CR15" s="10" t="s">
        <v>298</v>
      </c>
      <c r="CS15" s="9" t="s">
        <v>256</v>
      </c>
    </row>
    <row r="16" spans="1:97" s="2" customFormat="1" ht="12.75">
      <c r="A16" s="2">
        <v>13</v>
      </c>
      <c r="B16" s="2" t="s">
        <v>248</v>
      </c>
      <c r="C16" s="2" t="s">
        <v>299</v>
      </c>
      <c r="D16" s="4" t="s">
        <v>250</v>
      </c>
      <c r="E16" s="2" t="s">
        <v>300</v>
      </c>
      <c r="F16" s="2" t="s">
        <v>301</v>
      </c>
      <c r="G16" s="2">
        <v>2011</v>
      </c>
      <c r="H16" s="2">
        <v>2011</v>
      </c>
      <c r="I16" s="2">
        <v>0</v>
      </c>
      <c r="J16" s="2">
        <v>0</v>
      </c>
      <c r="K16" s="2">
        <v>0</v>
      </c>
      <c r="L16" s="2">
        <v>0</v>
      </c>
      <c r="M16" s="2">
        <v>0</v>
      </c>
      <c r="N16" s="2">
        <v>0</v>
      </c>
      <c r="O16" s="4">
        <f>(15.8+17.7)/2</f>
        <v>16.75</v>
      </c>
      <c r="P16" s="4">
        <v>141</v>
      </c>
      <c r="Q16" s="4">
        <v>1590.9</v>
      </c>
      <c r="R16" s="4"/>
      <c r="S16" s="4">
        <v>500</v>
      </c>
      <c r="T16" s="4"/>
      <c r="U16" s="4">
        <v>1657</v>
      </c>
      <c r="V16" s="4"/>
      <c r="W16" s="4"/>
      <c r="X16" s="4"/>
      <c r="Y16" s="4"/>
      <c r="Z16" s="4"/>
      <c r="AA16" s="4"/>
      <c r="AB16" s="4"/>
      <c r="AC16" s="4"/>
      <c r="AD16" s="4"/>
      <c r="AE16" s="4"/>
      <c r="AF16" s="4"/>
      <c r="AG16" s="4"/>
      <c r="AH16" s="4"/>
      <c r="AI16" s="4"/>
      <c r="AJ16" s="4"/>
      <c r="AK16" s="4"/>
      <c r="AL16" s="4"/>
      <c r="AM16" s="4"/>
      <c r="AN16" s="4"/>
      <c r="AO16" s="4"/>
      <c r="AP16" s="4"/>
      <c r="AQ16" s="4"/>
      <c r="AR16" s="4"/>
      <c r="AS16" s="4"/>
      <c r="AT16" s="4"/>
      <c r="AV16" s="4"/>
      <c r="AW16" s="4">
        <v>3000</v>
      </c>
      <c r="AX16" s="4">
        <v>9.5</v>
      </c>
      <c r="AY16" s="4"/>
      <c r="AZ16" s="4">
        <f>(AX16/2)^2*PI()*AW16/10000</f>
        <v>21.264655273985909</v>
      </c>
      <c r="BA16" s="4"/>
      <c r="BB16" s="4"/>
      <c r="BC16" s="4"/>
      <c r="BD16" s="4"/>
      <c r="BE16" s="4"/>
      <c r="BF16" s="4"/>
      <c r="BG16" s="4"/>
      <c r="BH16" s="4"/>
      <c r="BI16" s="4"/>
      <c r="BJ16" s="4"/>
      <c r="BK16" s="4"/>
      <c r="BL16" s="4"/>
      <c r="BM16" s="4"/>
      <c r="BN16" s="4"/>
      <c r="BO16" s="4"/>
      <c r="BP16" s="4">
        <f>16.42*100/37.73*0.5</f>
        <v>21.759872780280947</v>
      </c>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2" t="s">
        <v>302</v>
      </c>
      <c r="CQ16" s="2" t="s">
        <v>254</v>
      </c>
      <c r="CR16" s="10" t="s">
        <v>303</v>
      </c>
      <c r="CS16" s="9" t="s">
        <v>256</v>
      </c>
    </row>
    <row r="17" spans="1:97" s="2" customFormat="1" ht="12.75">
      <c r="A17" s="2">
        <v>14</v>
      </c>
      <c r="B17" s="2" t="s">
        <v>248</v>
      </c>
      <c r="C17" s="2" t="s">
        <v>304</v>
      </c>
      <c r="D17" s="4" t="s">
        <v>250</v>
      </c>
      <c r="E17" s="2" t="s">
        <v>305</v>
      </c>
      <c r="F17" s="2" t="s">
        <v>306</v>
      </c>
      <c r="G17" s="2">
        <v>1977</v>
      </c>
      <c r="H17" s="2">
        <v>2008</v>
      </c>
      <c r="I17" s="2">
        <v>1</v>
      </c>
      <c r="J17" s="2">
        <v>1</v>
      </c>
      <c r="K17" s="2">
        <v>1</v>
      </c>
      <c r="L17" s="2">
        <v>1</v>
      </c>
      <c r="M17" s="2">
        <v>0</v>
      </c>
      <c r="N17" s="2">
        <v>0</v>
      </c>
      <c r="O17" s="4">
        <f>(15.9+16.2+(15.8+17.7)/2+16.5+18.7)/5</f>
        <v>16.809999999999999</v>
      </c>
      <c r="P17" s="4">
        <f>(O17-5)*12</f>
        <v>141.71999999999997</v>
      </c>
      <c r="Q17" s="4">
        <f>(1424+1350+1591+1300+1568)/5</f>
        <v>1446.6</v>
      </c>
      <c r="R17" s="4"/>
      <c r="S17" s="4">
        <v>3</v>
      </c>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V17" s="4"/>
      <c r="AW17" s="4"/>
      <c r="AX17" s="4"/>
      <c r="AY17" s="4"/>
      <c r="AZ17" s="4"/>
      <c r="BA17" s="4"/>
      <c r="BB17" s="4"/>
      <c r="BC17" s="4"/>
      <c r="BD17" s="4"/>
      <c r="BE17" s="4"/>
      <c r="BF17" s="4"/>
      <c r="BG17" s="4"/>
      <c r="BH17" s="4"/>
      <c r="BI17" s="4"/>
      <c r="BJ17" s="4"/>
      <c r="BK17" s="4"/>
      <c r="BL17" s="4"/>
      <c r="BM17" s="4"/>
      <c r="BN17" s="4"/>
      <c r="BO17" s="4"/>
      <c r="BP17" s="4">
        <f>105.76*0.5</f>
        <v>52.88</v>
      </c>
      <c r="BQ17" s="4">
        <f>BU17/BP17</f>
        <v>0.63350983358547652</v>
      </c>
      <c r="BR17" s="4"/>
      <c r="BS17" s="4"/>
      <c r="BT17" s="4"/>
      <c r="BU17" s="4">
        <f>67*0.5</f>
        <v>33.5</v>
      </c>
      <c r="BV17" s="4">
        <f>BU17+BP17</f>
        <v>86.38</v>
      </c>
      <c r="BW17" s="4"/>
      <c r="BX17" s="4"/>
      <c r="BY17" s="4"/>
      <c r="BZ17" s="4">
        <v>95.42</v>
      </c>
      <c r="CA17" s="4"/>
      <c r="CB17" s="4"/>
      <c r="CC17" s="4"/>
      <c r="CD17" s="4"/>
      <c r="CE17" s="4"/>
      <c r="CF17" s="4"/>
      <c r="CG17" s="4"/>
      <c r="CH17" s="4"/>
      <c r="CI17" s="4"/>
      <c r="CJ17" s="4"/>
      <c r="CK17" s="4"/>
      <c r="CL17" s="4"/>
      <c r="CM17" s="4"/>
      <c r="CN17" s="4"/>
      <c r="CO17" s="4"/>
      <c r="CP17" s="2" t="s">
        <v>307</v>
      </c>
      <c r="CQ17" s="2" t="s">
        <v>254</v>
      </c>
      <c r="CR17" s="10" t="s">
        <v>308</v>
      </c>
      <c r="CS17" s="9" t="s">
        <v>256</v>
      </c>
    </row>
    <row r="18" spans="1:97" s="2" customFormat="1" ht="12.75">
      <c r="A18" s="2">
        <v>15</v>
      </c>
      <c r="B18" s="2" t="s">
        <v>248</v>
      </c>
      <c r="C18" s="2" t="s">
        <v>309</v>
      </c>
      <c r="D18" s="4" t="s">
        <v>250</v>
      </c>
      <c r="E18" s="2" t="s">
        <v>310</v>
      </c>
      <c r="F18" s="2" t="s">
        <v>311</v>
      </c>
      <c r="G18" s="2">
        <v>1977</v>
      </c>
      <c r="H18" s="2">
        <v>2008</v>
      </c>
      <c r="I18" s="2">
        <v>1</v>
      </c>
      <c r="J18" s="2">
        <v>1</v>
      </c>
      <c r="K18" s="2">
        <v>1</v>
      </c>
      <c r="L18" s="2">
        <v>1</v>
      </c>
      <c r="M18" s="2">
        <v>0</v>
      </c>
      <c r="N18" s="2">
        <v>0</v>
      </c>
      <c r="O18" s="4">
        <f>((14+19)/2+(12.2+15.6)/2)/2</f>
        <v>15.2</v>
      </c>
      <c r="P18" s="4">
        <f>(O18-5)*12</f>
        <v>122.39999999999999</v>
      </c>
      <c r="Q18" s="4">
        <f>((1150+1490)/2+(1100+1900)/2)/2</f>
        <v>1410</v>
      </c>
      <c r="R18" s="4"/>
      <c r="S18" s="4">
        <v>49</v>
      </c>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V18" s="4"/>
      <c r="AW18" s="4"/>
      <c r="AX18" s="4"/>
      <c r="AY18" s="4"/>
      <c r="AZ18" s="4"/>
      <c r="BA18" s="4"/>
      <c r="BB18" s="4"/>
      <c r="BC18" s="4"/>
      <c r="BD18" s="4"/>
      <c r="BE18" s="4"/>
      <c r="BF18" s="4"/>
      <c r="BG18" s="4"/>
      <c r="BH18" s="4"/>
      <c r="BI18" s="4"/>
      <c r="BJ18" s="4"/>
      <c r="BK18" s="4"/>
      <c r="BL18" s="4"/>
      <c r="BM18" s="4"/>
      <c r="BN18" s="4"/>
      <c r="BO18" s="4"/>
      <c r="BP18" s="4">
        <f>96.54*0.5</f>
        <v>48.27</v>
      </c>
      <c r="BQ18" s="4">
        <f>BU18/BP18</f>
        <v>0.48839859125750978</v>
      </c>
      <c r="BR18" s="4"/>
      <c r="BS18" s="4"/>
      <c r="BT18" s="4"/>
      <c r="BU18" s="4">
        <f>47.15*0.5</f>
        <v>23.574999999999999</v>
      </c>
      <c r="BV18" s="4">
        <f>BU18+BP18</f>
        <v>71.844999999999999</v>
      </c>
      <c r="BW18" s="4"/>
      <c r="BX18" s="4"/>
      <c r="BY18" s="4"/>
      <c r="BZ18" s="4">
        <v>69.63000000000001</v>
      </c>
      <c r="CA18" s="4"/>
      <c r="CB18" s="4"/>
      <c r="CC18" s="4"/>
      <c r="CD18" s="4"/>
      <c r="CE18" s="4"/>
      <c r="CF18" s="4"/>
      <c r="CG18" s="4"/>
      <c r="CH18" s="4"/>
      <c r="CI18" s="4"/>
      <c r="CJ18" s="4"/>
      <c r="CK18" s="4"/>
      <c r="CL18" s="4"/>
      <c r="CM18" s="4"/>
      <c r="CN18" s="4"/>
      <c r="CP18" s="2" t="s">
        <v>312</v>
      </c>
      <c r="CQ18" s="2" t="s">
        <v>254</v>
      </c>
      <c r="CR18" s="10" t="s">
        <v>308</v>
      </c>
      <c r="CS18" s="9" t="s">
        <v>256</v>
      </c>
    </row>
    <row r="19" spans="1:97" s="2" customFormat="1" ht="12.75">
      <c r="A19" s="2">
        <v>16</v>
      </c>
      <c r="B19" s="2" t="s">
        <v>248</v>
      </c>
      <c r="C19" s="2" t="s">
        <v>313</v>
      </c>
      <c r="D19" s="4" t="s">
        <v>261</v>
      </c>
      <c r="E19" s="2" t="s">
        <v>314</v>
      </c>
      <c r="F19" s="2" t="s">
        <v>315</v>
      </c>
      <c r="G19" s="2">
        <v>1977</v>
      </c>
      <c r="H19" s="2">
        <v>2008</v>
      </c>
      <c r="I19" s="2">
        <v>1</v>
      </c>
      <c r="J19" s="2">
        <v>0</v>
      </c>
      <c r="K19" s="2">
        <v>1</v>
      </c>
      <c r="L19" s="2">
        <v>1</v>
      </c>
      <c r="M19" s="2">
        <v>0</v>
      </c>
      <c r="N19" s="2">
        <v>0</v>
      </c>
      <c r="O19" s="4">
        <f>(18.3+19)/2</f>
        <v>18.649999999999999</v>
      </c>
      <c r="P19" s="4">
        <f>(O19-5)*12</f>
        <v>163.79999999999998</v>
      </c>
      <c r="Q19" s="4">
        <f>(1104+1250)/2</f>
        <v>1177</v>
      </c>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V19" s="4"/>
      <c r="AW19" s="4"/>
      <c r="AX19" s="4"/>
      <c r="AY19" s="4"/>
      <c r="AZ19" s="4"/>
      <c r="BA19" s="4"/>
      <c r="BB19" s="4"/>
      <c r="BC19" s="4"/>
      <c r="BD19" s="4"/>
      <c r="BE19" s="4"/>
      <c r="BF19" s="4"/>
      <c r="BG19" s="4"/>
      <c r="BH19" s="4"/>
      <c r="BI19" s="4"/>
      <c r="BJ19" s="4"/>
      <c r="BK19" s="4"/>
      <c r="BL19" s="4"/>
      <c r="BM19" s="4"/>
      <c r="BN19" s="4"/>
      <c r="BO19" s="4"/>
      <c r="BP19" s="4">
        <f>44.78*0.5</f>
        <v>22.39</v>
      </c>
      <c r="BQ19" s="4">
        <f>BU19/BP19</f>
        <v>0.47543546225993744</v>
      </c>
      <c r="BR19" s="4"/>
      <c r="BS19" s="4"/>
      <c r="BT19" s="4"/>
      <c r="BU19" s="4">
        <f>21.29*0.5</f>
        <v>10.645</v>
      </c>
      <c r="BV19" s="4">
        <f>BU19+BP19</f>
        <v>33.034999999999997</v>
      </c>
      <c r="BW19" s="4"/>
      <c r="BX19" s="4"/>
      <c r="BY19" s="4"/>
      <c r="BZ19" s="4"/>
      <c r="CA19" s="4"/>
      <c r="CB19" s="4"/>
      <c r="CC19" s="4"/>
      <c r="CD19" s="4"/>
      <c r="CE19" s="4"/>
      <c r="CF19" s="4"/>
      <c r="CG19" s="4"/>
      <c r="CH19" s="4"/>
      <c r="CI19" s="4"/>
      <c r="CJ19" s="4"/>
      <c r="CK19" s="4"/>
      <c r="CL19" s="4"/>
      <c r="CM19" s="4"/>
      <c r="CN19" s="4"/>
      <c r="CO19" s="4"/>
      <c r="CP19" s="2" t="s">
        <v>316</v>
      </c>
      <c r="CQ19" s="2" t="s">
        <v>254</v>
      </c>
      <c r="CR19" s="10" t="s">
        <v>308</v>
      </c>
      <c r="CS19" s="9" t="s">
        <v>256</v>
      </c>
    </row>
    <row r="20" spans="1:97" s="2" customFormat="1" ht="12.75">
      <c r="A20" s="2">
        <v>17</v>
      </c>
      <c r="B20" s="2" t="s">
        <v>248</v>
      </c>
      <c r="C20" s="2" t="s">
        <v>317</v>
      </c>
      <c r="D20" s="4" t="s">
        <v>261</v>
      </c>
      <c r="E20" s="2" t="s">
        <v>318</v>
      </c>
      <c r="F20" s="2" t="s">
        <v>319</v>
      </c>
      <c r="G20" s="2">
        <v>1977</v>
      </c>
      <c r="H20" s="2">
        <v>2008</v>
      </c>
      <c r="I20" s="2">
        <v>1</v>
      </c>
      <c r="J20" s="2">
        <v>1</v>
      </c>
      <c r="K20" s="2">
        <v>1</v>
      </c>
      <c r="L20" s="2">
        <v>1</v>
      </c>
      <c r="M20" s="2">
        <v>0</v>
      </c>
      <c r="N20" s="2">
        <v>0</v>
      </c>
      <c r="O20" s="4">
        <f>23</f>
        <v>23</v>
      </c>
      <c r="P20" s="4">
        <f>(O20-5)*12</f>
        <v>216</v>
      </c>
      <c r="Q20" s="4">
        <f>2000</f>
        <v>2000</v>
      </c>
      <c r="R20" s="4"/>
      <c r="S20" s="4">
        <v>877</v>
      </c>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V20" s="4"/>
      <c r="AW20" s="4"/>
      <c r="AX20" s="4"/>
      <c r="AY20" s="4"/>
      <c r="AZ20" s="4"/>
      <c r="BA20" s="4"/>
      <c r="BB20" s="4"/>
      <c r="BC20" s="4"/>
      <c r="BD20" s="4"/>
      <c r="BE20" s="4"/>
      <c r="BF20" s="4"/>
      <c r="BG20" s="4"/>
      <c r="BH20" s="4"/>
      <c r="BI20" s="4"/>
      <c r="BJ20" s="4"/>
      <c r="BK20" s="4"/>
      <c r="BL20" s="4"/>
      <c r="BM20" s="4"/>
      <c r="BN20" s="4"/>
      <c r="BO20" s="4"/>
      <c r="BP20" s="4">
        <f>64.72*0.5</f>
        <v>32.36</v>
      </c>
      <c r="BQ20" s="4">
        <f>BU20/BP20</f>
        <v>0.57586526576019781</v>
      </c>
      <c r="BR20" s="4"/>
      <c r="BS20" s="4"/>
      <c r="BT20" s="4"/>
      <c r="BU20" s="4">
        <f>37.27*0.5</f>
        <v>18.635000000000002</v>
      </c>
      <c r="BV20" s="4">
        <f>BU20+BP20</f>
        <v>50.995000000000005</v>
      </c>
      <c r="BW20" s="4"/>
      <c r="BX20" s="4"/>
      <c r="BY20" s="4"/>
      <c r="BZ20" s="4">
        <v>119.88</v>
      </c>
      <c r="CA20" s="4"/>
      <c r="CB20" s="4"/>
      <c r="CC20" s="4"/>
      <c r="CD20" s="4"/>
      <c r="CE20" s="4"/>
      <c r="CF20" s="4"/>
      <c r="CG20" s="4"/>
      <c r="CH20" s="4"/>
      <c r="CI20" s="4"/>
      <c r="CJ20" s="4"/>
      <c r="CK20" s="4"/>
      <c r="CL20" s="4"/>
      <c r="CM20" s="4"/>
      <c r="CN20" s="4"/>
      <c r="CO20" s="4"/>
      <c r="CP20" s="2" t="s">
        <v>320</v>
      </c>
      <c r="CQ20" s="2" t="s">
        <v>254</v>
      </c>
      <c r="CR20" s="10" t="s">
        <v>308</v>
      </c>
      <c r="CS20" s="9" t="s">
        <v>256</v>
      </c>
    </row>
    <row r="21" spans="1:97" s="2" customFormat="1" ht="12.75">
      <c r="A21" s="2">
        <v>18</v>
      </c>
      <c r="B21" s="2" t="s">
        <v>248</v>
      </c>
      <c r="C21" s="2" t="s">
        <v>321</v>
      </c>
      <c r="D21" s="4" t="s">
        <v>250</v>
      </c>
      <c r="E21" s="2" t="s">
        <v>322</v>
      </c>
      <c r="F21" s="2" t="s">
        <v>323</v>
      </c>
      <c r="G21" s="2">
        <v>2008</v>
      </c>
      <c r="H21" s="2">
        <v>2008</v>
      </c>
      <c r="I21" s="2">
        <v>1</v>
      </c>
      <c r="J21" s="2">
        <v>0</v>
      </c>
      <c r="K21" s="2">
        <v>1</v>
      </c>
      <c r="L21" s="2">
        <v>1</v>
      </c>
      <c r="M21" s="2">
        <v>0</v>
      </c>
      <c r="N21" s="2">
        <v>0</v>
      </c>
      <c r="O21" s="4">
        <f>(15.6+17.6)/2</f>
        <v>16.600000000000001</v>
      </c>
      <c r="P21" s="4">
        <f>(O21-5)*12</f>
        <v>139.20000000000002</v>
      </c>
      <c r="Q21" s="4">
        <v>1550</v>
      </c>
      <c r="R21" s="4"/>
      <c r="S21" s="4">
        <v>354</v>
      </c>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W21" s="4">
        <v>2734</v>
      </c>
      <c r="AX21" s="4">
        <f>(12.9+10/1)/2</f>
        <v>11.45</v>
      </c>
      <c r="AY21" s="4"/>
      <c r="AZ21" s="4">
        <f>(AX21/2)^2*PI()*AW21/10000</f>
        <v>28.151358986776938</v>
      </c>
      <c r="BA21" s="4"/>
      <c r="BB21" s="4"/>
      <c r="BC21" s="4"/>
      <c r="BD21" s="4"/>
      <c r="BE21" s="4"/>
      <c r="BF21" s="4"/>
      <c r="BG21" s="4"/>
      <c r="BH21" s="4"/>
      <c r="BI21" s="4"/>
      <c r="BJ21" s="4"/>
      <c r="BK21" s="4"/>
      <c r="BL21" s="4"/>
      <c r="BM21" s="4"/>
      <c r="BN21" s="4"/>
      <c r="BO21" s="4"/>
      <c r="BP21" s="4">
        <v>23.718</v>
      </c>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2" t="s">
        <v>324</v>
      </c>
      <c r="CQ21" s="2" t="s">
        <v>254</v>
      </c>
      <c r="CR21" s="10" t="s">
        <v>325</v>
      </c>
      <c r="CS21" s="9" t="s">
        <v>256</v>
      </c>
    </row>
    <row r="22" spans="1:97" s="2" customFormat="1" ht="12.75">
      <c r="A22" s="2">
        <v>19</v>
      </c>
      <c r="B22" s="2" t="s">
        <v>248</v>
      </c>
      <c r="C22" s="2" t="s">
        <v>326</v>
      </c>
      <c r="D22" s="4" t="s">
        <v>250</v>
      </c>
      <c r="E22" s="2" t="s">
        <v>327</v>
      </c>
      <c r="F22" s="2" t="s">
        <v>328</v>
      </c>
      <c r="G22" s="2">
        <v>2014</v>
      </c>
      <c r="H22" s="2">
        <v>2014</v>
      </c>
      <c r="I22" s="2">
        <v>1</v>
      </c>
      <c r="J22" s="2">
        <v>0</v>
      </c>
      <c r="K22" s="2">
        <v>0</v>
      </c>
      <c r="L22" s="2">
        <v>1</v>
      </c>
      <c r="M22" s="2">
        <v>0</v>
      </c>
      <c r="N22" s="2">
        <v>0</v>
      </c>
      <c r="O22" s="4">
        <v>15.6</v>
      </c>
      <c r="P22" s="4">
        <v>127.19999999999999</v>
      </c>
      <c r="Q22" s="4">
        <v>1400</v>
      </c>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W22" s="4">
        <v>3129</v>
      </c>
      <c r="AX22" s="4">
        <v>9.09</v>
      </c>
      <c r="AY22" s="4"/>
      <c r="AZ22" s="4">
        <f>(AX22/2)^2*PI()*AW22/10000</f>
        <v>20.305945253512977</v>
      </c>
      <c r="BA22" s="4"/>
      <c r="BB22" s="4"/>
      <c r="BC22" s="4"/>
      <c r="BD22" s="4"/>
      <c r="BE22" s="4"/>
      <c r="BF22" s="4"/>
      <c r="BG22" s="4"/>
      <c r="BH22" s="4"/>
      <c r="BI22" s="4"/>
      <c r="BJ22" s="4"/>
      <c r="BK22" s="4"/>
      <c r="BL22" s="4"/>
      <c r="BM22" s="4"/>
      <c r="BN22" s="4"/>
      <c r="BO22" s="4"/>
      <c r="BP22" s="4">
        <v>18.899999999999999</v>
      </c>
      <c r="BQ22" s="4"/>
      <c r="BR22" s="4"/>
      <c r="BS22" s="4"/>
      <c r="BT22" s="4"/>
      <c r="BU22" s="4"/>
      <c r="BV22" s="4"/>
      <c r="BW22" s="4"/>
      <c r="BX22" s="4">
        <v>120.2</v>
      </c>
      <c r="BY22" s="4"/>
      <c r="BZ22" s="4"/>
      <c r="CA22" s="4"/>
      <c r="CB22" s="4"/>
      <c r="CC22" s="4"/>
      <c r="CD22" s="4"/>
      <c r="CE22" s="4"/>
      <c r="CF22" s="4"/>
      <c r="CG22" s="4"/>
      <c r="CH22" s="4"/>
      <c r="CI22" s="4"/>
      <c r="CJ22" s="4"/>
      <c r="CK22" s="4"/>
      <c r="CL22" s="4"/>
      <c r="CM22" s="4"/>
      <c r="CN22" s="4"/>
      <c r="CO22" s="4"/>
      <c r="CP22" s="2" t="s">
        <v>329</v>
      </c>
      <c r="CQ22" s="2" t="s">
        <v>254</v>
      </c>
      <c r="CR22" s="10" t="s">
        <v>330</v>
      </c>
      <c r="CS22" s="9" t="s">
        <v>256</v>
      </c>
    </row>
    <row r="23" spans="1:97" s="2" customFormat="1" ht="12.75">
      <c r="A23" s="2">
        <v>20</v>
      </c>
      <c r="B23" s="2" t="s">
        <v>248</v>
      </c>
      <c r="C23" s="2" t="s">
        <v>331</v>
      </c>
      <c r="D23" s="4" t="s">
        <v>250</v>
      </c>
      <c r="E23" s="2" t="s">
        <v>332</v>
      </c>
      <c r="F23" s="2" t="s">
        <v>333</v>
      </c>
      <c r="G23" s="2">
        <v>2014</v>
      </c>
      <c r="H23" s="2">
        <v>2014</v>
      </c>
      <c r="I23" s="2">
        <v>1</v>
      </c>
      <c r="J23" s="2">
        <v>1</v>
      </c>
      <c r="K23" s="2">
        <v>1</v>
      </c>
      <c r="L23" s="2">
        <v>1</v>
      </c>
      <c r="M23" s="2">
        <v>0</v>
      </c>
      <c r="N23" s="2">
        <v>0</v>
      </c>
      <c r="O23" s="4">
        <v>15.6</v>
      </c>
      <c r="P23" s="4">
        <v>127.19999999999999</v>
      </c>
      <c r="Q23" s="4">
        <v>1400</v>
      </c>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W23" s="4">
        <v>3555</v>
      </c>
      <c r="AX23" s="4">
        <v>9.73</v>
      </c>
      <c r="AY23" s="4"/>
      <c r="AZ23" s="4">
        <f>(AX23/2)^2*PI()*AW23/10000</f>
        <v>26.433530194037907</v>
      </c>
      <c r="BA23" s="4"/>
      <c r="BB23" s="4"/>
      <c r="BC23" s="4"/>
      <c r="BD23" s="4"/>
      <c r="BE23" s="4"/>
      <c r="BF23" s="4"/>
      <c r="BG23" s="4"/>
      <c r="BH23" s="4"/>
      <c r="BI23" s="4"/>
      <c r="BJ23" s="4"/>
      <c r="BK23" s="4"/>
      <c r="BL23" s="4"/>
      <c r="BM23" s="4"/>
      <c r="BN23" s="4"/>
      <c r="BO23" s="4"/>
      <c r="BP23" s="4">
        <v>24.75</v>
      </c>
      <c r="BQ23" s="4"/>
      <c r="BR23" s="4"/>
      <c r="BS23" s="4"/>
      <c r="BT23" s="4"/>
      <c r="BU23" s="4"/>
      <c r="BV23" s="4"/>
      <c r="BW23" s="4"/>
      <c r="BX23" s="4">
        <v>108.1</v>
      </c>
      <c r="BY23" s="4"/>
      <c r="BZ23" s="4"/>
      <c r="CA23" s="4"/>
      <c r="CB23" s="4"/>
      <c r="CC23" s="4"/>
      <c r="CD23" s="4"/>
      <c r="CE23" s="4"/>
      <c r="CF23" s="4"/>
      <c r="CG23" s="4"/>
      <c r="CH23" s="4"/>
      <c r="CI23" s="4"/>
      <c r="CJ23" s="4"/>
      <c r="CK23" s="4"/>
      <c r="CL23" s="4"/>
      <c r="CM23" s="4"/>
      <c r="CN23" s="4"/>
      <c r="CO23" s="4"/>
      <c r="CP23" s="2" t="s">
        <v>334</v>
      </c>
      <c r="CQ23" s="2" t="s">
        <v>254</v>
      </c>
      <c r="CR23" s="10" t="s">
        <v>330</v>
      </c>
      <c r="CS23" s="9" t="s">
        <v>256</v>
      </c>
    </row>
    <row r="24" spans="1:97" s="2" customFormat="1" ht="12.75">
      <c r="A24" s="2">
        <v>21</v>
      </c>
      <c r="B24" s="2" t="s">
        <v>248</v>
      </c>
      <c r="C24" s="2" t="s">
        <v>331</v>
      </c>
      <c r="D24" s="4" t="s">
        <v>250</v>
      </c>
      <c r="E24" s="2" t="s">
        <v>335</v>
      </c>
      <c r="F24" s="2" t="s">
        <v>336</v>
      </c>
      <c r="G24" s="2">
        <v>2014</v>
      </c>
      <c r="H24" s="2">
        <v>2014</v>
      </c>
      <c r="I24" s="2">
        <v>1</v>
      </c>
      <c r="J24" s="2">
        <v>0</v>
      </c>
      <c r="K24" s="2">
        <v>1</v>
      </c>
      <c r="L24" s="2">
        <v>1</v>
      </c>
      <c r="M24" s="2">
        <v>0</v>
      </c>
      <c r="N24" s="2">
        <v>0</v>
      </c>
      <c r="O24" s="4">
        <v>15.6</v>
      </c>
      <c r="P24" s="4">
        <v>127.19999999999999</v>
      </c>
      <c r="Q24" s="4">
        <v>1400</v>
      </c>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W24" s="4">
        <v>3182</v>
      </c>
      <c r="AX24" s="4">
        <v>9.35</v>
      </c>
      <c r="AY24" s="4"/>
      <c r="AZ24" s="4">
        <f>(AX24/2)^2*PI()*AW24/10000</f>
        <v>21.848080052984994</v>
      </c>
      <c r="BA24" s="4"/>
      <c r="BB24" s="4"/>
      <c r="BC24" s="4"/>
      <c r="BD24" s="4"/>
      <c r="BE24" s="4"/>
      <c r="BF24" s="4"/>
      <c r="BG24" s="4"/>
      <c r="BH24" s="4"/>
      <c r="BI24" s="4"/>
      <c r="BJ24" s="4"/>
      <c r="BK24" s="4"/>
      <c r="BL24" s="4"/>
      <c r="BM24" s="4"/>
      <c r="BN24" s="4"/>
      <c r="BO24" s="4"/>
      <c r="BP24" s="4">
        <v>20.76</v>
      </c>
      <c r="BQ24" s="4"/>
      <c r="BR24" s="4"/>
      <c r="BS24" s="4"/>
      <c r="BT24" s="4"/>
      <c r="BU24" s="4"/>
      <c r="BV24" s="4"/>
      <c r="BW24" s="4"/>
      <c r="BX24" s="4">
        <v>111.7</v>
      </c>
      <c r="BY24" s="4"/>
      <c r="BZ24" s="4"/>
      <c r="CA24" s="4"/>
      <c r="CB24" s="4"/>
      <c r="CC24" s="4"/>
      <c r="CD24" s="4"/>
      <c r="CE24" s="4"/>
      <c r="CF24" s="4"/>
      <c r="CG24" s="4"/>
      <c r="CH24" s="4"/>
      <c r="CI24" s="4"/>
      <c r="CJ24" s="4"/>
      <c r="CK24" s="4"/>
      <c r="CL24" s="4"/>
      <c r="CM24" s="4"/>
      <c r="CN24" s="4"/>
      <c r="CO24" s="4"/>
      <c r="CP24" s="2" t="s">
        <v>334</v>
      </c>
      <c r="CQ24" s="2" t="s">
        <v>254</v>
      </c>
      <c r="CR24" s="10" t="s">
        <v>330</v>
      </c>
      <c r="CS24" s="9" t="s">
        <v>256</v>
      </c>
    </row>
    <row r="25" spans="1:97" s="2" customFormat="1" ht="12.75">
      <c r="A25" s="2">
        <v>22</v>
      </c>
      <c r="B25" s="2" t="s">
        <v>248</v>
      </c>
      <c r="C25" s="2" t="s">
        <v>337</v>
      </c>
      <c r="D25" s="4" t="s">
        <v>250</v>
      </c>
      <c r="E25" s="2" t="s">
        <v>338</v>
      </c>
      <c r="F25" s="2" t="s">
        <v>339</v>
      </c>
      <c r="G25" s="2">
        <v>2010</v>
      </c>
      <c r="H25" s="2">
        <v>2010</v>
      </c>
      <c r="I25" s="2">
        <v>1</v>
      </c>
      <c r="J25" s="2">
        <v>1</v>
      </c>
      <c r="K25" s="2">
        <v>1</v>
      </c>
      <c r="L25" s="2">
        <v>1</v>
      </c>
      <c r="M25" s="2">
        <v>0</v>
      </c>
      <c r="N25" s="2">
        <v>0</v>
      </c>
      <c r="O25" s="4">
        <v>15.9</v>
      </c>
      <c r="P25" s="4">
        <f>(O25-5)*12</f>
        <v>130.80000000000001</v>
      </c>
      <c r="Q25" s="4">
        <v>1424</v>
      </c>
      <c r="R25" s="4"/>
      <c r="S25" s="4">
        <f>(100+250)/2</f>
        <v>175</v>
      </c>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W25" s="4">
        <f>(3475+3325+3300+3250+4025+3625+3625+3575+4250+3375+2750+3025+2550+2475+3075+3550+2425+3225)/18</f>
        <v>3272.2222222222222</v>
      </c>
      <c r="AX25" s="4">
        <f>(9.7+9.1+8.8+9.5+8+8.3+9+10.1+8.8+8.3+8.7+9+9+9.5+9.2+8.8+11.3+10.7)/18</f>
        <v>9.2111111111111104</v>
      </c>
      <c r="AY25" s="4"/>
      <c r="AZ25" s="4">
        <f>(AX25/2)^2*PI()*AW25/10000</f>
        <v>21.805031242491747</v>
      </c>
      <c r="BA25" s="4"/>
      <c r="BB25" s="4"/>
      <c r="BC25" s="4"/>
      <c r="BD25" s="4"/>
      <c r="BE25" s="4"/>
      <c r="BF25" s="4"/>
      <c r="BG25" s="4"/>
      <c r="BH25" s="4"/>
      <c r="BI25" s="4"/>
      <c r="BJ25" s="4"/>
      <c r="BK25" s="4"/>
      <c r="BL25" s="4"/>
      <c r="BM25" s="4"/>
      <c r="BN25" s="4"/>
      <c r="BO25" s="4"/>
      <c r="BP25" s="4">
        <f>40.708*0.5</f>
        <v>20.353999999999999</v>
      </c>
      <c r="BQ25" s="4"/>
      <c r="BR25" s="4"/>
      <c r="BS25" s="4"/>
      <c r="BT25" s="4"/>
      <c r="BU25" s="4"/>
      <c r="BV25" s="4"/>
      <c r="BW25" s="4"/>
      <c r="BX25" s="4">
        <v>80.834999999999994</v>
      </c>
      <c r="BY25" s="4"/>
      <c r="BZ25" s="4"/>
      <c r="CA25" s="4"/>
      <c r="CB25" s="4"/>
      <c r="CC25" s="4"/>
      <c r="CD25" s="4"/>
      <c r="CE25" s="4"/>
      <c r="CF25" s="4"/>
      <c r="CG25" s="4"/>
      <c r="CH25" s="4"/>
      <c r="CI25" s="4"/>
      <c r="CJ25" s="4"/>
      <c r="CK25" s="4"/>
      <c r="CL25" s="4"/>
      <c r="CM25" s="4"/>
      <c r="CN25" s="4"/>
      <c r="CO25" s="4"/>
      <c r="CP25" s="2" t="s">
        <v>340</v>
      </c>
      <c r="CQ25" s="2" t="s">
        <v>254</v>
      </c>
      <c r="CR25" s="10" t="s">
        <v>341</v>
      </c>
      <c r="CS25" s="9" t="s">
        <v>256</v>
      </c>
    </row>
    <row r="26" spans="1:97" s="2" customFormat="1" ht="12.75">
      <c r="A26" s="2">
        <v>23</v>
      </c>
      <c r="B26" s="2" t="s">
        <v>248</v>
      </c>
      <c r="C26" s="2" t="s">
        <v>342</v>
      </c>
      <c r="D26" s="4" t="s">
        <v>250</v>
      </c>
      <c r="E26" s="2" t="s">
        <v>343</v>
      </c>
      <c r="F26" s="2" t="s">
        <v>344</v>
      </c>
      <c r="G26" s="2">
        <v>2013</v>
      </c>
      <c r="H26" s="2">
        <v>2016</v>
      </c>
      <c r="I26" s="2">
        <v>1</v>
      </c>
      <c r="J26" s="2">
        <v>0</v>
      </c>
      <c r="K26" s="2">
        <v>1</v>
      </c>
      <c r="L26" s="2">
        <v>1</v>
      </c>
      <c r="M26" s="2">
        <v>0</v>
      </c>
      <c r="N26" s="11">
        <v>0</v>
      </c>
      <c r="O26" s="4">
        <v>15.6</v>
      </c>
      <c r="P26" s="4">
        <f>(O26-5)*12+(5-3)</f>
        <v>129.19999999999999</v>
      </c>
      <c r="Q26" s="4">
        <v>1420</v>
      </c>
      <c r="R26" s="4"/>
      <c r="S26" s="4"/>
      <c r="T26" s="4"/>
      <c r="U26" s="4">
        <v>1847</v>
      </c>
      <c r="V26" s="4"/>
      <c r="W26" s="4"/>
      <c r="X26" s="4"/>
      <c r="Y26" s="4"/>
      <c r="Z26" s="4"/>
      <c r="AA26" s="4"/>
      <c r="AB26" s="4"/>
      <c r="AC26" s="4"/>
      <c r="AD26" s="4"/>
      <c r="AE26" s="4"/>
      <c r="AF26" s="4"/>
      <c r="AG26" s="4"/>
      <c r="AH26" s="4"/>
      <c r="AI26" s="4"/>
      <c r="AJ26" s="4"/>
      <c r="AK26" s="4"/>
      <c r="AL26" s="4"/>
      <c r="AM26" s="4"/>
      <c r="AN26" s="4"/>
      <c r="AO26" s="4"/>
      <c r="AP26" s="4"/>
      <c r="AQ26" s="4"/>
      <c r="AR26" s="4"/>
      <c r="AS26" s="4"/>
      <c r="AT26" s="4"/>
      <c r="AW26" s="4"/>
      <c r="AX26" s="4"/>
      <c r="AY26" s="4"/>
      <c r="AZ26" s="4"/>
      <c r="BA26" s="4"/>
      <c r="BB26" s="4"/>
      <c r="BC26" s="4"/>
      <c r="BD26" s="4"/>
      <c r="BE26" s="4"/>
      <c r="BF26" s="4"/>
      <c r="BG26" s="4"/>
      <c r="BH26" s="4"/>
      <c r="BI26" s="4"/>
      <c r="BJ26" s="4"/>
      <c r="BK26" s="4"/>
      <c r="BL26" s="4"/>
      <c r="BM26" s="4"/>
      <c r="BN26" s="4"/>
      <c r="BO26" s="4"/>
      <c r="BP26" s="4">
        <v>27</v>
      </c>
      <c r="BQ26" s="4"/>
      <c r="BR26" s="4"/>
      <c r="BS26" s="4"/>
      <c r="BT26" s="4"/>
      <c r="BU26" s="4">
        <v>19</v>
      </c>
      <c r="BV26" s="4">
        <f t="shared" ref="BV26:BV34" si="3">BU26+BP26</f>
        <v>46</v>
      </c>
      <c r="BW26" s="4"/>
      <c r="BX26" s="4">
        <v>68.099999999999994</v>
      </c>
      <c r="BY26" s="4"/>
      <c r="BZ26" s="4">
        <f>BV26+BX26</f>
        <v>114.1</v>
      </c>
      <c r="CA26" s="4"/>
      <c r="CB26" s="4"/>
      <c r="CC26" s="4"/>
      <c r="CD26" s="4"/>
      <c r="CE26" s="4"/>
      <c r="CF26" s="4">
        <v>4.17</v>
      </c>
      <c r="CG26" s="4"/>
      <c r="CH26" s="4"/>
      <c r="CI26" s="4"/>
      <c r="CJ26" s="4">
        <v>3.11</v>
      </c>
      <c r="CK26" s="4">
        <v>7.28</v>
      </c>
      <c r="CL26" s="4"/>
      <c r="CM26" s="4">
        <v>0.51</v>
      </c>
      <c r="CN26" s="4"/>
      <c r="CO26" s="4">
        <f>CK26-CM26</f>
        <v>6.7700000000000005</v>
      </c>
      <c r="CP26" s="2" t="s">
        <v>345</v>
      </c>
      <c r="CQ26" s="2" t="s">
        <v>254</v>
      </c>
      <c r="CR26" s="10" t="s">
        <v>346</v>
      </c>
      <c r="CS26" s="9" t="s">
        <v>256</v>
      </c>
    </row>
    <row r="27" spans="1:97" s="2" customFormat="1" ht="12.75">
      <c r="A27" s="2">
        <v>24</v>
      </c>
      <c r="B27" s="2" t="s">
        <v>248</v>
      </c>
      <c r="C27" s="2" t="s">
        <v>342</v>
      </c>
      <c r="D27" s="4" t="s">
        <v>250</v>
      </c>
      <c r="E27" s="2" t="s">
        <v>347</v>
      </c>
      <c r="F27" s="2" t="s">
        <v>348</v>
      </c>
      <c r="G27" s="2">
        <v>2013</v>
      </c>
      <c r="H27" s="2">
        <v>2016</v>
      </c>
      <c r="I27" s="2">
        <v>1</v>
      </c>
      <c r="J27" s="2">
        <v>3</v>
      </c>
      <c r="K27" s="2">
        <v>1</v>
      </c>
      <c r="L27" s="2">
        <v>1</v>
      </c>
      <c r="M27" s="2">
        <v>1</v>
      </c>
      <c r="N27" s="11">
        <v>1</v>
      </c>
      <c r="O27" s="4">
        <v>15.6</v>
      </c>
      <c r="P27" s="4">
        <f>(O27-5)*12+(5-3)</f>
        <v>129.19999999999999</v>
      </c>
      <c r="Q27" s="4">
        <v>1420</v>
      </c>
      <c r="R27" s="4"/>
      <c r="S27" s="4"/>
      <c r="T27" s="4"/>
      <c r="U27" s="4">
        <v>1847</v>
      </c>
      <c r="V27" s="4"/>
      <c r="W27" s="4"/>
      <c r="X27" s="4"/>
      <c r="Y27" s="4"/>
      <c r="Z27" s="4"/>
      <c r="AA27" s="4"/>
      <c r="AB27" s="4"/>
      <c r="AC27" s="4"/>
      <c r="AD27" s="4"/>
      <c r="AE27" s="4"/>
      <c r="AF27" s="4"/>
      <c r="AG27" s="4"/>
      <c r="AH27" s="4"/>
      <c r="AI27" s="4"/>
      <c r="AJ27" s="4"/>
      <c r="AK27" s="4"/>
      <c r="AL27" s="4"/>
      <c r="AM27" s="4"/>
      <c r="AN27" s="4"/>
      <c r="AO27" s="4"/>
      <c r="AP27" s="4"/>
      <c r="AQ27" s="4"/>
      <c r="AR27" s="4"/>
      <c r="AS27" s="4"/>
      <c r="AT27" s="4"/>
      <c r="AW27" s="4"/>
      <c r="AX27" s="4"/>
      <c r="AY27" s="4"/>
      <c r="AZ27" s="4"/>
      <c r="BA27" s="4"/>
      <c r="BB27" s="4"/>
      <c r="BC27" s="4"/>
      <c r="BD27" s="4"/>
      <c r="BE27" s="4"/>
      <c r="BF27" s="4"/>
      <c r="BG27" s="4"/>
      <c r="BH27" s="4"/>
      <c r="BI27" s="4"/>
      <c r="BJ27" s="4"/>
      <c r="BK27" s="4"/>
      <c r="BL27" s="4"/>
      <c r="BM27" s="4"/>
      <c r="BN27" s="4"/>
      <c r="BO27" s="4"/>
      <c r="BP27" s="4">
        <v>33</v>
      </c>
      <c r="BQ27" s="4"/>
      <c r="BR27" s="4"/>
      <c r="BS27" s="4"/>
      <c r="BT27" s="4"/>
      <c r="BU27" s="4">
        <v>24</v>
      </c>
      <c r="BV27" s="4">
        <f t="shared" si="3"/>
        <v>57</v>
      </c>
      <c r="BW27" s="4"/>
      <c r="BX27" s="4">
        <v>66</v>
      </c>
      <c r="BY27" s="4"/>
      <c r="BZ27" s="4">
        <f>BV27+BX27</f>
        <v>123</v>
      </c>
      <c r="CA27" s="4"/>
      <c r="CB27" s="4"/>
      <c r="CC27" s="4"/>
      <c r="CD27" s="4"/>
      <c r="CE27" s="4"/>
      <c r="CF27" s="4">
        <v>5.08</v>
      </c>
      <c r="CG27" s="4"/>
      <c r="CH27" s="4"/>
      <c r="CI27" s="4"/>
      <c r="CJ27" s="4">
        <v>4.0199999999999996</v>
      </c>
      <c r="CK27" s="4">
        <v>9.1</v>
      </c>
      <c r="CL27" s="4"/>
      <c r="CM27" s="4">
        <v>1.0900000000000001</v>
      </c>
      <c r="CN27" s="4"/>
      <c r="CO27" s="4">
        <f>CK27-CM27</f>
        <v>8.01</v>
      </c>
      <c r="CP27" s="2" t="s">
        <v>345</v>
      </c>
      <c r="CQ27" s="2" t="s">
        <v>254</v>
      </c>
      <c r="CR27" s="10" t="s">
        <v>349</v>
      </c>
      <c r="CS27" s="9" t="s">
        <v>256</v>
      </c>
    </row>
    <row r="28" spans="1:97" s="2" customFormat="1" ht="12.75">
      <c r="A28" s="2">
        <v>25</v>
      </c>
      <c r="B28" s="2" t="s">
        <v>248</v>
      </c>
      <c r="C28" s="2" t="s">
        <v>342</v>
      </c>
      <c r="D28" s="4" t="s">
        <v>250</v>
      </c>
      <c r="E28" s="2" t="s">
        <v>350</v>
      </c>
      <c r="F28" s="2" t="s">
        <v>351</v>
      </c>
      <c r="G28" s="2">
        <v>2013</v>
      </c>
      <c r="H28" s="2">
        <v>2016</v>
      </c>
      <c r="I28" s="2">
        <v>1</v>
      </c>
      <c r="J28" s="2">
        <v>1</v>
      </c>
      <c r="K28" s="2">
        <v>1</v>
      </c>
      <c r="L28" s="2">
        <v>1</v>
      </c>
      <c r="M28" s="2">
        <v>1</v>
      </c>
      <c r="N28" s="11">
        <v>1</v>
      </c>
      <c r="O28" s="4">
        <v>15.6</v>
      </c>
      <c r="P28" s="4">
        <f>(O28-5)*12+(5-3)</f>
        <v>129.19999999999999</v>
      </c>
      <c r="Q28" s="4">
        <v>1420</v>
      </c>
      <c r="R28" s="4"/>
      <c r="S28" s="4"/>
      <c r="T28" s="4"/>
      <c r="U28" s="4">
        <v>1847</v>
      </c>
      <c r="V28" s="4"/>
      <c r="W28" s="4"/>
      <c r="X28" s="4"/>
      <c r="Y28" s="4"/>
      <c r="Z28" s="4"/>
      <c r="AA28" s="4"/>
      <c r="AB28" s="4"/>
      <c r="AC28" s="4"/>
      <c r="AD28" s="4"/>
      <c r="AE28" s="4"/>
      <c r="AF28" s="4"/>
      <c r="AG28" s="4"/>
      <c r="AH28" s="4"/>
      <c r="AI28" s="4"/>
      <c r="AJ28" s="4"/>
      <c r="AK28" s="4"/>
      <c r="AL28" s="4"/>
      <c r="AM28" s="4"/>
      <c r="AN28" s="4"/>
      <c r="AO28" s="4"/>
      <c r="AP28" s="4"/>
      <c r="AQ28" s="4"/>
      <c r="AR28" s="4"/>
      <c r="AS28" s="4"/>
      <c r="AT28" s="4"/>
      <c r="AW28" s="4"/>
      <c r="AX28" s="4"/>
      <c r="AY28" s="4"/>
      <c r="AZ28" s="4"/>
      <c r="BA28" s="4"/>
      <c r="BB28" s="4"/>
      <c r="BC28" s="4"/>
      <c r="BD28" s="4"/>
      <c r="BE28" s="4"/>
      <c r="BF28" s="4"/>
      <c r="BG28" s="4"/>
      <c r="BH28" s="4"/>
      <c r="BI28" s="4"/>
      <c r="BJ28" s="4"/>
      <c r="BK28" s="4"/>
      <c r="BL28" s="4"/>
      <c r="BM28" s="4"/>
      <c r="BN28" s="4"/>
      <c r="BO28" s="4"/>
      <c r="BP28" s="4">
        <v>35.1</v>
      </c>
      <c r="BQ28" s="4"/>
      <c r="BR28" s="4"/>
      <c r="BS28" s="4"/>
      <c r="BT28" s="4"/>
      <c r="BU28" s="4">
        <v>26.1</v>
      </c>
      <c r="BV28" s="4">
        <f t="shared" si="3"/>
        <v>61.2</v>
      </c>
      <c r="BW28" s="4"/>
      <c r="BX28" s="4">
        <v>64.099999999999994</v>
      </c>
      <c r="BY28" s="4"/>
      <c r="BZ28" s="4">
        <f>BV28+BX28</f>
        <v>125.3</v>
      </c>
      <c r="CA28" s="4"/>
      <c r="CB28" s="4"/>
      <c r="CC28" s="4"/>
      <c r="CD28" s="4"/>
      <c r="CE28" s="4"/>
      <c r="CF28" s="4">
        <v>5.46</v>
      </c>
      <c r="CG28" s="4"/>
      <c r="CH28" s="4"/>
      <c r="CI28" s="4"/>
      <c r="CJ28" s="4">
        <v>4.34</v>
      </c>
      <c r="CK28" s="4">
        <v>9.8000000000000007</v>
      </c>
      <c r="CL28" s="4"/>
      <c r="CM28" s="4">
        <v>1.37</v>
      </c>
      <c r="CN28" s="4"/>
      <c r="CO28" s="4">
        <f>CK28-CM28</f>
        <v>8.43</v>
      </c>
      <c r="CP28" s="2" t="s">
        <v>345</v>
      </c>
      <c r="CQ28" s="2" t="s">
        <v>254</v>
      </c>
      <c r="CR28" s="10" t="s">
        <v>352</v>
      </c>
      <c r="CS28" s="9" t="s">
        <v>256</v>
      </c>
    </row>
    <row r="29" spans="1:97" s="2" customFormat="1" ht="12.75">
      <c r="A29" s="2">
        <v>26</v>
      </c>
      <c r="B29" s="2" t="s">
        <v>248</v>
      </c>
      <c r="C29" s="2" t="s">
        <v>342</v>
      </c>
      <c r="D29" s="4" t="s">
        <v>250</v>
      </c>
      <c r="E29" s="2" t="s">
        <v>353</v>
      </c>
      <c r="F29" s="2" t="s">
        <v>354</v>
      </c>
      <c r="G29" s="2">
        <v>2013</v>
      </c>
      <c r="H29" s="2">
        <v>2016</v>
      </c>
      <c r="I29" s="2">
        <v>1</v>
      </c>
      <c r="J29" s="2">
        <v>2</v>
      </c>
      <c r="K29" s="2">
        <v>1</v>
      </c>
      <c r="L29" s="2">
        <v>1</v>
      </c>
      <c r="M29" s="2">
        <v>1</v>
      </c>
      <c r="N29" s="11">
        <v>1</v>
      </c>
      <c r="O29" s="4">
        <v>15.6</v>
      </c>
      <c r="P29" s="4">
        <f>(O29-5)*12+(5-3)</f>
        <v>129.19999999999999</v>
      </c>
      <c r="Q29" s="4">
        <v>1420</v>
      </c>
      <c r="R29" s="4"/>
      <c r="S29" s="4"/>
      <c r="T29" s="4"/>
      <c r="U29" s="4">
        <v>1847</v>
      </c>
      <c r="V29" s="4"/>
      <c r="W29" s="4"/>
      <c r="X29" s="4"/>
      <c r="Y29" s="4"/>
      <c r="Z29" s="4"/>
      <c r="AA29" s="4"/>
      <c r="AB29" s="4"/>
      <c r="AC29" s="4"/>
      <c r="AD29" s="4"/>
      <c r="AE29" s="4"/>
      <c r="AF29" s="4"/>
      <c r="AG29" s="4"/>
      <c r="AH29" s="4"/>
      <c r="AI29" s="4"/>
      <c r="AJ29" s="4"/>
      <c r="AK29" s="4"/>
      <c r="AL29" s="4"/>
      <c r="AM29" s="4"/>
      <c r="AN29" s="4"/>
      <c r="AO29" s="4"/>
      <c r="AP29" s="4"/>
      <c r="AQ29" s="4"/>
      <c r="AR29" s="4"/>
      <c r="AS29" s="4"/>
      <c r="AT29" s="4"/>
      <c r="AW29" s="4"/>
      <c r="AX29" s="4"/>
      <c r="AY29" s="4"/>
      <c r="AZ29" s="4"/>
      <c r="BA29" s="4"/>
      <c r="BB29" s="4"/>
      <c r="BC29" s="4"/>
      <c r="BD29" s="4"/>
      <c r="BE29" s="4"/>
      <c r="BF29" s="4"/>
      <c r="BG29" s="4"/>
      <c r="BH29" s="4"/>
      <c r="BI29" s="4"/>
      <c r="BJ29" s="4"/>
      <c r="BK29" s="4"/>
      <c r="BL29" s="4"/>
      <c r="BM29" s="4"/>
      <c r="BN29" s="4"/>
      <c r="BO29" s="4"/>
      <c r="BP29" s="4">
        <v>37.700000000000003</v>
      </c>
      <c r="BQ29" s="4"/>
      <c r="BR29" s="4"/>
      <c r="BS29" s="4"/>
      <c r="BT29" s="4"/>
      <c r="BU29" s="4">
        <v>26</v>
      </c>
      <c r="BV29" s="4">
        <f t="shared" si="3"/>
        <v>63.7</v>
      </c>
      <c r="BW29" s="4"/>
      <c r="BX29" s="4">
        <v>63</v>
      </c>
      <c r="BY29" s="4"/>
      <c r="BZ29" s="4">
        <f>BV29+BX29</f>
        <v>126.7</v>
      </c>
      <c r="CA29" s="4"/>
      <c r="CB29" s="4"/>
      <c r="CC29" s="4"/>
      <c r="CD29" s="4"/>
      <c r="CE29" s="4"/>
      <c r="CF29" s="4">
        <v>5.76</v>
      </c>
      <c r="CG29" s="4"/>
      <c r="CH29" s="4"/>
      <c r="CI29" s="4"/>
      <c r="CJ29" s="4">
        <v>4.33</v>
      </c>
      <c r="CK29" s="4">
        <v>10.09</v>
      </c>
      <c r="CL29" s="4"/>
      <c r="CM29" s="4">
        <v>1.29</v>
      </c>
      <c r="CN29" s="4"/>
      <c r="CO29" s="4">
        <f>CK29-CM29</f>
        <v>8.8000000000000007</v>
      </c>
      <c r="CP29" s="2" t="s">
        <v>345</v>
      </c>
      <c r="CQ29" s="2" t="s">
        <v>254</v>
      </c>
      <c r="CR29" s="10" t="s">
        <v>355</v>
      </c>
      <c r="CS29" s="9" t="s">
        <v>256</v>
      </c>
    </row>
    <row r="30" spans="1:97" s="2" customFormat="1" ht="12.75">
      <c r="A30" s="2">
        <v>27</v>
      </c>
      <c r="B30" s="2" t="s">
        <v>248</v>
      </c>
      <c r="C30" s="2" t="s">
        <v>356</v>
      </c>
      <c r="D30" s="4" t="s">
        <v>250</v>
      </c>
      <c r="E30" s="2" t="s">
        <v>357</v>
      </c>
      <c r="F30" s="2" t="s">
        <v>358</v>
      </c>
      <c r="G30" s="2">
        <v>1980</v>
      </c>
      <c r="H30" s="2">
        <v>1989</v>
      </c>
      <c r="I30" s="2">
        <v>1</v>
      </c>
      <c r="J30" s="2">
        <v>1</v>
      </c>
      <c r="K30" s="2">
        <v>1</v>
      </c>
      <c r="L30" s="2">
        <v>1</v>
      </c>
      <c r="M30" s="2">
        <v>0</v>
      </c>
      <c r="N30" s="11">
        <v>0</v>
      </c>
      <c r="O30" s="4">
        <v>16</v>
      </c>
      <c r="P30" s="4">
        <f>(O30-5)*12</f>
        <v>132</v>
      </c>
      <c r="Q30" s="4">
        <v>1800</v>
      </c>
      <c r="R30" s="4"/>
      <c r="S30" s="4">
        <v>31</v>
      </c>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W30" s="4">
        <v>3750</v>
      </c>
      <c r="AX30" s="4"/>
      <c r="AY30" s="4"/>
      <c r="AZ30" s="4"/>
      <c r="BA30" s="4"/>
      <c r="BB30" s="4"/>
      <c r="BC30" s="4">
        <v>11.17</v>
      </c>
      <c r="BD30" s="4"/>
      <c r="BE30" s="4"/>
      <c r="BF30" s="4"/>
      <c r="BG30" s="4"/>
      <c r="BH30" s="4"/>
      <c r="BI30" s="4"/>
      <c r="BJ30" s="4"/>
      <c r="BK30" s="4"/>
      <c r="BL30" s="4"/>
      <c r="BM30" s="4">
        <f>0.4314*10000/1000*50%</f>
        <v>2.157</v>
      </c>
      <c r="BN30" s="4">
        <f>1.305*10000/1000*50%</f>
        <v>6.5250000000000004</v>
      </c>
      <c r="BO30" s="4">
        <f>(9.889)*10000/1000*50%</f>
        <v>49.445</v>
      </c>
      <c r="BP30" s="4">
        <f>SUM(BM30:BO30)</f>
        <v>58.127000000000002</v>
      </c>
      <c r="BQ30" s="4">
        <f>BU30/BP30</f>
        <v>0.56884064204242424</v>
      </c>
      <c r="BR30" s="4">
        <f>(3.864)*10000/1000*50%</f>
        <v>19.32</v>
      </c>
      <c r="BS30" s="4">
        <f>(1.449)*10000/1000*50%</f>
        <v>7.2450000000000001</v>
      </c>
      <c r="BT30" s="4">
        <f>(1.3)*10000/1000*50%</f>
        <v>6.5</v>
      </c>
      <c r="BU30" s="4">
        <f>SUM(BR30:BT30)</f>
        <v>33.064999999999998</v>
      </c>
      <c r="BV30" s="4">
        <f t="shared" si="3"/>
        <v>91.192000000000007</v>
      </c>
      <c r="BW30" s="4"/>
      <c r="BX30" s="4"/>
      <c r="BY30" s="4"/>
      <c r="BZ30" s="4"/>
      <c r="CA30" s="4"/>
      <c r="CB30" s="4"/>
      <c r="CC30" s="4"/>
      <c r="CD30" s="4"/>
      <c r="CE30" s="4"/>
      <c r="CF30" s="4">
        <f>((10.0169+1.0598)/10)*10000/1000*50%</f>
        <v>5.5383499999999994</v>
      </c>
      <c r="CG30" s="4"/>
      <c r="CH30" s="4"/>
      <c r="CI30" s="4"/>
      <c r="CJ30" s="4"/>
      <c r="CK30" s="4"/>
      <c r="CL30" s="4"/>
      <c r="CM30" s="4"/>
      <c r="CN30" s="4"/>
      <c r="CP30" s="2" t="s">
        <v>359</v>
      </c>
      <c r="CQ30" s="2" t="s">
        <v>254</v>
      </c>
      <c r="CR30" s="10" t="s">
        <v>360</v>
      </c>
      <c r="CS30" s="9" t="s">
        <v>256</v>
      </c>
    </row>
    <row r="31" spans="1:97" s="2" customFormat="1" ht="12.75">
      <c r="A31" s="2">
        <v>28</v>
      </c>
      <c r="B31" s="2" t="s">
        <v>248</v>
      </c>
      <c r="C31" s="2" t="s">
        <v>356</v>
      </c>
      <c r="D31" s="4" t="s">
        <v>250</v>
      </c>
      <c r="E31" s="2" t="s">
        <v>361</v>
      </c>
      <c r="F31" s="2" t="s">
        <v>362</v>
      </c>
      <c r="G31" s="2">
        <v>1982</v>
      </c>
      <c r="H31" s="2">
        <v>1989</v>
      </c>
      <c r="I31" s="2">
        <v>1</v>
      </c>
      <c r="J31" s="2">
        <v>0</v>
      </c>
      <c r="K31" s="2">
        <v>1</v>
      </c>
      <c r="L31" s="2">
        <v>1</v>
      </c>
      <c r="M31" s="2">
        <v>0</v>
      </c>
      <c r="N31" s="11">
        <v>0</v>
      </c>
      <c r="O31" s="4">
        <v>16</v>
      </c>
      <c r="P31" s="4">
        <f>(O31-5)*12</f>
        <v>132</v>
      </c>
      <c r="Q31" s="4">
        <v>1800</v>
      </c>
      <c r="R31" s="4"/>
      <c r="S31" s="4">
        <v>31</v>
      </c>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W31" s="4">
        <v>2700</v>
      </c>
      <c r="AX31" s="4"/>
      <c r="AY31" s="4"/>
      <c r="AZ31" s="4"/>
      <c r="BA31" s="4"/>
      <c r="BB31" s="4"/>
      <c r="BC31" s="4">
        <v>8.02</v>
      </c>
      <c r="BD31" s="4"/>
      <c r="BE31" s="4"/>
      <c r="BF31" s="4"/>
      <c r="BG31" s="4"/>
      <c r="BH31" s="4"/>
      <c r="BI31" s="4"/>
      <c r="BJ31" s="4"/>
      <c r="BK31" s="4"/>
      <c r="BL31" s="4"/>
      <c r="BM31" s="4">
        <f>0.2886*10000/1000*50%</f>
        <v>1.4430000000000003</v>
      </c>
      <c r="BN31" s="4">
        <f>0.8213*10000/1000*50%</f>
        <v>4.1064999999999996</v>
      </c>
      <c r="BO31" s="4">
        <f>4.199*10000/1000*50%</f>
        <v>20.995000000000001</v>
      </c>
      <c r="BP31" s="4">
        <f>SUM(BM31:BO31)</f>
        <v>26.544499999999999</v>
      </c>
      <c r="BQ31" s="4"/>
      <c r="BR31" s="4">
        <f>(4.857)*10000/1000*50%</f>
        <v>24.285</v>
      </c>
      <c r="BS31" s="4">
        <f>(1.337)*10000/1000*50%</f>
        <v>6.6849999999999996</v>
      </c>
      <c r="BT31" s="4">
        <f>(0.5091)*10000/1000*50%</f>
        <v>2.5455000000000001</v>
      </c>
      <c r="BU31" s="4">
        <f>SUM(BR31:BT31)</f>
        <v>33.515499999999996</v>
      </c>
      <c r="BV31" s="4">
        <f t="shared" si="3"/>
        <v>60.059999999999995</v>
      </c>
      <c r="BW31" s="4"/>
      <c r="BX31" s="4"/>
      <c r="BY31" s="4"/>
      <c r="BZ31" s="4"/>
      <c r="CA31" s="4"/>
      <c r="CB31" s="4"/>
      <c r="CC31" s="4"/>
      <c r="CD31" s="4"/>
      <c r="CE31" s="4"/>
      <c r="CF31" s="4">
        <f>((4.2415+0.3274)/8)*10000/1000*50%</f>
        <v>2.8555625</v>
      </c>
      <c r="CG31" s="4"/>
      <c r="CH31" s="4"/>
      <c r="CI31" s="4"/>
      <c r="CJ31" s="4"/>
      <c r="CK31" s="4"/>
      <c r="CL31" s="4"/>
      <c r="CM31" s="4"/>
      <c r="CN31" s="4"/>
      <c r="CP31" s="2" t="s">
        <v>359</v>
      </c>
      <c r="CQ31" s="2" t="s">
        <v>254</v>
      </c>
      <c r="CR31" s="10" t="s">
        <v>360</v>
      </c>
      <c r="CS31" s="9" t="s">
        <v>256</v>
      </c>
    </row>
    <row r="32" spans="1:97" s="2" customFormat="1" ht="12.75">
      <c r="A32" s="2">
        <v>29</v>
      </c>
      <c r="B32" s="2" t="s">
        <v>363</v>
      </c>
      <c r="C32" s="2" t="s">
        <v>364</v>
      </c>
      <c r="D32" s="4" t="s">
        <v>365</v>
      </c>
      <c r="E32" s="2" t="s">
        <v>366</v>
      </c>
      <c r="F32" s="2" t="s">
        <v>367</v>
      </c>
      <c r="G32" s="2">
        <v>2008</v>
      </c>
      <c r="H32" s="2">
        <v>2009</v>
      </c>
      <c r="I32" s="2">
        <v>0</v>
      </c>
      <c r="J32" s="2">
        <v>0</v>
      </c>
      <c r="K32" s="2">
        <v>0</v>
      </c>
      <c r="L32" s="2">
        <v>0</v>
      </c>
      <c r="M32" s="2">
        <v>0</v>
      </c>
      <c r="N32" s="12">
        <v>0</v>
      </c>
      <c r="O32" s="4">
        <v>14.8</v>
      </c>
      <c r="P32" s="4">
        <f>(O32-5)*12</f>
        <v>117.60000000000001</v>
      </c>
      <c r="Q32" s="4">
        <v>1451.4</v>
      </c>
      <c r="R32" s="4">
        <v>7</v>
      </c>
      <c r="S32" s="4">
        <v>110</v>
      </c>
      <c r="T32" s="4">
        <v>61.208329999999997</v>
      </c>
      <c r="U32" s="4">
        <v>2161.15</v>
      </c>
      <c r="V32" s="4">
        <v>1.5333300000000001</v>
      </c>
      <c r="W32" s="4">
        <v>0.4</v>
      </c>
      <c r="X32" s="4"/>
      <c r="Y32" s="4">
        <v>4.55</v>
      </c>
      <c r="Z32" s="4"/>
      <c r="AA32" s="4"/>
      <c r="AB32" s="4"/>
      <c r="AC32" s="4"/>
      <c r="AD32" s="4">
        <f>(0.023)*1000</f>
        <v>23</v>
      </c>
      <c r="AE32" s="4"/>
      <c r="AF32" s="4"/>
      <c r="AG32" s="4"/>
      <c r="AH32" s="4"/>
      <c r="AI32" s="4"/>
      <c r="AJ32" s="4"/>
      <c r="AK32" s="4"/>
      <c r="AL32" s="4"/>
      <c r="AM32" s="4"/>
      <c r="AN32" s="4"/>
      <c r="AO32" s="4"/>
      <c r="AP32" s="4"/>
      <c r="AQ32" s="4">
        <v>203</v>
      </c>
      <c r="AR32" s="4">
        <v>176</v>
      </c>
      <c r="AS32" s="4"/>
      <c r="AT32" s="4"/>
      <c r="AV32" s="4">
        <v>290</v>
      </c>
      <c r="AW32" s="4">
        <v>2660</v>
      </c>
      <c r="AX32" s="4">
        <v>8.1999999999999993</v>
      </c>
      <c r="AY32" s="4"/>
      <c r="AZ32" s="4">
        <f t="shared" ref="AZ32:AZ40" si="4">(AX32/2)^2*PI()*AW32/10000</f>
        <v>14.047505886820614</v>
      </c>
      <c r="BA32" s="4"/>
      <c r="BB32" s="4"/>
      <c r="BC32" s="4"/>
      <c r="BD32" s="4"/>
      <c r="BE32" s="4"/>
      <c r="BF32" s="4"/>
      <c r="BG32" s="4"/>
      <c r="BH32" s="4"/>
      <c r="BI32" s="4"/>
      <c r="BJ32" s="4"/>
      <c r="BK32" s="4"/>
      <c r="BL32" s="4"/>
      <c r="BM32" s="4">
        <f>1.29*50%</f>
        <v>0.64500000000000002</v>
      </c>
      <c r="BN32" s="4">
        <f>3.72*50%</f>
        <v>1.86</v>
      </c>
      <c r="BO32" s="4">
        <f>26.4*50%</f>
        <v>13.2</v>
      </c>
      <c r="BP32" s="4">
        <f>SUM(BM32:BO32)</f>
        <v>15.704999999999998</v>
      </c>
      <c r="BQ32" s="4">
        <f>BU32/BP32</f>
        <v>1.1464501751034704</v>
      </c>
      <c r="BR32" s="4">
        <f>(18.7+7.47)*50%</f>
        <v>13.084999999999999</v>
      </c>
      <c r="BS32" s="4">
        <f>9.84*50%</f>
        <v>4.92</v>
      </c>
      <c r="BT32" s="4"/>
      <c r="BU32" s="4">
        <f>SUM(BR32:BT32)</f>
        <v>18.004999999999999</v>
      </c>
      <c r="BV32" s="4">
        <f t="shared" si="3"/>
        <v>33.709999999999994</v>
      </c>
      <c r="BX32" s="4"/>
      <c r="BY32" s="4"/>
      <c r="BZ32" s="4"/>
      <c r="CA32" s="4"/>
      <c r="CB32" s="4"/>
      <c r="CC32" s="4"/>
      <c r="CD32" s="4">
        <f>7.19*50%</f>
        <v>3.5950000000000002</v>
      </c>
      <c r="CE32" s="4"/>
      <c r="CF32" s="4"/>
      <c r="CG32" s="4"/>
      <c r="CH32" s="4"/>
      <c r="CI32" s="4"/>
      <c r="CJ32" s="4"/>
      <c r="CK32" s="4"/>
      <c r="CL32" s="4"/>
      <c r="CM32" s="4"/>
      <c r="CN32" s="4"/>
      <c r="CP32" s="2" t="s">
        <v>368</v>
      </c>
      <c r="CQ32" s="2" t="s">
        <v>254</v>
      </c>
      <c r="CR32" s="10" t="s">
        <v>369</v>
      </c>
      <c r="CS32" s="9" t="s">
        <v>256</v>
      </c>
    </row>
    <row r="33" spans="1:97" s="2" customFormat="1" ht="12.75">
      <c r="A33" s="2">
        <v>30</v>
      </c>
      <c r="B33" s="2" t="s">
        <v>363</v>
      </c>
      <c r="C33" s="2" t="s">
        <v>364</v>
      </c>
      <c r="D33" s="4" t="s">
        <v>365</v>
      </c>
      <c r="E33" s="2" t="s">
        <v>370</v>
      </c>
      <c r="F33" s="2" t="s">
        <v>371</v>
      </c>
      <c r="G33" s="2">
        <v>2008</v>
      </c>
      <c r="H33" s="2">
        <v>2009</v>
      </c>
      <c r="I33" s="2">
        <v>0</v>
      </c>
      <c r="J33" s="2">
        <v>0</v>
      </c>
      <c r="K33" s="2">
        <v>0</v>
      </c>
      <c r="L33" s="2">
        <v>0</v>
      </c>
      <c r="M33" s="2">
        <v>0</v>
      </c>
      <c r="N33" s="12">
        <v>0</v>
      </c>
      <c r="O33" s="4">
        <v>14.8</v>
      </c>
      <c r="P33" s="4">
        <f>(O33-5)*12</f>
        <v>117.60000000000001</v>
      </c>
      <c r="Q33" s="4">
        <v>1451.4</v>
      </c>
      <c r="R33" s="4">
        <v>7</v>
      </c>
      <c r="S33" s="4">
        <v>160</v>
      </c>
      <c r="T33" s="4">
        <v>61.208329999999997</v>
      </c>
      <c r="U33" s="4">
        <v>2161.15</v>
      </c>
      <c r="V33" s="4">
        <v>1.5333300000000001</v>
      </c>
      <c r="W33" s="4">
        <v>0.31</v>
      </c>
      <c r="X33" s="4"/>
      <c r="Y33" s="4">
        <v>4.79</v>
      </c>
      <c r="Z33" s="4"/>
      <c r="AA33" s="4"/>
      <c r="AB33" s="4"/>
      <c r="AC33" s="4"/>
      <c r="AD33" s="4">
        <f>(0.025)*1000</f>
        <v>25</v>
      </c>
      <c r="AE33" s="4"/>
      <c r="AF33" s="4"/>
      <c r="AG33" s="4"/>
      <c r="AH33" s="4"/>
      <c r="AI33" s="4"/>
      <c r="AJ33" s="4"/>
      <c r="AK33" s="4"/>
      <c r="AL33" s="4"/>
      <c r="AM33" s="4"/>
      <c r="AN33" s="4"/>
      <c r="AO33" s="4"/>
      <c r="AP33" s="4"/>
      <c r="AQ33" s="4">
        <v>357</v>
      </c>
      <c r="AR33" s="4">
        <v>463</v>
      </c>
      <c r="AS33" s="4"/>
      <c r="AT33" s="4"/>
      <c r="AV33" s="4">
        <v>67</v>
      </c>
      <c r="AW33" s="4">
        <v>4790</v>
      </c>
      <c r="AX33" s="4">
        <v>11.2</v>
      </c>
      <c r="AY33" s="4"/>
      <c r="AZ33" s="4">
        <f t="shared" si="4"/>
        <v>47.191245550339858</v>
      </c>
      <c r="BA33" s="4"/>
      <c r="BB33" s="4"/>
      <c r="BC33" s="4"/>
      <c r="BD33" s="4"/>
      <c r="BE33" s="4"/>
      <c r="BF33" s="4"/>
      <c r="BG33" s="4"/>
      <c r="BH33" s="4"/>
      <c r="BI33" s="4"/>
      <c r="BJ33" s="4"/>
      <c r="BK33" s="4"/>
      <c r="BL33" s="4"/>
      <c r="BM33" s="4">
        <f>4.06*50%</f>
        <v>2.0299999999999998</v>
      </c>
      <c r="BN33" s="4">
        <f>10.9*50%</f>
        <v>5.45</v>
      </c>
      <c r="BO33" s="4">
        <f>92.2*50%</f>
        <v>46.1</v>
      </c>
      <c r="BP33" s="4">
        <f>SUM(BM33:BO33)</f>
        <v>53.58</v>
      </c>
      <c r="BQ33" s="4">
        <f>BU33/BP33</f>
        <v>0.63176558417319884</v>
      </c>
      <c r="BR33" s="4">
        <f>(23.9+17.4)*50%</f>
        <v>20.65</v>
      </c>
      <c r="BS33" s="4">
        <f>26.4*50%</f>
        <v>13.2</v>
      </c>
      <c r="BT33" s="4"/>
      <c r="BU33" s="4">
        <f>SUM(BR33:BT33)</f>
        <v>33.849999999999994</v>
      </c>
      <c r="BV33" s="4">
        <f t="shared" si="3"/>
        <v>87.429999999999993</v>
      </c>
      <c r="BX33" s="4"/>
      <c r="BY33" s="4"/>
      <c r="BZ33" s="4"/>
      <c r="CA33" s="4"/>
      <c r="CB33" s="4"/>
      <c r="CC33" s="4"/>
      <c r="CD33" s="4">
        <f>3.03*50%</f>
        <v>1.5149999999999999</v>
      </c>
      <c r="CE33" s="4"/>
      <c r="CF33" s="4"/>
      <c r="CG33" s="4"/>
      <c r="CH33" s="4"/>
      <c r="CI33" s="4"/>
      <c r="CJ33" s="4"/>
      <c r="CK33" s="4"/>
      <c r="CL33" s="4"/>
      <c r="CM33" s="4"/>
      <c r="CN33" s="4"/>
      <c r="CP33" s="2" t="s">
        <v>368</v>
      </c>
      <c r="CQ33" s="2" t="s">
        <v>254</v>
      </c>
      <c r="CR33" s="10" t="s">
        <v>369</v>
      </c>
      <c r="CS33" s="9" t="s">
        <v>256</v>
      </c>
    </row>
    <row r="34" spans="1:97" s="2" customFormat="1" ht="12.75">
      <c r="A34" s="2">
        <v>31</v>
      </c>
      <c r="B34" s="2" t="s">
        <v>363</v>
      </c>
      <c r="C34" s="2" t="s">
        <v>364</v>
      </c>
      <c r="D34" s="4" t="s">
        <v>365</v>
      </c>
      <c r="E34" s="2" t="s">
        <v>372</v>
      </c>
      <c r="F34" s="2" t="s">
        <v>373</v>
      </c>
      <c r="G34" s="2">
        <v>2008</v>
      </c>
      <c r="H34" s="2">
        <v>2009</v>
      </c>
      <c r="I34" s="2">
        <v>0</v>
      </c>
      <c r="J34" s="2">
        <v>0</v>
      </c>
      <c r="K34" s="2">
        <v>0</v>
      </c>
      <c r="L34" s="2">
        <v>0</v>
      </c>
      <c r="M34" s="2">
        <v>0</v>
      </c>
      <c r="N34" s="12">
        <v>0</v>
      </c>
      <c r="O34" s="4">
        <v>14.8</v>
      </c>
      <c r="P34" s="4">
        <f>(O34-5)*12</f>
        <v>117.60000000000001</v>
      </c>
      <c r="Q34" s="4">
        <v>1451.4</v>
      </c>
      <c r="R34" s="4">
        <v>7</v>
      </c>
      <c r="S34" s="4">
        <v>200</v>
      </c>
      <c r="T34" s="4">
        <v>61.208329999999997</v>
      </c>
      <c r="U34" s="4">
        <v>2161.15</v>
      </c>
      <c r="V34" s="4">
        <v>1.5333300000000001</v>
      </c>
      <c r="W34" s="4">
        <v>0.48</v>
      </c>
      <c r="X34" s="4"/>
      <c r="Y34" s="4">
        <v>4.6900000000000004</v>
      </c>
      <c r="Z34" s="4"/>
      <c r="AA34" s="4"/>
      <c r="AB34" s="4"/>
      <c r="AC34" s="4"/>
      <c r="AD34" s="4">
        <f>(0.025)*1000</f>
        <v>25</v>
      </c>
      <c r="AE34" s="4"/>
      <c r="AF34" s="4"/>
      <c r="AG34" s="4"/>
      <c r="AH34" s="4"/>
      <c r="AI34" s="4"/>
      <c r="AJ34" s="4"/>
      <c r="AK34" s="4"/>
      <c r="AL34" s="4"/>
      <c r="AM34" s="4"/>
      <c r="AN34" s="4"/>
      <c r="AO34" s="4"/>
      <c r="AP34" s="4"/>
      <c r="AQ34" s="4">
        <v>256</v>
      </c>
      <c r="AR34" s="4">
        <v>368</v>
      </c>
      <c r="AS34" s="4"/>
      <c r="AT34" s="4"/>
      <c r="AV34" s="4">
        <v>324</v>
      </c>
      <c r="AW34" s="4">
        <v>2400</v>
      </c>
      <c r="AX34" s="4">
        <v>10.1</v>
      </c>
      <c r="AY34" s="4"/>
      <c r="AZ34" s="4">
        <f t="shared" si="4"/>
        <v>19.228431995561689</v>
      </c>
      <c r="BA34" s="4"/>
      <c r="BB34" s="4"/>
      <c r="BC34" s="4"/>
      <c r="BD34" s="4"/>
      <c r="BE34" s="4"/>
      <c r="BF34" s="4"/>
      <c r="BG34" s="4"/>
      <c r="BH34" s="4"/>
      <c r="BI34" s="4"/>
      <c r="BJ34" s="4"/>
      <c r="BK34" s="4"/>
      <c r="BL34" s="4"/>
      <c r="BM34" s="4">
        <f>1.69*50%</f>
        <v>0.84499999999999997</v>
      </c>
      <c r="BN34" s="4">
        <f>4.64*50%</f>
        <v>2.3199999999999998</v>
      </c>
      <c r="BO34" s="4">
        <f>37.3*50%</f>
        <v>18.649999999999999</v>
      </c>
      <c r="BP34" s="4">
        <f>SUM(BM34:BO34)</f>
        <v>21.814999999999998</v>
      </c>
      <c r="BQ34" s="4">
        <f>BU34/BP34</f>
        <v>1.3183589273435712</v>
      </c>
      <c r="BR34" s="4">
        <f>(23.1+9.92)*50%</f>
        <v>16.510000000000002</v>
      </c>
      <c r="BS34" s="4">
        <f>24.5*50%</f>
        <v>12.25</v>
      </c>
      <c r="BT34" s="4"/>
      <c r="BU34" s="4">
        <f>SUM(BR34:BT34)</f>
        <v>28.76</v>
      </c>
      <c r="BV34" s="4">
        <f t="shared" si="3"/>
        <v>50.575000000000003</v>
      </c>
      <c r="BX34" s="4"/>
      <c r="BY34" s="4"/>
      <c r="BZ34" s="4"/>
      <c r="CA34" s="4"/>
      <c r="CB34" s="4"/>
      <c r="CC34" s="4"/>
      <c r="CD34" s="4">
        <f>5.26*50%</f>
        <v>2.63</v>
      </c>
      <c r="CE34" s="4"/>
      <c r="CF34" s="4"/>
      <c r="CG34" s="4"/>
      <c r="CH34" s="4"/>
      <c r="CI34" s="4"/>
      <c r="CJ34" s="4"/>
      <c r="CK34" s="4"/>
      <c r="CL34" s="4"/>
      <c r="CM34" s="4"/>
      <c r="CN34" s="4"/>
      <c r="CP34" s="2" t="s">
        <v>368</v>
      </c>
      <c r="CQ34" s="2" t="s">
        <v>254</v>
      </c>
      <c r="CR34" s="10" t="s">
        <v>369</v>
      </c>
      <c r="CS34" s="9" t="s">
        <v>256</v>
      </c>
    </row>
    <row r="35" spans="1:97" s="2" customFormat="1" ht="12.75">
      <c r="A35" s="2">
        <v>32</v>
      </c>
      <c r="B35" s="2" t="s">
        <v>374</v>
      </c>
      <c r="C35" s="2" t="s">
        <v>375</v>
      </c>
      <c r="D35" s="4" t="s">
        <v>250</v>
      </c>
      <c r="E35" s="2" t="s">
        <v>376</v>
      </c>
      <c r="F35" s="2" t="s">
        <v>377</v>
      </c>
      <c r="G35" s="2">
        <v>2002</v>
      </c>
      <c r="H35" s="2">
        <v>2003</v>
      </c>
      <c r="I35" s="2">
        <v>0</v>
      </c>
      <c r="J35" s="2">
        <v>0</v>
      </c>
      <c r="K35" s="2">
        <v>0</v>
      </c>
      <c r="L35" s="2">
        <v>0</v>
      </c>
      <c r="M35" s="2">
        <v>0</v>
      </c>
      <c r="N35" s="2">
        <v>0</v>
      </c>
      <c r="O35" s="4">
        <v>16.087499999999999</v>
      </c>
      <c r="P35" s="4">
        <v>133.5</v>
      </c>
      <c r="Q35" s="4">
        <v>1556.5</v>
      </c>
      <c r="R35" s="4">
        <v>0</v>
      </c>
      <c r="S35" s="4">
        <f>(50+92)/2</f>
        <v>71</v>
      </c>
      <c r="U35" s="13">
        <v>1659.6</v>
      </c>
      <c r="V35" s="4">
        <v>2.329167</v>
      </c>
      <c r="W35" s="4"/>
      <c r="X35" s="4"/>
      <c r="Y35" s="4"/>
      <c r="Z35" s="4"/>
      <c r="AA35" s="4"/>
      <c r="AB35" s="4"/>
      <c r="AC35" s="4"/>
      <c r="AD35" s="4"/>
      <c r="AE35" s="4"/>
      <c r="AF35" s="4"/>
      <c r="AG35" s="4"/>
      <c r="AH35" s="4"/>
      <c r="AI35" s="4"/>
      <c r="AJ35" s="4"/>
      <c r="AK35" s="4"/>
      <c r="AL35" s="4"/>
      <c r="AM35" s="4"/>
      <c r="AN35" s="4"/>
      <c r="AO35" s="4"/>
      <c r="AP35" s="4"/>
      <c r="AQ35" s="4"/>
      <c r="AR35" s="4"/>
      <c r="AS35" s="4"/>
      <c r="AT35" s="4"/>
      <c r="AV35" s="4"/>
      <c r="AW35" s="4">
        <f>(8000+8791+5263)/3</f>
        <v>7351.333333333333</v>
      </c>
      <c r="AX35" s="4">
        <f>(8000*12.3+8791*9.8+5263*11.4)/(AW35*3)</f>
        <v>11.088691393851455</v>
      </c>
      <c r="AY35" s="4">
        <f>(8000*17+8791*14.2+5263*15.9)/(AW35*3)</f>
        <v>15.621379341616034</v>
      </c>
      <c r="AZ35" s="4">
        <f t="shared" si="4"/>
        <v>70.993173583070003</v>
      </c>
      <c r="BA35" s="4"/>
      <c r="BB35" s="4"/>
      <c r="BC35" s="4"/>
      <c r="BD35" s="4"/>
      <c r="BE35" s="4"/>
      <c r="BF35" s="4"/>
      <c r="BG35" s="4"/>
      <c r="BH35" s="4"/>
      <c r="BI35" s="4"/>
      <c r="BJ35" s="4"/>
      <c r="BK35" s="4"/>
      <c r="BL35" s="4"/>
      <c r="BM35" s="4"/>
      <c r="BN35" s="4"/>
      <c r="BO35" s="4"/>
      <c r="BP35" s="4">
        <f>((233.1+151.1+138.3)/3)*50%</f>
        <v>87.083333333333329</v>
      </c>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2" t="s">
        <v>378</v>
      </c>
      <c r="CQ35" s="2" t="s">
        <v>254</v>
      </c>
      <c r="CR35" s="10" t="s">
        <v>379</v>
      </c>
      <c r="CS35" s="9" t="s">
        <v>256</v>
      </c>
    </row>
    <row r="36" spans="1:97" s="2" customFormat="1" ht="12.75">
      <c r="A36" s="2">
        <v>33</v>
      </c>
      <c r="B36" s="2" t="s">
        <v>374</v>
      </c>
      <c r="C36" s="2" t="s">
        <v>380</v>
      </c>
      <c r="D36" s="4" t="s">
        <v>365</v>
      </c>
      <c r="E36" s="2" t="s">
        <v>381</v>
      </c>
      <c r="F36" s="2" t="s">
        <v>382</v>
      </c>
      <c r="G36" s="2">
        <v>2005</v>
      </c>
      <c r="H36" s="2">
        <v>2005</v>
      </c>
      <c r="I36" s="2">
        <v>0</v>
      </c>
      <c r="J36" s="2">
        <v>0</v>
      </c>
      <c r="K36" s="2">
        <v>0</v>
      </c>
      <c r="L36" s="2">
        <v>0</v>
      </c>
      <c r="M36" s="2">
        <v>0</v>
      </c>
      <c r="N36" s="12">
        <v>1</v>
      </c>
      <c r="O36" s="4">
        <v>11.3</v>
      </c>
      <c r="P36" s="4">
        <f>(O36-5)*12</f>
        <v>75.600000000000009</v>
      </c>
      <c r="Q36" s="4">
        <v>3244</v>
      </c>
      <c r="R36" s="4">
        <v>425</v>
      </c>
      <c r="S36" s="4">
        <v>330</v>
      </c>
      <c r="T36" s="4"/>
      <c r="U36" s="4">
        <v>1085.9000000000001</v>
      </c>
      <c r="V36" s="4">
        <v>0.74166699999999997</v>
      </c>
      <c r="W36" s="4"/>
      <c r="X36" s="4"/>
      <c r="Y36" s="4"/>
      <c r="Z36" s="4"/>
      <c r="AA36" s="4"/>
      <c r="AB36" s="4"/>
      <c r="AC36" s="4"/>
      <c r="AD36" s="4"/>
      <c r="AE36" s="4"/>
      <c r="AF36" s="4"/>
      <c r="AG36" s="4"/>
      <c r="AH36" s="4"/>
      <c r="AI36" s="4"/>
      <c r="AJ36" s="4"/>
      <c r="AK36" s="4"/>
      <c r="AL36" s="4"/>
      <c r="AM36" s="4"/>
      <c r="AN36" s="4"/>
      <c r="AO36" s="4"/>
      <c r="AP36" s="4"/>
      <c r="AQ36" s="4"/>
      <c r="AR36" s="4"/>
      <c r="AS36" s="4"/>
      <c r="AT36" s="4"/>
      <c r="AV36" s="4"/>
      <c r="AW36" s="4">
        <v>12500</v>
      </c>
      <c r="AX36" s="4">
        <f>(4.63*70+1.78*55)/125</f>
        <v>3.3759999999999999</v>
      </c>
      <c r="AY36" s="4"/>
      <c r="AZ36" s="4">
        <f t="shared" si="4"/>
        <v>11.189347722437693</v>
      </c>
      <c r="BA36" s="4"/>
      <c r="BB36" s="4"/>
      <c r="BC36" s="4"/>
      <c r="BD36" s="4"/>
      <c r="BE36" s="4"/>
      <c r="BF36" s="4"/>
      <c r="BG36" s="4"/>
      <c r="BH36" s="4"/>
      <c r="BI36" s="4"/>
      <c r="BJ36" s="4"/>
      <c r="BK36" s="4"/>
      <c r="BL36" s="4"/>
      <c r="BM36" s="4"/>
      <c r="BN36" s="4"/>
      <c r="BO36" s="4"/>
      <c r="BP36" s="4">
        <f>23.31*50%</f>
        <v>11.654999999999999</v>
      </c>
      <c r="BQ36" s="4">
        <f>BU36/BP36</f>
        <v>1.5096525096525097</v>
      </c>
      <c r="BR36" s="4">
        <f>9.51*50%</f>
        <v>4.7549999999999999</v>
      </c>
      <c r="BS36" s="4">
        <f>15.67*50%</f>
        <v>7.835</v>
      </c>
      <c r="BT36" s="4">
        <f>(7.56+2.45)*50%</f>
        <v>5.0049999999999999</v>
      </c>
      <c r="BU36" s="4">
        <f>SUM(BR36:BT36)</f>
        <v>17.594999999999999</v>
      </c>
      <c r="BV36" s="4">
        <f>BU36+BP36</f>
        <v>29.25</v>
      </c>
      <c r="BW36" s="4"/>
      <c r="BX36" s="4"/>
      <c r="BY36" s="4"/>
      <c r="BZ36" s="4"/>
      <c r="CB36" s="4"/>
      <c r="CC36" s="4"/>
      <c r="CD36" s="4"/>
      <c r="CE36" s="4"/>
      <c r="CF36" s="4"/>
      <c r="CG36" s="4"/>
      <c r="CH36" s="4"/>
      <c r="CI36" s="4"/>
      <c r="CJ36" s="4"/>
      <c r="CK36" s="4"/>
      <c r="CL36" s="4"/>
      <c r="CM36" s="4"/>
      <c r="CN36" s="4"/>
      <c r="CP36" s="2" t="s">
        <v>383</v>
      </c>
      <c r="CQ36" s="2" t="s">
        <v>254</v>
      </c>
      <c r="CR36" s="10" t="s">
        <v>384</v>
      </c>
      <c r="CS36" s="9" t="s">
        <v>256</v>
      </c>
    </row>
    <row r="37" spans="1:97" s="2" customFormat="1" ht="12.75">
      <c r="A37" s="2">
        <v>34</v>
      </c>
      <c r="B37" s="2" t="s">
        <v>374</v>
      </c>
      <c r="C37" s="2" t="s">
        <v>380</v>
      </c>
      <c r="D37" s="4" t="s">
        <v>365</v>
      </c>
      <c r="E37" s="2" t="s">
        <v>385</v>
      </c>
      <c r="F37" s="2" t="s">
        <v>386</v>
      </c>
      <c r="G37" s="2">
        <v>2002</v>
      </c>
      <c r="H37" s="2">
        <v>2005</v>
      </c>
      <c r="I37" s="2">
        <v>1</v>
      </c>
      <c r="J37" s="2">
        <v>0</v>
      </c>
      <c r="K37" s="2">
        <v>1</v>
      </c>
      <c r="L37" s="2">
        <v>0</v>
      </c>
      <c r="M37" s="2">
        <v>0</v>
      </c>
      <c r="N37" s="2">
        <v>0</v>
      </c>
      <c r="O37" s="4">
        <v>16.177083333333332</v>
      </c>
      <c r="P37" s="4">
        <v>135.35</v>
      </c>
      <c r="Q37" s="4">
        <v>1759.125</v>
      </c>
      <c r="R37" s="4">
        <v>56.75</v>
      </c>
      <c r="S37" s="4">
        <v>70</v>
      </c>
      <c r="T37" s="4">
        <v>64.9375</v>
      </c>
      <c r="U37" s="4">
        <v>2042.8500000000001</v>
      </c>
      <c r="V37" s="4">
        <v>2.5979166666666664</v>
      </c>
      <c r="W37" s="4"/>
      <c r="X37" s="4"/>
      <c r="Y37" s="4"/>
      <c r="Z37" s="4"/>
      <c r="AA37" s="4"/>
      <c r="AB37" s="4"/>
      <c r="AC37" s="4"/>
      <c r="AD37" s="4"/>
      <c r="AE37" s="4"/>
      <c r="AF37" s="4"/>
      <c r="AG37" s="4"/>
      <c r="AH37" s="4"/>
      <c r="AI37" s="4"/>
      <c r="AJ37" s="4"/>
      <c r="AK37" s="4"/>
      <c r="AL37" s="4"/>
      <c r="AM37" s="4"/>
      <c r="AN37" s="4"/>
      <c r="AO37" s="4"/>
      <c r="AP37" s="4"/>
      <c r="AQ37" s="4"/>
      <c r="AR37" s="4"/>
      <c r="AS37" s="4"/>
      <c r="AT37" s="4"/>
      <c r="AV37" s="4"/>
      <c r="AW37" s="4">
        <v>3240</v>
      </c>
      <c r="AX37" s="4">
        <v>8.1999999999999993</v>
      </c>
      <c r="AY37" s="4"/>
      <c r="AZ37" s="4">
        <f t="shared" si="4"/>
        <v>17.110495892217592</v>
      </c>
      <c r="BA37" s="4"/>
      <c r="BB37" s="4"/>
      <c r="BC37" s="4"/>
      <c r="BD37" s="4">
        <v>45.2</v>
      </c>
      <c r="BE37" s="4">
        <v>48.2</v>
      </c>
      <c r="BF37" s="4">
        <v>48.9</v>
      </c>
      <c r="BG37" s="4">
        <v>44.8</v>
      </c>
      <c r="BH37" s="4"/>
      <c r="BI37" s="4">
        <v>45.6</v>
      </c>
      <c r="BJ37" s="4"/>
      <c r="BK37" s="4"/>
      <c r="BL37" s="4"/>
      <c r="BM37" s="4"/>
      <c r="BN37" s="4">
        <v>4.5999999999999996</v>
      </c>
      <c r="BO37" s="4">
        <v>18</v>
      </c>
      <c r="BP37" s="4">
        <f>SUM(BM37:BO37)</f>
        <v>22.6</v>
      </c>
      <c r="BQ37" s="4">
        <f>BU37/BP37</f>
        <v>1.5088495575221239</v>
      </c>
      <c r="BR37" s="4">
        <v>11.8</v>
      </c>
      <c r="BS37" s="4">
        <v>14</v>
      </c>
      <c r="BT37" s="4">
        <v>8.3000000000000007</v>
      </c>
      <c r="BU37" s="4">
        <f>SUM(BR37:BT37)</f>
        <v>34.1</v>
      </c>
      <c r="BV37" s="4">
        <f>BU37+BP37</f>
        <v>56.7</v>
      </c>
      <c r="BW37" s="4"/>
      <c r="BX37" s="4">
        <v>84.3</v>
      </c>
      <c r="BY37" s="4"/>
      <c r="BZ37" s="4">
        <f>BV37+BX37</f>
        <v>141</v>
      </c>
      <c r="CA37" s="4"/>
      <c r="CB37" s="4"/>
      <c r="CC37" s="4"/>
      <c r="CD37" s="4">
        <v>2.8</v>
      </c>
      <c r="CE37" s="4"/>
      <c r="CF37" s="4"/>
      <c r="CG37" s="4"/>
      <c r="CH37" s="4"/>
      <c r="CI37" s="4"/>
      <c r="CJ37" s="4"/>
      <c r="CK37" s="4"/>
      <c r="CL37" s="4"/>
      <c r="CM37" s="4"/>
      <c r="CN37" s="4"/>
      <c r="CO37" s="4"/>
      <c r="CP37" s="2" t="s">
        <v>387</v>
      </c>
      <c r="CQ37" s="2" t="s">
        <v>254</v>
      </c>
      <c r="CR37" s="10" t="s">
        <v>388</v>
      </c>
      <c r="CS37" s="9" t="s">
        <v>256</v>
      </c>
    </row>
    <row r="38" spans="1:97" s="2" customFormat="1" ht="12.75">
      <c r="A38" s="2">
        <v>35</v>
      </c>
      <c r="B38" s="2" t="s">
        <v>374</v>
      </c>
      <c r="C38" s="2" t="s">
        <v>380</v>
      </c>
      <c r="D38" s="4" t="s">
        <v>365</v>
      </c>
      <c r="E38" s="2" t="s">
        <v>389</v>
      </c>
      <c r="F38" s="2" t="s">
        <v>390</v>
      </c>
      <c r="G38" s="2">
        <v>2002</v>
      </c>
      <c r="H38" s="2">
        <v>2005</v>
      </c>
      <c r="I38" s="2">
        <v>0</v>
      </c>
      <c r="J38" s="2">
        <v>0</v>
      </c>
      <c r="K38" s="2">
        <v>0</v>
      </c>
      <c r="L38" s="2">
        <v>0</v>
      </c>
      <c r="M38" s="2">
        <v>0</v>
      </c>
      <c r="N38" s="2">
        <v>0</v>
      </c>
      <c r="O38" s="4">
        <v>16.177083333333332</v>
      </c>
      <c r="P38" s="4">
        <v>135.35</v>
      </c>
      <c r="Q38" s="4">
        <v>1759.125</v>
      </c>
      <c r="R38" s="4">
        <v>56.75</v>
      </c>
      <c r="S38" s="4">
        <v>70</v>
      </c>
      <c r="T38" s="4">
        <v>64.9375</v>
      </c>
      <c r="U38" s="4">
        <v>2042.8500000000001</v>
      </c>
      <c r="V38" s="4">
        <v>2.5979166666666664</v>
      </c>
      <c r="W38" s="4"/>
      <c r="X38" s="4"/>
      <c r="Y38" s="4"/>
      <c r="Z38" s="4"/>
      <c r="AA38" s="4"/>
      <c r="AB38" s="4"/>
      <c r="AC38" s="4"/>
      <c r="AD38" s="4"/>
      <c r="AE38" s="4"/>
      <c r="AF38" s="4"/>
      <c r="AG38" s="4"/>
      <c r="AH38" s="4"/>
      <c r="AI38" s="4"/>
      <c r="AJ38" s="4"/>
      <c r="AK38" s="4"/>
      <c r="AL38" s="4"/>
      <c r="AM38" s="4"/>
      <c r="AN38" s="4"/>
      <c r="AO38" s="4"/>
      <c r="AP38" s="4"/>
      <c r="AQ38" s="4"/>
      <c r="AR38" s="4"/>
      <c r="AS38" s="4"/>
      <c r="AT38" s="4"/>
      <c r="AV38" s="4"/>
      <c r="AW38" s="4">
        <v>8200</v>
      </c>
      <c r="AX38" s="4">
        <v>7.5</v>
      </c>
      <c r="AY38" s="4"/>
      <c r="AZ38" s="4">
        <f t="shared" si="4"/>
        <v>36.226490286707303</v>
      </c>
      <c r="BA38" s="4"/>
      <c r="BB38" s="4"/>
      <c r="BC38" s="4"/>
      <c r="BD38" s="4">
        <v>45.2</v>
      </c>
      <c r="BE38" s="4">
        <v>48.2</v>
      </c>
      <c r="BF38" s="4">
        <v>48.9</v>
      </c>
      <c r="BG38" s="4">
        <v>44.8</v>
      </c>
      <c r="BH38" s="4"/>
      <c r="BI38" s="4">
        <v>45.6</v>
      </c>
      <c r="BJ38" s="4"/>
      <c r="BK38" s="4"/>
      <c r="BL38" s="4"/>
      <c r="BM38" s="4"/>
      <c r="BN38" s="4">
        <v>8.1</v>
      </c>
      <c r="BO38" s="4">
        <v>31.6</v>
      </c>
      <c r="BP38" s="4">
        <f>SUM(BM38:BO38)</f>
        <v>39.700000000000003</v>
      </c>
      <c r="BQ38" s="4">
        <f>BU38/BP38</f>
        <v>1.1435768261964734</v>
      </c>
      <c r="BR38" s="4">
        <v>19.8</v>
      </c>
      <c r="BS38" s="4">
        <v>13</v>
      </c>
      <c r="BT38" s="4">
        <v>12.6</v>
      </c>
      <c r="BU38" s="4">
        <f>SUM(BR38:BT38)</f>
        <v>45.4</v>
      </c>
      <c r="BV38" s="4">
        <f>BU38+BP38</f>
        <v>85.1</v>
      </c>
      <c r="BW38" s="4"/>
      <c r="BX38" s="4">
        <v>61.3</v>
      </c>
      <c r="BY38" s="4"/>
      <c r="BZ38" s="4">
        <f>BV38+BX38</f>
        <v>146.39999999999998</v>
      </c>
      <c r="CA38" s="4"/>
      <c r="CB38" s="4"/>
      <c r="CC38" s="4"/>
      <c r="CD38" s="4">
        <v>4.7</v>
      </c>
      <c r="CE38" s="4"/>
      <c r="CF38" s="4"/>
      <c r="CG38" s="4"/>
      <c r="CH38" s="4"/>
      <c r="CI38" s="4"/>
      <c r="CJ38" s="4"/>
      <c r="CK38" s="4"/>
      <c r="CL38" s="4"/>
      <c r="CM38" s="4"/>
      <c r="CN38" s="4"/>
      <c r="CO38" s="4"/>
      <c r="CP38" s="2" t="s">
        <v>391</v>
      </c>
      <c r="CQ38" s="2" t="s">
        <v>254</v>
      </c>
      <c r="CR38" s="10" t="s">
        <v>388</v>
      </c>
      <c r="CS38" s="9" t="s">
        <v>256</v>
      </c>
    </row>
    <row r="39" spans="1:97" s="2" customFormat="1" ht="12.75">
      <c r="A39" s="2">
        <v>36</v>
      </c>
      <c r="B39" s="2" t="s">
        <v>374</v>
      </c>
      <c r="C39" s="2" t="s">
        <v>380</v>
      </c>
      <c r="D39" s="4" t="s">
        <v>365</v>
      </c>
      <c r="E39" s="2" t="s">
        <v>392</v>
      </c>
      <c r="F39" s="2" t="s">
        <v>393</v>
      </c>
      <c r="G39" s="2">
        <v>2002</v>
      </c>
      <c r="H39" s="2">
        <v>2005</v>
      </c>
      <c r="I39" s="2">
        <v>0</v>
      </c>
      <c r="J39" s="2">
        <v>0</v>
      </c>
      <c r="K39" s="2">
        <v>0</v>
      </c>
      <c r="L39" s="2">
        <v>0</v>
      </c>
      <c r="M39" s="2">
        <v>0</v>
      </c>
      <c r="N39" s="2">
        <v>1</v>
      </c>
      <c r="O39" s="4">
        <v>13.062499999999995</v>
      </c>
      <c r="P39" s="4">
        <v>105.32499999999999</v>
      </c>
      <c r="Q39" s="4">
        <v>3462.5</v>
      </c>
      <c r="R39" s="4">
        <v>437.75</v>
      </c>
      <c r="S39" s="4">
        <v>330</v>
      </c>
      <c r="T39" s="4"/>
      <c r="U39" s="4">
        <v>1223.2</v>
      </c>
      <c r="V39" s="4">
        <v>0.89166666666666672</v>
      </c>
      <c r="W39" s="4"/>
      <c r="X39" s="4"/>
      <c r="Y39" s="4"/>
      <c r="Z39" s="4"/>
      <c r="AA39" s="4"/>
      <c r="AB39" s="4"/>
      <c r="AC39" s="4"/>
      <c r="AD39" s="4"/>
      <c r="AE39" s="4"/>
      <c r="AF39" s="4"/>
      <c r="AG39" s="4"/>
      <c r="AH39" s="4"/>
      <c r="AI39" s="4"/>
      <c r="AJ39" s="4"/>
      <c r="AK39" s="4"/>
      <c r="AL39" s="4"/>
      <c r="AM39" s="4"/>
      <c r="AN39" s="4"/>
      <c r="AO39" s="4"/>
      <c r="AP39" s="4"/>
      <c r="AQ39" s="4"/>
      <c r="AR39" s="4"/>
      <c r="AS39" s="4"/>
      <c r="AT39" s="4"/>
      <c r="AV39" s="4"/>
      <c r="AW39" s="4">
        <v>8125</v>
      </c>
      <c r="AX39" s="4">
        <v>5.0999999999999996</v>
      </c>
      <c r="AY39" s="4"/>
      <c r="AZ39" s="4">
        <f t="shared" si="4"/>
        <v>16.597917561848696</v>
      </c>
      <c r="BA39" s="4"/>
      <c r="BB39" s="4"/>
      <c r="BC39" s="4"/>
      <c r="BD39" s="4">
        <v>45.2</v>
      </c>
      <c r="BE39" s="4">
        <v>48.2</v>
      </c>
      <c r="BF39" s="4">
        <v>48.9</v>
      </c>
      <c r="BG39" s="4">
        <v>44.8</v>
      </c>
      <c r="BH39" s="4"/>
      <c r="BI39" s="4">
        <v>45.6</v>
      </c>
      <c r="BJ39" s="4"/>
      <c r="BK39" s="4"/>
      <c r="BL39" s="4"/>
      <c r="BM39" s="4"/>
      <c r="BN39" s="4">
        <v>3.3</v>
      </c>
      <c r="BO39" s="4">
        <v>17.2</v>
      </c>
      <c r="BP39" s="4">
        <f>SUM(BM39:BO39)</f>
        <v>20.5</v>
      </c>
      <c r="BQ39" s="4">
        <f>BU39/BP39</f>
        <v>2.1804878048780485</v>
      </c>
      <c r="BR39" s="4">
        <v>23.9</v>
      </c>
      <c r="BS39" s="4">
        <v>15.7</v>
      </c>
      <c r="BT39" s="4">
        <v>5.0999999999999996</v>
      </c>
      <c r="BU39" s="4">
        <f>SUM(BR39:BT39)</f>
        <v>44.699999999999996</v>
      </c>
      <c r="BV39" s="4">
        <f>BU39+BP39</f>
        <v>65.199999999999989</v>
      </c>
      <c r="BW39" s="4"/>
      <c r="BX39" s="4">
        <v>113.8</v>
      </c>
      <c r="BY39" s="4"/>
      <c r="BZ39" s="4">
        <f>BV39+BX39</f>
        <v>179</v>
      </c>
      <c r="CA39" s="4"/>
      <c r="CB39" s="4"/>
      <c r="CC39" s="4"/>
      <c r="CD39" s="4">
        <v>10.5</v>
      </c>
      <c r="CE39" s="4"/>
      <c r="CF39" s="4"/>
      <c r="CG39" s="4"/>
      <c r="CH39" s="4"/>
      <c r="CI39" s="4"/>
      <c r="CJ39" s="4"/>
      <c r="CK39" s="4"/>
      <c r="CL39" s="4"/>
      <c r="CM39" s="4"/>
      <c r="CN39" s="4"/>
      <c r="CO39" s="4"/>
      <c r="CP39" s="2" t="s">
        <v>387</v>
      </c>
      <c r="CQ39" s="2" t="s">
        <v>254</v>
      </c>
      <c r="CR39" s="10" t="s">
        <v>388</v>
      </c>
      <c r="CS39" s="9" t="s">
        <v>256</v>
      </c>
    </row>
    <row r="40" spans="1:97" s="2" customFormat="1" ht="12.75">
      <c r="A40" s="2">
        <v>37</v>
      </c>
      <c r="B40" s="2" t="s">
        <v>363</v>
      </c>
      <c r="C40" s="2" t="s">
        <v>394</v>
      </c>
      <c r="D40" s="4" t="s">
        <v>250</v>
      </c>
      <c r="E40" s="2" t="s">
        <v>395</v>
      </c>
      <c r="F40" s="2" t="s">
        <v>396</v>
      </c>
      <c r="G40" s="2">
        <v>2006</v>
      </c>
      <c r="H40" s="2">
        <v>2016</v>
      </c>
      <c r="I40" s="2">
        <v>0</v>
      </c>
      <c r="J40" s="2">
        <v>0</v>
      </c>
      <c r="K40" s="2">
        <v>0</v>
      </c>
      <c r="L40" s="2">
        <v>0</v>
      </c>
      <c r="M40" s="2">
        <v>0</v>
      </c>
      <c r="N40" s="2">
        <v>0</v>
      </c>
      <c r="O40" s="4">
        <v>17.5</v>
      </c>
      <c r="P40" s="4">
        <f>(O40-5)*12</f>
        <v>150</v>
      </c>
      <c r="Q40" s="4">
        <v>2719</v>
      </c>
      <c r="R40" s="4">
        <v>1.1000000000000001</v>
      </c>
      <c r="S40" s="4">
        <v>60</v>
      </c>
      <c r="T40" s="4">
        <v>69.340909999999994</v>
      </c>
      <c r="U40" s="4">
        <v>2353.88</v>
      </c>
      <c r="V40" s="4">
        <v>1.72197</v>
      </c>
      <c r="W40" s="4"/>
      <c r="X40" s="4"/>
      <c r="Y40" s="4"/>
      <c r="Z40" s="4"/>
      <c r="AA40" s="4"/>
      <c r="AB40" s="4"/>
      <c r="AC40" s="4"/>
      <c r="AD40" s="4"/>
      <c r="AE40" s="4"/>
      <c r="AF40" s="4"/>
      <c r="AG40" s="4"/>
      <c r="AH40" s="4"/>
      <c r="AI40" s="4"/>
      <c r="AJ40" s="4"/>
      <c r="AK40" s="4"/>
      <c r="AL40" s="4"/>
      <c r="AM40" s="4"/>
      <c r="AN40" s="4"/>
      <c r="AO40" s="4"/>
      <c r="AP40" s="4"/>
      <c r="AQ40" s="4"/>
      <c r="AR40" s="4"/>
      <c r="AS40" s="4"/>
      <c r="AT40" s="4"/>
      <c r="AV40" s="4"/>
      <c r="AW40" s="4">
        <f>(9870+7307)/2</f>
        <v>8588.5</v>
      </c>
      <c r="AX40" s="4">
        <f>(11+13)/2</f>
        <v>12</v>
      </c>
      <c r="AY40" s="4"/>
      <c r="AZ40" s="4">
        <f t="shared" si="4"/>
        <v>97.133646619281379</v>
      </c>
      <c r="BA40" s="4"/>
      <c r="BB40" s="4">
        <v>6.9</v>
      </c>
      <c r="BC40" s="4"/>
      <c r="BD40" s="4"/>
      <c r="BE40" s="4"/>
      <c r="BF40" s="4"/>
      <c r="BG40" s="4"/>
      <c r="BH40" s="4"/>
      <c r="BI40" s="4"/>
      <c r="BJ40" s="4"/>
      <c r="BK40" s="4"/>
      <c r="BL40" s="4"/>
      <c r="BM40" s="4"/>
      <c r="BN40" s="4"/>
      <c r="BO40" s="4"/>
      <c r="BP40" s="4">
        <f>(170+200)/2*50%</f>
        <v>92.5</v>
      </c>
      <c r="BQ40" s="4"/>
      <c r="BR40" s="4"/>
      <c r="BS40" s="4"/>
      <c r="BT40" s="4"/>
      <c r="BU40" s="4"/>
      <c r="BV40" s="4"/>
      <c r="BW40" s="4"/>
      <c r="BX40" s="4"/>
      <c r="BY40" s="4"/>
      <c r="BZ40" s="4"/>
      <c r="CA40" s="4"/>
      <c r="CB40" s="4"/>
      <c r="CC40" s="4"/>
      <c r="CD40" s="4">
        <f>4.2*50%</f>
        <v>2.1</v>
      </c>
      <c r="CE40" s="4"/>
      <c r="CF40" s="4"/>
      <c r="CG40" s="4"/>
      <c r="CH40" s="4"/>
      <c r="CI40" s="4"/>
      <c r="CJ40" s="4"/>
      <c r="CK40" s="4"/>
      <c r="CL40" s="4"/>
      <c r="CM40" s="4"/>
      <c r="CN40" s="4"/>
      <c r="CO40" s="4"/>
      <c r="CP40" s="2" t="s">
        <v>397</v>
      </c>
      <c r="CQ40" s="2" t="s">
        <v>254</v>
      </c>
      <c r="CR40" s="10" t="s">
        <v>398</v>
      </c>
      <c r="CS40" s="9" t="s">
        <v>256</v>
      </c>
    </row>
    <row r="41" spans="1:97" s="2" customFormat="1" ht="12.75">
      <c r="A41" s="2">
        <v>38</v>
      </c>
      <c r="B41" s="2" t="s">
        <v>374</v>
      </c>
      <c r="C41" s="2" t="s">
        <v>399</v>
      </c>
      <c r="D41" s="4" t="s">
        <v>365</v>
      </c>
      <c r="E41" s="2" t="s">
        <v>400</v>
      </c>
      <c r="F41" s="2" t="s">
        <v>401</v>
      </c>
      <c r="G41" s="2">
        <v>2008</v>
      </c>
      <c r="H41" s="2">
        <v>2008</v>
      </c>
      <c r="I41" s="2">
        <v>0</v>
      </c>
      <c r="J41" s="2">
        <v>0</v>
      </c>
      <c r="K41" s="2">
        <v>0</v>
      </c>
      <c r="L41" s="2">
        <v>0</v>
      </c>
      <c r="M41" s="2">
        <v>0</v>
      </c>
      <c r="N41" s="12">
        <v>0</v>
      </c>
      <c r="O41" s="4">
        <v>16.75</v>
      </c>
      <c r="P41" s="4">
        <v>141</v>
      </c>
      <c r="Q41" s="4">
        <v>1086.5</v>
      </c>
      <c r="R41" s="4">
        <v>0</v>
      </c>
      <c r="S41" s="4">
        <v>88</v>
      </c>
      <c r="T41" s="4">
        <v>65.416669999999996</v>
      </c>
      <c r="U41" s="4">
        <v>2016.9</v>
      </c>
      <c r="V41" s="4">
        <v>2.35</v>
      </c>
      <c r="W41" s="4"/>
      <c r="X41" s="4"/>
      <c r="Y41" s="4"/>
      <c r="Z41" s="4"/>
      <c r="AA41" s="4"/>
      <c r="AB41" s="4"/>
      <c r="AC41" s="4"/>
      <c r="AD41" s="4"/>
      <c r="AE41" s="4"/>
      <c r="AF41" s="4"/>
      <c r="AG41" s="4"/>
      <c r="AH41" s="4"/>
      <c r="AI41" s="4"/>
      <c r="AJ41" s="4"/>
      <c r="AK41" s="4"/>
      <c r="AL41" s="4"/>
      <c r="AM41" s="4"/>
      <c r="AN41" s="4"/>
      <c r="AO41" s="4"/>
      <c r="AP41" s="4"/>
      <c r="AQ41" s="4"/>
      <c r="AR41" s="4"/>
      <c r="AS41" s="4"/>
      <c r="AT41" s="4"/>
      <c r="AV41" s="4"/>
      <c r="AW41" s="4"/>
      <c r="AX41" s="4"/>
      <c r="AY41" s="4"/>
      <c r="AZ41" s="4"/>
      <c r="BA41" s="4"/>
      <c r="BB41" s="4"/>
      <c r="BC41" s="4"/>
      <c r="BD41" s="4"/>
      <c r="BE41" s="4"/>
      <c r="BF41" s="4"/>
      <c r="BG41" s="4"/>
      <c r="BH41" s="4"/>
      <c r="BI41" s="4"/>
      <c r="BJ41" s="4"/>
      <c r="BK41" s="4"/>
      <c r="BL41" s="4"/>
      <c r="BM41" s="4"/>
      <c r="BN41" s="4"/>
      <c r="BO41" s="4"/>
      <c r="BP41" s="4">
        <f>84.2</f>
        <v>84.2</v>
      </c>
      <c r="BQ41" s="4"/>
      <c r="BR41" s="4"/>
      <c r="BS41" s="4"/>
      <c r="BT41" s="4"/>
      <c r="BU41" s="4"/>
      <c r="BV41" s="4"/>
      <c r="BX41" s="4"/>
      <c r="BY41" s="4"/>
      <c r="BZ41" s="4"/>
      <c r="CA41" s="4"/>
      <c r="CB41" s="4"/>
      <c r="CC41" s="4"/>
      <c r="CD41" s="4">
        <v>3.49</v>
      </c>
      <c r="CE41" s="4"/>
      <c r="CF41" s="4"/>
      <c r="CG41" s="4"/>
      <c r="CH41" s="4"/>
      <c r="CI41" s="4"/>
      <c r="CJ41" s="4"/>
      <c r="CK41" s="4"/>
      <c r="CL41" s="4"/>
      <c r="CM41" s="4"/>
      <c r="CN41" s="4"/>
      <c r="CP41" s="2" t="s">
        <v>402</v>
      </c>
      <c r="CQ41" s="2" t="s">
        <v>254</v>
      </c>
      <c r="CR41" s="10" t="s">
        <v>403</v>
      </c>
      <c r="CS41" s="9" t="s">
        <v>256</v>
      </c>
    </row>
    <row r="42" spans="1:97" s="2" customFormat="1" ht="12.75">
      <c r="A42" s="2">
        <v>39</v>
      </c>
      <c r="B42" s="2" t="s">
        <v>374</v>
      </c>
      <c r="C42" s="2" t="s">
        <v>404</v>
      </c>
      <c r="D42" s="4" t="s">
        <v>365</v>
      </c>
      <c r="E42" s="2" t="s">
        <v>405</v>
      </c>
      <c r="F42" s="2" t="s">
        <v>406</v>
      </c>
      <c r="G42" s="2">
        <v>2008</v>
      </c>
      <c r="H42" s="2">
        <v>2008</v>
      </c>
      <c r="I42" s="2">
        <v>0</v>
      </c>
      <c r="J42" s="2">
        <v>0</v>
      </c>
      <c r="K42" s="2">
        <v>0</v>
      </c>
      <c r="L42" s="2">
        <v>0</v>
      </c>
      <c r="M42" s="2">
        <v>0</v>
      </c>
      <c r="N42" s="12">
        <v>1</v>
      </c>
      <c r="O42" s="4">
        <v>16.75</v>
      </c>
      <c r="P42" s="4">
        <v>141</v>
      </c>
      <c r="Q42" s="4">
        <v>1086.5</v>
      </c>
      <c r="R42" s="4">
        <v>0</v>
      </c>
      <c r="S42" s="4">
        <v>88</v>
      </c>
      <c r="T42" s="4">
        <v>65.416669999999996</v>
      </c>
      <c r="U42" s="4">
        <v>2016.9</v>
      </c>
      <c r="V42" s="4">
        <v>2.35</v>
      </c>
      <c r="W42" s="4"/>
      <c r="X42" s="4"/>
      <c r="Y42" s="4"/>
      <c r="Z42" s="4"/>
      <c r="AA42" s="4"/>
      <c r="AB42" s="4"/>
      <c r="AC42" s="4"/>
      <c r="AD42" s="4"/>
      <c r="AE42" s="4"/>
      <c r="AF42" s="4"/>
      <c r="AG42" s="4"/>
      <c r="AH42" s="4"/>
      <c r="AI42" s="4"/>
      <c r="AJ42" s="4"/>
      <c r="AK42" s="4"/>
      <c r="AL42" s="4"/>
      <c r="AM42" s="4"/>
      <c r="AN42" s="4"/>
      <c r="AO42" s="4"/>
      <c r="AP42" s="4"/>
      <c r="AQ42" s="4"/>
      <c r="AR42" s="4"/>
      <c r="AS42" s="4"/>
      <c r="AT42" s="4"/>
      <c r="AV42" s="4"/>
      <c r="AW42" s="4"/>
      <c r="AX42" s="4"/>
      <c r="AY42" s="4"/>
      <c r="AZ42" s="4"/>
      <c r="BA42" s="4"/>
      <c r="BB42" s="4"/>
      <c r="BC42" s="4"/>
      <c r="BD42" s="4"/>
      <c r="BE42" s="4"/>
      <c r="BF42" s="4"/>
      <c r="BG42" s="4"/>
      <c r="BH42" s="4"/>
      <c r="BI42" s="4"/>
      <c r="BJ42" s="4"/>
      <c r="BK42" s="4"/>
      <c r="BL42" s="4"/>
      <c r="BM42" s="4"/>
      <c r="BN42" s="4"/>
      <c r="BO42" s="4"/>
      <c r="BP42" s="4">
        <f>(103.2+116.7+92.3+61.1+88.2)/5</f>
        <v>92.3</v>
      </c>
      <c r="BQ42" s="4"/>
      <c r="BR42" s="4"/>
      <c r="BS42" s="4"/>
      <c r="BT42" s="4"/>
      <c r="BU42" s="4"/>
      <c r="BV42" s="4"/>
      <c r="BX42" s="4"/>
      <c r="BY42" s="4"/>
      <c r="BZ42" s="4"/>
      <c r="CA42" s="4"/>
      <c r="CB42" s="4"/>
      <c r="CC42" s="4"/>
      <c r="CD42" s="4">
        <f>(4.14+4.65+4.2+4.02+2.87)/5</f>
        <v>3.976</v>
      </c>
      <c r="CE42" s="4"/>
      <c r="CF42" s="4"/>
      <c r="CG42" s="4"/>
      <c r="CH42" s="4"/>
      <c r="CI42" s="4"/>
      <c r="CJ42" s="4"/>
      <c r="CK42" s="4"/>
      <c r="CL42" s="4"/>
      <c r="CM42" s="4"/>
      <c r="CN42" s="4"/>
      <c r="CP42" s="2" t="s">
        <v>402</v>
      </c>
      <c r="CQ42" s="2" t="s">
        <v>254</v>
      </c>
      <c r="CR42" s="10" t="s">
        <v>407</v>
      </c>
      <c r="CS42" s="9" t="s">
        <v>256</v>
      </c>
    </row>
    <row r="43" spans="1:97" s="2" customFormat="1" ht="12.75">
      <c r="A43" s="2">
        <v>40</v>
      </c>
      <c r="B43" s="2" t="s">
        <v>374</v>
      </c>
      <c r="C43" s="2" t="s">
        <v>408</v>
      </c>
      <c r="D43" s="4" t="s">
        <v>250</v>
      </c>
      <c r="E43" s="2" t="s">
        <v>409</v>
      </c>
      <c r="F43" s="2" t="s">
        <v>410</v>
      </c>
      <c r="G43" s="2">
        <v>2009</v>
      </c>
      <c r="H43" s="2">
        <v>2009</v>
      </c>
      <c r="I43" s="2">
        <v>0</v>
      </c>
      <c r="J43" s="2">
        <v>0</v>
      </c>
      <c r="K43" s="2">
        <v>0</v>
      </c>
      <c r="L43" s="2">
        <v>0</v>
      </c>
      <c r="M43" s="2">
        <v>0</v>
      </c>
      <c r="N43" s="2">
        <v>0</v>
      </c>
      <c r="O43" s="4">
        <v>16.258333333333336</v>
      </c>
      <c r="P43" s="4">
        <f>(O43-5)*12</f>
        <v>135.10000000000002</v>
      </c>
      <c r="Q43" s="4">
        <v>1831.5</v>
      </c>
      <c r="R43" s="4">
        <v>5</v>
      </c>
      <c r="S43" s="4">
        <f>(320+80)/2</f>
        <v>200</v>
      </c>
      <c r="T43" s="4">
        <v>75.833333333333329</v>
      </c>
      <c r="U43" s="4">
        <v>1872.5</v>
      </c>
      <c r="V43" s="4">
        <v>1.4333333333333333</v>
      </c>
      <c r="W43" s="4"/>
      <c r="X43" s="4"/>
      <c r="Y43" s="4"/>
      <c r="Z43" s="4"/>
      <c r="AA43" s="4"/>
      <c r="AB43" s="4"/>
      <c r="AC43" s="4"/>
      <c r="AD43" s="4"/>
      <c r="AE43" s="4"/>
      <c r="AF43" s="4"/>
      <c r="AG43" s="4"/>
      <c r="AH43" s="4"/>
      <c r="AI43" s="4"/>
      <c r="AJ43" s="4"/>
      <c r="AK43" s="4"/>
      <c r="AL43" s="4"/>
      <c r="AM43" s="4"/>
      <c r="AN43" s="4"/>
      <c r="AO43" s="4"/>
      <c r="AP43" s="4"/>
      <c r="AQ43" s="4"/>
      <c r="AR43" s="4"/>
      <c r="AS43" s="4"/>
      <c r="AT43" s="4"/>
      <c r="AV43" s="4"/>
      <c r="AW43" s="4">
        <f>(6130+5000)/2</f>
        <v>5565</v>
      </c>
      <c r="AX43" s="4">
        <f>(12.9+13.9)/2</f>
        <v>13.4</v>
      </c>
      <c r="AY43" s="4">
        <f>(17.9+18.1)/2</f>
        <v>18</v>
      </c>
      <c r="AZ43" s="4">
        <f>(83+76.8)/2</f>
        <v>79.900000000000006</v>
      </c>
      <c r="BA43" s="4"/>
      <c r="BB43" s="4"/>
      <c r="BC43" s="4"/>
      <c r="BD43" s="4"/>
      <c r="BE43" s="4"/>
      <c r="BF43" s="4"/>
      <c r="BG43" s="4"/>
      <c r="BH43" s="4"/>
      <c r="BI43" s="4"/>
      <c r="BJ43" s="4"/>
      <c r="BK43" s="4"/>
      <c r="BL43" s="4"/>
      <c r="BM43" s="4"/>
      <c r="BN43" s="4">
        <f>(17.01+18.71)/2*0.5</f>
        <v>8.93</v>
      </c>
      <c r="BO43" s="4">
        <f>(129.63+101.28)/2*0.5</f>
        <v>57.727499999999999</v>
      </c>
      <c r="BP43" s="4">
        <f>SUM(BM43:BO43)</f>
        <v>66.657499999999999</v>
      </c>
      <c r="BQ43" s="4"/>
      <c r="BR43" s="4"/>
      <c r="BS43" s="4"/>
      <c r="BT43" s="4"/>
      <c r="BU43" s="4"/>
      <c r="BV43" s="4"/>
      <c r="BW43" s="4"/>
      <c r="BX43" s="4"/>
      <c r="BY43" s="4"/>
      <c r="BZ43" s="4"/>
      <c r="CA43" s="4"/>
      <c r="CB43" s="4">
        <f>(1.22+2.73)/2*0.5</f>
        <v>0.98750000000000004</v>
      </c>
      <c r="CC43" s="4">
        <f>(7.04+12.44)/2*0.5</f>
        <v>4.87</v>
      </c>
      <c r="CD43" s="4"/>
      <c r="CE43" s="4"/>
      <c r="CF43" s="4">
        <f>SUM(CA43:CD43)</f>
        <v>5.8574999999999999</v>
      </c>
      <c r="CG43" s="4"/>
      <c r="CH43" s="4"/>
      <c r="CI43" s="4"/>
      <c r="CJ43" s="4"/>
      <c r="CK43" s="4"/>
      <c r="CL43" s="4"/>
      <c r="CM43" s="4"/>
      <c r="CN43" s="4"/>
      <c r="CO43" s="4"/>
      <c r="CP43" s="2" t="s">
        <v>411</v>
      </c>
      <c r="CQ43" s="2" t="s">
        <v>254</v>
      </c>
      <c r="CR43" s="10" t="s">
        <v>412</v>
      </c>
      <c r="CS43" s="9" t="s">
        <v>256</v>
      </c>
    </row>
    <row r="44" spans="1:97" s="2" customFormat="1" ht="12.75">
      <c r="A44" s="2">
        <v>41</v>
      </c>
      <c r="B44" s="2" t="s">
        <v>374</v>
      </c>
      <c r="C44" s="2" t="s">
        <v>413</v>
      </c>
      <c r="D44" s="4" t="s">
        <v>250</v>
      </c>
      <c r="E44" s="2" t="s">
        <v>414</v>
      </c>
      <c r="F44" s="2" t="s">
        <v>415</v>
      </c>
      <c r="G44" s="2">
        <v>2009</v>
      </c>
      <c r="H44" s="2">
        <v>2009</v>
      </c>
      <c r="I44" s="2">
        <v>0</v>
      </c>
      <c r="J44" s="2">
        <v>0</v>
      </c>
      <c r="K44" s="2">
        <v>0</v>
      </c>
      <c r="L44" s="2">
        <v>0</v>
      </c>
      <c r="M44" s="2">
        <v>0</v>
      </c>
      <c r="N44" s="2">
        <v>0</v>
      </c>
      <c r="O44" s="4">
        <v>18.108333333333331</v>
      </c>
      <c r="P44" s="4">
        <f>(O44-5)*12</f>
        <v>157.29999999999995</v>
      </c>
      <c r="Q44" s="4">
        <v>1818.5</v>
      </c>
      <c r="R44" s="4">
        <v>5</v>
      </c>
      <c r="S44" s="4">
        <v>130</v>
      </c>
      <c r="T44" s="4">
        <v>75.833333333333329</v>
      </c>
      <c r="U44" s="4">
        <v>1781.2</v>
      </c>
      <c r="V44" s="4">
        <v>1.9750000000000003</v>
      </c>
      <c r="W44" s="4"/>
      <c r="X44" s="4"/>
      <c r="Y44" s="4"/>
      <c r="Z44" s="4"/>
      <c r="AA44" s="4"/>
      <c r="AB44" s="4"/>
      <c r="AC44" s="4"/>
      <c r="AD44" s="4"/>
      <c r="AE44" s="4"/>
      <c r="AF44" s="4"/>
      <c r="AG44" s="4"/>
      <c r="AH44" s="4"/>
      <c r="AI44" s="4"/>
      <c r="AJ44" s="4"/>
      <c r="AK44" s="4"/>
      <c r="AL44" s="4"/>
      <c r="AM44" s="4"/>
      <c r="AN44" s="4"/>
      <c r="AO44" s="4"/>
      <c r="AP44" s="4"/>
      <c r="AQ44" s="4"/>
      <c r="AR44" s="4"/>
      <c r="AS44" s="4"/>
      <c r="AT44" s="4"/>
      <c r="AV44" s="4"/>
      <c r="AW44" s="4">
        <f>5230</f>
        <v>5230</v>
      </c>
      <c r="AX44" s="4">
        <v>10.4</v>
      </c>
      <c r="AY44" s="4">
        <v>13.5</v>
      </c>
      <c r="AZ44" s="4">
        <v>45.7</v>
      </c>
      <c r="BA44" s="4"/>
      <c r="BB44" s="4"/>
      <c r="BC44" s="4"/>
      <c r="BD44" s="4"/>
      <c r="BE44" s="4"/>
      <c r="BF44" s="4"/>
      <c r="BG44" s="4"/>
      <c r="BH44" s="4"/>
      <c r="BI44" s="4"/>
      <c r="BJ44" s="4"/>
      <c r="BK44" s="4"/>
      <c r="BL44" s="4"/>
      <c r="BM44" s="4"/>
      <c r="BN44" s="4">
        <f>12.29*0.5</f>
        <v>6.1449999999999996</v>
      </c>
      <c r="BO44" s="4">
        <f>70.53*0.5</f>
        <v>35.265000000000001</v>
      </c>
      <c r="BP44" s="4">
        <f>SUM(BM44:BO44)</f>
        <v>41.41</v>
      </c>
      <c r="BQ44" s="4"/>
      <c r="BR44" s="4"/>
      <c r="BS44" s="4"/>
      <c r="BT44" s="4"/>
      <c r="BU44" s="4"/>
      <c r="BV44" s="4"/>
      <c r="BW44" s="4"/>
      <c r="BX44" s="4"/>
      <c r="BY44" s="4"/>
      <c r="BZ44" s="4"/>
      <c r="CA44" s="4"/>
      <c r="CB44" s="4">
        <f>2.49*0.5</f>
        <v>1.2450000000000001</v>
      </c>
      <c r="CC44" s="4">
        <f>9.65*0.5</f>
        <v>4.8250000000000002</v>
      </c>
      <c r="CD44" s="4"/>
      <c r="CE44" s="4"/>
      <c r="CF44" s="4">
        <f>SUM(CA44:CD44)</f>
        <v>6.07</v>
      </c>
      <c r="CG44" s="4"/>
      <c r="CH44" s="4"/>
      <c r="CI44" s="4"/>
      <c r="CJ44" s="4"/>
      <c r="CK44" s="4"/>
      <c r="CL44" s="4"/>
      <c r="CM44" s="4"/>
      <c r="CN44" s="4"/>
      <c r="CO44" s="4"/>
      <c r="CP44" s="2" t="s">
        <v>411</v>
      </c>
      <c r="CQ44" s="2" t="s">
        <v>254</v>
      </c>
      <c r="CR44" s="10" t="s">
        <v>412</v>
      </c>
      <c r="CS44" s="9" t="s">
        <v>256</v>
      </c>
    </row>
    <row r="45" spans="1:97" s="2" customFormat="1" ht="12.75">
      <c r="A45" s="2">
        <v>42</v>
      </c>
      <c r="B45" s="2" t="s">
        <v>374</v>
      </c>
      <c r="C45" s="2" t="s">
        <v>413</v>
      </c>
      <c r="D45" s="4" t="s">
        <v>250</v>
      </c>
      <c r="E45" s="2" t="s">
        <v>416</v>
      </c>
      <c r="F45" s="2" t="s">
        <v>417</v>
      </c>
      <c r="G45" s="2">
        <v>2009</v>
      </c>
      <c r="H45" s="2">
        <v>2009</v>
      </c>
      <c r="I45" s="2">
        <v>0</v>
      </c>
      <c r="J45" s="2">
        <v>0</v>
      </c>
      <c r="K45" s="2">
        <v>0</v>
      </c>
      <c r="L45" s="2">
        <v>0</v>
      </c>
      <c r="M45" s="2">
        <v>0</v>
      </c>
      <c r="N45" s="2">
        <v>0</v>
      </c>
      <c r="O45" s="4">
        <v>17.633333333333333</v>
      </c>
      <c r="P45" s="4">
        <f>(O45-5)*12</f>
        <v>151.6</v>
      </c>
      <c r="Q45" s="4">
        <v>2057.3000000000002</v>
      </c>
      <c r="R45" s="4">
        <v>5</v>
      </c>
      <c r="S45" s="4">
        <f>(125+125+125)/3</f>
        <v>125</v>
      </c>
      <c r="T45" s="4">
        <v>75.833333333333329</v>
      </c>
      <c r="U45" s="4">
        <v>1974.0000000000002</v>
      </c>
      <c r="V45" s="4">
        <v>3.2250000000000001</v>
      </c>
      <c r="W45" s="4"/>
      <c r="X45" s="4"/>
      <c r="Y45" s="4"/>
      <c r="Z45" s="4"/>
      <c r="AA45" s="4"/>
      <c r="AB45" s="4"/>
      <c r="AC45" s="4"/>
      <c r="AD45" s="4"/>
      <c r="AE45" s="4"/>
      <c r="AF45" s="4"/>
      <c r="AG45" s="4"/>
      <c r="AH45" s="4"/>
      <c r="AI45" s="4"/>
      <c r="AJ45" s="4"/>
      <c r="AK45" s="4"/>
      <c r="AL45" s="4"/>
      <c r="AM45" s="4"/>
      <c r="AN45" s="4"/>
      <c r="AO45" s="4"/>
      <c r="AP45" s="4"/>
      <c r="AQ45" s="4"/>
      <c r="AR45" s="4"/>
      <c r="AS45" s="4"/>
      <c r="AT45" s="4"/>
      <c r="AV45" s="4"/>
      <c r="AW45" s="4">
        <f>(5550+5200+5130)/3</f>
        <v>5293.333333333333</v>
      </c>
      <c r="AX45" s="4">
        <f>(12.5+12.8+11.7)/3</f>
        <v>12.333333333333334</v>
      </c>
      <c r="AY45" s="4">
        <f>(17+17.5+16.3)/3</f>
        <v>16.933333333333334</v>
      </c>
      <c r="AZ45" s="4">
        <f>(69.5+67.4+59.1)/3</f>
        <v>65.333333333333329</v>
      </c>
      <c r="BA45" s="4"/>
      <c r="BB45" s="4"/>
      <c r="BC45" s="4"/>
      <c r="BD45" s="4"/>
      <c r="BE45" s="4"/>
      <c r="BF45" s="4"/>
      <c r="BG45" s="4"/>
      <c r="BH45" s="4"/>
      <c r="BI45" s="4"/>
      <c r="BJ45" s="4"/>
      <c r="BK45" s="4"/>
      <c r="BL45" s="4"/>
      <c r="BM45" s="4"/>
      <c r="BN45" s="4">
        <f>(13.09+16.52+15.96)/3*0.5</f>
        <v>7.5949999999999998</v>
      </c>
      <c r="BO45" s="4">
        <f>(108.8+104.54+72.27)/3*0.5</f>
        <v>47.601666666666667</v>
      </c>
      <c r="BP45" s="4">
        <f>SUM(BM45:BO45)</f>
        <v>55.196666666666665</v>
      </c>
      <c r="BQ45" s="4"/>
      <c r="BR45" s="4"/>
      <c r="BS45" s="4"/>
      <c r="BT45" s="4"/>
      <c r="BU45" s="4"/>
      <c r="BV45" s="4"/>
      <c r="BW45" s="4"/>
      <c r="BX45" s="4"/>
      <c r="BY45" s="4"/>
      <c r="BZ45" s="4"/>
      <c r="CA45" s="4"/>
      <c r="CB45" s="4">
        <f>(0.39+0.07+0.22)/3*0.5</f>
        <v>0.11333333333333334</v>
      </c>
      <c r="CC45" s="4">
        <f>(1.67+0.22+0.71)/3*0.5</f>
        <v>0.43333333333333329</v>
      </c>
      <c r="CD45" s="4"/>
      <c r="CE45" s="4"/>
      <c r="CF45" s="4">
        <f>SUM(CA45:CD45)</f>
        <v>0.54666666666666663</v>
      </c>
      <c r="CG45" s="4"/>
      <c r="CH45" s="4"/>
      <c r="CI45" s="4"/>
      <c r="CJ45" s="4"/>
      <c r="CK45" s="4"/>
      <c r="CL45" s="4"/>
      <c r="CM45" s="4"/>
      <c r="CN45" s="4"/>
      <c r="CO45" s="4"/>
      <c r="CP45" s="2" t="s">
        <v>411</v>
      </c>
      <c r="CQ45" s="2" t="s">
        <v>254</v>
      </c>
      <c r="CR45" s="10" t="s">
        <v>412</v>
      </c>
      <c r="CS45" s="9" t="s">
        <v>256</v>
      </c>
    </row>
    <row r="46" spans="1:97" s="2" customFormat="1" ht="12.75">
      <c r="A46" s="2">
        <v>43</v>
      </c>
      <c r="B46" s="2" t="s">
        <v>374</v>
      </c>
      <c r="C46" s="2" t="s">
        <v>418</v>
      </c>
      <c r="D46" s="4" t="s">
        <v>250</v>
      </c>
      <c r="E46" s="2" t="s">
        <v>419</v>
      </c>
      <c r="F46" s="2" t="s">
        <v>420</v>
      </c>
      <c r="G46" s="2">
        <v>2013</v>
      </c>
      <c r="H46" s="2">
        <v>2016</v>
      </c>
      <c r="I46" s="2">
        <v>1</v>
      </c>
      <c r="J46" s="2">
        <v>0</v>
      </c>
      <c r="K46" s="2">
        <v>0</v>
      </c>
      <c r="L46" s="2">
        <v>1</v>
      </c>
      <c r="M46" s="2">
        <v>0</v>
      </c>
      <c r="N46" s="2">
        <v>0</v>
      </c>
      <c r="O46" s="4">
        <v>15.9</v>
      </c>
      <c r="P46" s="4">
        <f>(O46-5)*12</f>
        <v>130.80000000000001</v>
      </c>
      <c r="Q46" s="4">
        <v>1833</v>
      </c>
      <c r="R46" s="4">
        <v>2.25</v>
      </c>
      <c r="S46" s="4">
        <v>84</v>
      </c>
      <c r="T46" s="4">
        <v>70.104166666666671</v>
      </c>
      <c r="U46" s="4">
        <v>2523.9333333333334</v>
      </c>
      <c r="V46" s="4">
        <v>2.8458333333333337</v>
      </c>
      <c r="W46" s="4"/>
      <c r="X46" s="4"/>
      <c r="Y46" s="4"/>
      <c r="Z46" s="4"/>
      <c r="AA46" s="4"/>
      <c r="AB46" s="4"/>
      <c r="AC46" s="4"/>
      <c r="AD46" s="4"/>
      <c r="AE46" s="4"/>
      <c r="AF46" s="4"/>
      <c r="AG46" s="4"/>
      <c r="AH46" s="4"/>
      <c r="AI46" s="4"/>
      <c r="AJ46" s="4"/>
      <c r="AK46" s="4"/>
      <c r="AL46" s="4"/>
      <c r="AM46" s="4"/>
      <c r="AN46" s="4"/>
      <c r="AO46" s="4"/>
      <c r="AP46" s="4"/>
      <c r="AQ46" s="4"/>
      <c r="AR46" s="4"/>
      <c r="AS46" s="4"/>
      <c r="AT46" s="4"/>
      <c r="AV46" s="4"/>
      <c r="AW46" s="4">
        <f>(10500+9900)/2</f>
        <v>10200</v>
      </c>
      <c r="AX46" s="4">
        <f>(9.3+9.3)/2</f>
        <v>9.3000000000000007</v>
      </c>
      <c r="AY46" s="4"/>
      <c r="AZ46" s="4">
        <f>(72.6+76.4)/2</f>
        <v>74.5</v>
      </c>
      <c r="BA46" s="4"/>
      <c r="BB46" s="4"/>
      <c r="BC46" s="4"/>
      <c r="BD46" s="4"/>
      <c r="BE46" s="4"/>
      <c r="BF46" s="4"/>
      <c r="BG46" s="4"/>
      <c r="BH46" s="4"/>
      <c r="BI46" s="4"/>
      <c r="BJ46" s="4"/>
      <c r="BK46" s="4"/>
      <c r="BL46" s="4"/>
      <c r="BM46" s="4"/>
      <c r="BN46" s="4"/>
      <c r="BO46" s="4"/>
      <c r="BP46" s="4">
        <f>(181+190.3)/2*0.5</f>
        <v>92.825000000000003</v>
      </c>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2" t="s">
        <v>421</v>
      </c>
      <c r="CQ46" s="2" t="s">
        <v>254</v>
      </c>
      <c r="CR46" s="10" t="s">
        <v>422</v>
      </c>
      <c r="CS46" s="9" t="s">
        <v>256</v>
      </c>
    </row>
    <row r="47" spans="1:97" s="2" customFormat="1" ht="12.75">
      <c r="A47" s="2">
        <v>44</v>
      </c>
      <c r="B47" s="2" t="s">
        <v>374</v>
      </c>
      <c r="C47" s="2" t="s">
        <v>423</v>
      </c>
      <c r="D47" s="4" t="s">
        <v>250</v>
      </c>
      <c r="E47" s="2" t="s">
        <v>424</v>
      </c>
      <c r="F47" s="2" t="s">
        <v>425</v>
      </c>
      <c r="G47" s="2">
        <v>2013</v>
      </c>
      <c r="H47" s="2">
        <v>2016</v>
      </c>
      <c r="I47" s="2">
        <v>0</v>
      </c>
      <c r="J47" s="2">
        <v>0</v>
      </c>
      <c r="K47" s="2">
        <v>0</v>
      </c>
      <c r="L47" s="2">
        <v>0</v>
      </c>
      <c r="M47" s="2">
        <v>0</v>
      </c>
      <c r="N47" s="2">
        <v>0</v>
      </c>
      <c r="O47" s="4">
        <v>15.9</v>
      </c>
      <c r="P47" s="4">
        <f>(O47-5)*12</f>
        <v>130.80000000000001</v>
      </c>
      <c r="Q47" s="4">
        <v>1833</v>
      </c>
      <c r="R47" s="4">
        <v>2.25</v>
      </c>
      <c r="S47" s="4">
        <v>84</v>
      </c>
      <c r="T47" s="4">
        <v>70.104166666666671</v>
      </c>
      <c r="U47" s="4">
        <v>2523.9333333333334</v>
      </c>
      <c r="V47" s="4">
        <v>2.8458333333333337</v>
      </c>
      <c r="W47" s="4"/>
      <c r="X47" s="4"/>
      <c r="Y47" s="4"/>
      <c r="Z47" s="4"/>
      <c r="AA47" s="4"/>
      <c r="AB47" s="4"/>
      <c r="AC47" s="4"/>
      <c r="AD47" s="4"/>
      <c r="AE47" s="4"/>
      <c r="AF47" s="4"/>
      <c r="AG47" s="4"/>
      <c r="AH47" s="4"/>
      <c r="AI47" s="4"/>
      <c r="AJ47" s="4"/>
      <c r="AK47" s="4"/>
      <c r="AL47" s="4"/>
      <c r="AM47" s="4"/>
      <c r="AN47" s="4"/>
      <c r="AO47" s="4"/>
      <c r="AP47" s="4"/>
      <c r="AQ47" s="4"/>
      <c r="AR47" s="4"/>
      <c r="AS47" s="4"/>
      <c r="AT47" s="4"/>
      <c r="AV47" s="4"/>
      <c r="AW47" s="4">
        <f>(8000+8500)/2</f>
        <v>8250</v>
      </c>
      <c r="AX47" s="4">
        <f>(11.1+11.6)/2</f>
        <v>11.35</v>
      </c>
      <c r="AY47" s="4"/>
      <c r="AZ47" s="4">
        <f>(86.5+85.9)/2</f>
        <v>86.2</v>
      </c>
      <c r="BA47" s="4"/>
      <c r="BB47" s="4"/>
      <c r="BC47" s="4"/>
      <c r="BD47" s="4"/>
      <c r="BE47" s="4"/>
      <c r="BF47" s="4"/>
      <c r="BG47" s="4"/>
      <c r="BH47" s="4"/>
      <c r="BI47" s="4"/>
      <c r="BJ47" s="4"/>
      <c r="BK47" s="4"/>
      <c r="BL47" s="4"/>
      <c r="BM47" s="4"/>
      <c r="BN47" s="4"/>
      <c r="BO47" s="4"/>
      <c r="BP47" s="4">
        <f>(222.6+220.1)/2*0.5</f>
        <v>110.675</v>
      </c>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2" t="s">
        <v>421</v>
      </c>
      <c r="CQ47" s="2" t="s">
        <v>254</v>
      </c>
      <c r="CR47" s="10" t="s">
        <v>426</v>
      </c>
      <c r="CS47" s="9" t="s">
        <v>256</v>
      </c>
    </row>
    <row r="48" spans="1:97" s="2" customFormat="1" ht="12.75">
      <c r="A48" s="2">
        <v>45</v>
      </c>
      <c r="B48" s="2" t="s">
        <v>374</v>
      </c>
      <c r="C48" s="2" t="s">
        <v>427</v>
      </c>
      <c r="D48" s="4" t="s">
        <v>365</v>
      </c>
      <c r="E48" s="2" t="s">
        <v>428</v>
      </c>
      <c r="F48" s="2" t="s">
        <v>429</v>
      </c>
      <c r="G48" s="2">
        <v>1983</v>
      </c>
      <c r="H48" s="2">
        <v>1987</v>
      </c>
      <c r="I48" s="2">
        <v>1</v>
      </c>
      <c r="J48" s="2">
        <v>0</v>
      </c>
      <c r="K48" s="2">
        <v>0</v>
      </c>
      <c r="L48" s="2">
        <v>0</v>
      </c>
      <c r="M48" s="2">
        <v>1</v>
      </c>
      <c r="N48" s="2">
        <v>0</v>
      </c>
      <c r="O48" s="4">
        <v>15.375</v>
      </c>
      <c r="P48" s="4">
        <v>127.08</v>
      </c>
      <c r="Q48" s="4">
        <v>1487.6</v>
      </c>
      <c r="R48" s="4">
        <v>27.2</v>
      </c>
      <c r="S48" s="4">
        <v>65</v>
      </c>
      <c r="T48" s="4">
        <v>65.75</v>
      </c>
      <c r="U48" s="4">
        <v>1989.38</v>
      </c>
      <c r="V48" s="4">
        <v>1.691667</v>
      </c>
      <c r="W48" s="4"/>
      <c r="X48" s="4"/>
      <c r="Y48" s="4"/>
      <c r="Z48" s="4"/>
      <c r="AA48" s="4"/>
      <c r="AB48" s="4"/>
      <c r="AC48" s="4"/>
      <c r="AD48" s="4"/>
      <c r="AE48" s="4"/>
      <c r="AF48" s="4"/>
      <c r="AG48" s="4"/>
      <c r="AH48" s="4"/>
      <c r="AI48" s="4"/>
      <c r="AJ48" s="4"/>
      <c r="AK48" s="4"/>
      <c r="AL48" s="4"/>
      <c r="AM48" s="4"/>
      <c r="AN48" s="4"/>
      <c r="AO48" s="4"/>
      <c r="AP48" s="4"/>
      <c r="AQ48" s="4"/>
      <c r="AR48" s="4"/>
      <c r="AS48" s="4"/>
      <c r="AT48" s="4"/>
      <c r="AV48" s="4"/>
      <c r="AW48" s="4">
        <v>3000</v>
      </c>
      <c r="AX48" s="4"/>
      <c r="AY48" s="4"/>
      <c r="AZ48" s="4"/>
      <c r="BA48" s="4"/>
      <c r="BB48" s="4"/>
      <c r="BC48" s="4"/>
      <c r="BD48" s="4"/>
      <c r="BE48" s="4"/>
      <c r="BF48" s="4"/>
      <c r="BG48" s="4"/>
      <c r="BH48" s="4"/>
      <c r="BI48" s="4"/>
      <c r="BJ48" s="4"/>
      <c r="BK48" s="4"/>
      <c r="BL48" s="4"/>
      <c r="BM48" s="4">
        <f>22.8*50%</f>
        <v>11.4</v>
      </c>
      <c r="BN48" s="4">
        <f>15.5*50%</f>
        <v>7.75</v>
      </c>
      <c r="BO48" s="4">
        <f>30.2*50%</f>
        <v>15.1</v>
      </c>
      <c r="BP48" s="4">
        <f>80.3*50%</f>
        <v>40.15</v>
      </c>
      <c r="BQ48" s="4"/>
      <c r="BR48" s="4"/>
      <c r="BS48" s="4"/>
      <c r="BT48" s="4"/>
      <c r="BU48" s="4"/>
      <c r="BV48" s="4"/>
      <c r="BW48" s="4"/>
      <c r="BX48" s="4"/>
      <c r="BY48" s="4"/>
      <c r="BZ48" s="4"/>
      <c r="CA48" s="4">
        <f>22.8/5*50%</f>
        <v>2.2800000000000002</v>
      </c>
      <c r="CB48" s="4">
        <f>15.5/5*50%</f>
        <v>1.55</v>
      </c>
      <c r="CC48" s="4">
        <f>30.2/5*50%</f>
        <v>3.02</v>
      </c>
      <c r="CD48" s="4">
        <f>(589.9+652.3)/2*100*100/1000/1000*50%</f>
        <v>3.1054999999999997</v>
      </c>
      <c r="CE48" s="4"/>
      <c r="CF48" s="4">
        <f>80.3/5*50%</f>
        <v>8.0299999999999994</v>
      </c>
      <c r="CG48" s="4"/>
      <c r="CH48" s="4"/>
      <c r="CI48" s="4"/>
      <c r="CJ48" s="4"/>
      <c r="CK48" s="4"/>
      <c r="CL48" s="4"/>
      <c r="CM48" s="4"/>
      <c r="CN48" s="4"/>
      <c r="CO48" s="4"/>
      <c r="CP48" s="2" t="s">
        <v>430</v>
      </c>
      <c r="CQ48" s="2" t="s">
        <v>254</v>
      </c>
      <c r="CR48" s="10" t="s">
        <v>431</v>
      </c>
      <c r="CS48" s="9" t="s">
        <v>256</v>
      </c>
    </row>
    <row r="49" spans="1:97" s="2" customFormat="1" ht="12.75">
      <c r="A49" s="2">
        <v>46</v>
      </c>
      <c r="B49" s="2" t="s">
        <v>374</v>
      </c>
      <c r="C49" s="2" t="s">
        <v>427</v>
      </c>
      <c r="D49" s="4" t="s">
        <v>365</v>
      </c>
      <c r="E49" s="2" t="s">
        <v>432</v>
      </c>
      <c r="F49" s="2" t="s">
        <v>433</v>
      </c>
      <c r="G49" s="2">
        <v>1984</v>
      </c>
      <c r="H49" s="2">
        <v>1985</v>
      </c>
      <c r="I49" s="2">
        <v>0</v>
      </c>
      <c r="J49" s="2">
        <v>0</v>
      </c>
      <c r="K49" s="2">
        <v>0</v>
      </c>
      <c r="L49" s="2">
        <v>0</v>
      </c>
      <c r="M49" s="2">
        <v>0</v>
      </c>
      <c r="N49" s="2">
        <v>0</v>
      </c>
      <c r="O49" s="4">
        <v>15.304169999999999</v>
      </c>
      <c r="P49" s="4">
        <v>127.35</v>
      </c>
      <c r="Q49" s="4">
        <v>1380.5</v>
      </c>
      <c r="R49" s="4">
        <v>42.5</v>
      </c>
      <c r="S49" s="4">
        <v>65</v>
      </c>
      <c r="T49" s="4">
        <v>66.166669999999996</v>
      </c>
      <c r="U49" s="4">
        <v>1959.95</v>
      </c>
      <c r="V49" s="4">
        <v>1.745833</v>
      </c>
      <c r="W49" s="4"/>
      <c r="X49" s="4"/>
      <c r="Y49" s="4"/>
      <c r="Z49" s="4"/>
      <c r="AA49" s="4"/>
      <c r="AB49" s="4"/>
      <c r="AC49" s="4"/>
      <c r="AD49" s="4"/>
      <c r="AE49" s="4"/>
      <c r="AF49" s="4"/>
      <c r="AG49" s="4"/>
      <c r="AH49" s="4"/>
      <c r="AI49" s="4"/>
      <c r="AJ49" s="4"/>
      <c r="AK49" s="4"/>
      <c r="AL49" s="4"/>
      <c r="AM49" s="4"/>
      <c r="AN49" s="4"/>
      <c r="AO49" s="4"/>
      <c r="AP49" s="4"/>
      <c r="AQ49" s="4"/>
      <c r="AR49" s="4"/>
      <c r="AS49" s="4"/>
      <c r="AT49" s="4"/>
      <c r="AV49" s="4"/>
      <c r="AW49" s="4">
        <f>(8536+8617+4803)/3</f>
        <v>7318.666666666667</v>
      </c>
      <c r="AX49" s="4">
        <f>(8.3+12.9+10)/3</f>
        <v>10.4</v>
      </c>
      <c r="AY49" s="4"/>
      <c r="AZ49" s="4">
        <f>(31.9+108+42.1)/3</f>
        <v>60.666666666666664</v>
      </c>
      <c r="BA49" s="4"/>
      <c r="BB49" s="4"/>
      <c r="BC49" s="4"/>
      <c r="BD49" s="4"/>
      <c r="BE49" s="4"/>
      <c r="BF49" s="4"/>
      <c r="BG49" s="4"/>
      <c r="BH49" s="4"/>
      <c r="BI49" s="4"/>
      <c r="BJ49" s="4"/>
      <c r="BK49" s="4"/>
      <c r="BL49" s="4"/>
      <c r="BM49" s="4"/>
      <c r="BN49" s="4"/>
      <c r="BO49" s="4">
        <f>(80.1+218+67.1)/3*50%</f>
        <v>60.866666666666674</v>
      </c>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2" t="s">
        <v>434</v>
      </c>
      <c r="CQ49" s="2" t="s">
        <v>254</v>
      </c>
      <c r="CR49" s="10" t="s">
        <v>435</v>
      </c>
      <c r="CS49" s="9" t="s">
        <v>256</v>
      </c>
    </row>
    <row r="50" spans="1:97" s="2" customFormat="1" ht="12.75">
      <c r="A50" s="2">
        <v>47</v>
      </c>
      <c r="B50" s="2" t="s">
        <v>374</v>
      </c>
      <c r="C50" s="2" t="s">
        <v>427</v>
      </c>
      <c r="D50" s="4" t="s">
        <v>365</v>
      </c>
      <c r="E50" s="2" t="s">
        <v>436</v>
      </c>
      <c r="F50" s="2" t="s">
        <v>437</v>
      </c>
      <c r="G50" s="2">
        <v>2009</v>
      </c>
      <c r="H50" s="2">
        <v>2009</v>
      </c>
      <c r="I50" s="2">
        <v>0</v>
      </c>
      <c r="J50" s="2">
        <v>0</v>
      </c>
      <c r="K50" s="2">
        <v>0</v>
      </c>
      <c r="L50" s="2">
        <v>0</v>
      </c>
      <c r="M50" s="2">
        <v>0</v>
      </c>
      <c r="N50" s="2">
        <v>0</v>
      </c>
      <c r="O50" s="4">
        <v>16.100000000000001</v>
      </c>
      <c r="P50" s="4">
        <v>133.19999999999999</v>
      </c>
      <c r="Q50" s="4">
        <v>1457.5</v>
      </c>
      <c r="R50" s="4">
        <v>2</v>
      </c>
      <c r="S50" s="4">
        <v>132</v>
      </c>
      <c r="T50" s="4">
        <v>62</v>
      </c>
      <c r="U50" s="4">
        <v>1775</v>
      </c>
      <c r="V50" s="4">
        <v>2.0583330000000002</v>
      </c>
      <c r="W50" s="4"/>
      <c r="X50" s="4"/>
      <c r="Y50" s="4"/>
      <c r="Z50" s="4"/>
      <c r="AA50" s="4"/>
      <c r="AB50" s="4"/>
      <c r="AC50" s="4"/>
      <c r="AD50" s="4"/>
      <c r="AE50" s="4"/>
      <c r="AF50" s="4"/>
      <c r="AG50" s="4"/>
      <c r="AH50" s="4"/>
      <c r="AI50" s="4"/>
      <c r="AJ50" s="4"/>
      <c r="AK50" s="4"/>
      <c r="AL50" s="4"/>
      <c r="AM50" s="4"/>
      <c r="AN50" s="4"/>
      <c r="AO50" s="4"/>
      <c r="AP50" s="4"/>
      <c r="AQ50" s="4"/>
      <c r="AR50" s="4"/>
      <c r="AS50" s="4"/>
      <c r="AT50" s="4"/>
      <c r="AV50" s="4"/>
      <c r="AW50" s="4">
        <v>5400</v>
      </c>
      <c r="AX50" s="4">
        <v>8</v>
      </c>
      <c r="AY50" s="4">
        <v>12.1</v>
      </c>
      <c r="AZ50" s="4">
        <f>(AX50/2)^2*PI()*AW50/10000</f>
        <v>27.143360527015815</v>
      </c>
      <c r="BA50" s="4"/>
      <c r="BB50" s="4"/>
      <c r="BC50" s="4"/>
      <c r="BD50" s="4"/>
      <c r="BE50" s="4"/>
      <c r="BF50" s="4"/>
      <c r="BG50" s="4"/>
      <c r="BH50" s="4"/>
      <c r="BI50" s="4"/>
      <c r="BJ50" s="4"/>
      <c r="BK50" s="4"/>
      <c r="BL50" s="4"/>
      <c r="BM50" s="4"/>
      <c r="BN50" s="4">
        <f>2.6*5400/1000</f>
        <v>14.04</v>
      </c>
      <c r="BO50" s="4">
        <f>8.9*5400/1000</f>
        <v>48.06</v>
      </c>
      <c r="BP50" s="4">
        <f>11.6*5400/1000</f>
        <v>62.64</v>
      </c>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2" t="s">
        <v>438</v>
      </c>
      <c r="CQ50" s="2" t="s">
        <v>254</v>
      </c>
      <c r="CR50" s="10" t="s">
        <v>439</v>
      </c>
      <c r="CS50" s="9" t="s">
        <v>256</v>
      </c>
    </row>
    <row r="51" spans="1:97" s="2" customFormat="1" ht="12.75">
      <c r="A51" s="2">
        <v>48</v>
      </c>
      <c r="B51" s="2" t="s">
        <v>374</v>
      </c>
      <c r="C51" s="2" t="s">
        <v>427</v>
      </c>
      <c r="D51" s="4" t="s">
        <v>365</v>
      </c>
      <c r="E51" s="2" t="s">
        <v>440</v>
      </c>
      <c r="F51" s="2" t="s">
        <v>441</v>
      </c>
      <c r="G51" s="2">
        <v>2019</v>
      </c>
      <c r="H51" s="2">
        <v>2019</v>
      </c>
      <c r="I51" s="2">
        <v>1</v>
      </c>
      <c r="J51" s="2">
        <v>0</v>
      </c>
      <c r="K51" s="2">
        <v>1</v>
      </c>
      <c r="L51" s="2">
        <v>1</v>
      </c>
      <c r="M51" s="2">
        <v>0</v>
      </c>
      <c r="N51" s="2">
        <v>0</v>
      </c>
      <c r="O51" s="4">
        <v>16.91</v>
      </c>
      <c r="P51" s="4">
        <v>142.9</v>
      </c>
      <c r="Q51" s="4">
        <v>1407.5</v>
      </c>
      <c r="R51" s="4">
        <v>7</v>
      </c>
      <c r="S51" s="4">
        <v>65</v>
      </c>
      <c r="T51" s="4">
        <v>66.75</v>
      </c>
      <c r="U51" s="4">
        <v>1817.3</v>
      </c>
      <c r="V51" s="4">
        <v>2.1</v>
      </c>
      <c r="W51" s="4"/>
      <c r="X51" s="4"/>
      <c r="Y51" s="4"/>
      <c r="Z51" s="4"/>
      <c r="AA51" s="4"/>
      <c r="AB51" s="4"/>
      <c r="AC51" s="4"/>
      <c r="AD51" s="4"/>
      <c r="AE51" s="4"/>
      <c r="AF51" s="4"/>
      <c r="AG51" s="4"/>
      <c r="AH51" s="4"/>
      <c r="AI51" s="4"/>
      <c r="AJ51" s="4"/>
      <c r="AK51" s="4"/>
      <c r="AL51" s="4"/>
      <c r="AM51" s="4"/>
      <c r="AN51" s="4"/>
      <c r="AO51" s="4"/>
      <c r="AP51" s="4"/>
      <c r="AQ51" s="4"/>
      <c r="AR51" s="4"/>
      <c r="AS51" s="4"/>
      <c r="AT51" s="4"/>
      <c r="AV51" s="4"/>
      <c r="AW51" s="4">
        <v>9184</v>
      </c>
      <c r="AX51" s="4">
        <v>9.6999999999999993</v>
      </c>
      <c r="AY51" s="4"/>
      <c r="AZ51" s="4">
        <v>69.7</v>
      </c>
      <c r="BA51" s="4"/>
      <c r="BB51" s="4"/>
      <c r="BC51" s="4"/>
      <c r="BD51" s="4"/>
      <c r="BE51" s="4"/>
      <c r="BF51" s="4"/>
      <c r="BG51" s="4"/>
      <c r="BH51" s="4"/>
      <c r="BI51" s="4"/>
      <c r="BJ51" s="4"/>
      <c r="BK51" s="4"/>
      <c r="BL51" s="4"/>
      <c r="BM51" s="4">
        <v>1.7</v>
      </c>
      <c r="BN51" s="4">
        <v>5.8</v>
      </c>
      <c r="BO51" s="4">
        <v>60.9</v>
      </c>
      <c r="BP51" s="4">
        <v>68.400000000000006</v>
      </c>
      <c r="BQ51" s="4">
        <v>0.36</v>
      </c>
      <c r="BR51" s="4">
        <v>5.0999999999999996</v>
      </c>
      <c r="BS51" s="4">
        <v>12.8</v>
      </c>
      <c r="BT51" s="4">
        <v>6.7</v>
      </c>
      <c r="BU51" s="4">
        <v>24.6</v>
      </c>
      <c r="BV51" s="4">
        <v>93</v>
      </c>
      <c r="BW51" s="4"/>
      <c r="BX51" s="4"/>
      <c r="BY51" s="4"/>
      <c r="BZ51" s="4"/>
      <c r="CA51" s="4"/>
      <c r="CB51" s="4"/>
      <c r="CC51" s="4"/>
      <c r="CD51" s="4"/>
      <c r="CE51" s="4"/>
      <c r="CF51" s="4"/>
      <c r="CG51" s="4"/>
      <c r="CH51" s="4"/>
      <c r="CI51" s="4"/>
      <c r="CJ51" s="4"/>
      <c r="CK51" s="4"/>
      <c r="CL51" s="4"/>
      <c r="CM51" s="4"/>
      <c r="CN51" s="4"/>
      <c r="CO51" s="4"/>
      <c r="CP51" s="2" t="s">
        <v>442</v>
      </c>
      <c r="CQ51" s="2" t="s">
        <v>254</v>
      </c>
      <c r="CR51" s="10"/>
      <c r="CS51" s="9" t="s">
        <v>122</v>
      </c>
    </row>
    <row r="52" spans="1:97" s="2" customFormat="1" ht="12.75">
      <c r="A52" s="2">
        <v>49</v>
      </c>
      <c r="B52" s="2" t="s">
        <v>374</v>
      </c>
      <c r="C52" s="2" t="s">
        <v>427</v>
      </c>
      <c r="D52" s="4" t="s">
        <v>365</v>
      </c>
      <c r="E52" s="2" t="s">
        <v>443</v>
      </c>
      <c r="F52" s="2" t="s">
        <v>444</v>
      </c>
      <c r="G52" s="2">
        <v>1971</v>
      </c>
      <c r="H52" s="2">
        <v>1971</v>
      </c>
      <c r="I52" s="2">
        <v>1</v>
      </c>
      <c r="J52" s="2">
        <v>0</v>
      </c>
      <c r="K52" s="2">
        <v>1</v>
      </c>
      <c r="L52" s="2">
        <v>0</v>
      </c>
      <c r="M52" s="2">
        <v>0</v>
      </c>
      <c r="N52" s="2">
        <v>0</v>
      </c>
      <c r="O52" s="4">
        <v>15</v>
      </c>
      <c r="P52" s="4">
        <v>124.5</v>
      </c>
      <c r="Q52" s="4">
        <v>1600</v>
      </c>
      <c r="R52" s="4">
        <v>17</v>
      </c>
      <c r="S52" s="4">
        <v>65</v>
      </c>
      <c r="T52" s="4">
        <v>65.75</v>
      </c>
      <c r="U52" s="4">
        <v>1810</v>
      </c>
      <c r="V52" s="4">
        <v>1.858333</v>
      </c>
      <c r="W52" s="4"/>
      <c r="X52" s="4"/>
      <c r="Y52" s="4"/>
      <c r="Z52" s="4"/>
      <c r="AA52" s="4"/>
      <c r="AB52" s="4"/>
      <c r="AC52" s="4"/>
      <c r="AD52" s="4"/>
      <c r="AE52" s="4"/>
      <c r="AF52" s="4"/>
      <c r="AG52" s="4"/>
      <c r="AH52" s="4"/>
      <c r="AI52" s="4"/>
      <c r="AJ52" s="4"/>
      <c r="AK52" s="4"/>
      <c r="AL52" s="4"/>
      <c r="AM52" s="4"/>
      <c r="AN52" s="4"/>
      <c r="AO52" s="4"/>
      <c r="AP52" s="4"/>
      <c r="AQ52" s="4"/>
      <c r="AR52" s="4"/>
      <c r="AS52" s="4"/>
      <c r="AT52" s="4"/>
      <c r="AV52" s="4"/>
      <c r="AW52" s="4">
        <f>(4500+5100+8800)/3</f>
        <v>6133.333333333333</v>
      </c>
      <c r="AX52" s="4">
        <f>(8.3+9.3+9.2)/3</f>
        <v>8.9333333333333336</v>
      </c>
      <c r="AY52" s="4">
        <f>(12+13.2+13.3)/3</f>
        <v>12.833333333333334</v>
      </c>
      <c r="AZ52" s="4">
        <f>(AX52/2)^2*PI()*AW52/10000</f>
        <v>38.442668646540483</v>
      </c>
      <c r="BA52" s="4"/>
      <c r="BB52" s="4"/>
      <c r="BC52" s="4"/>
      <c r="BD52" s="4"/>
      <c r="BE52" s="4"/>
      <c r="BF52" s="4"/>
      <c r="BG52" s="4"/>
      <c r="BH52" s="4"/>
      <c r="BI52" s="4"/>
      <c r="BJ52" s="4"/>
      <c r="BK52" s="4"/>
      <c r="BL52" s="4"/>
      <c r="BM52" s="4">
        <f>3.1*50%</f>
        <v>1.55</v>
      </c>
      <c r="BN52" s="4">
        <f>7.3*50%</f>
        <v>3.65</v>
      </c>
      <c r="BO52" s="4">
        <f>40.6*50%</f>
        <v>20.3</v>
      </c>
      <c r="BP52" s="4">
        <f>SUM(BM52:BO52)</f>
        <v>25.5</v>
      </c>
      <c r="BQ52" s="4"/>
      <c r="BR52" s="4"/>
      <c r="BS52" s="4"/>
      <c r="BT52" s="4"/>
      <c r="BU52" s="4"/>
      <c r="BV52" s="4"/>
      <c r="BW52" s="4"/>
      <c r="BX52" s="4"/>
      <c r="BY52" s="4"/>
      <c r="BZ52" s="4"/>
      <c r="CA52" s="4">
        <f>3.1*50%</f>
        <v>1.55</v>
      </c>
      <c r="CB52" s="4">
        <f>7.3*50%</f>
        <v>3.65</v>
      </c>
      <c r="CC52" s="4">
        <f>40.6*50%</f>
        <v>20.3</v>
      </c>
      <c r="CD52" s="4">
        <f>SUM(BZ52:CB52)</f>
        <v>5.2</v>
      </c>
      <c r="CE52" s="4">
        <f>CD52+CA52</f>
        <v>6.75</v>
      </c>
      <c r="CF52" s="4">
        <f>SUM(CA52:CC52)</f>
        <v>25.5</v>
      </c>
      <c r="CG52" s="4">
        <f>(2.2+4.1+1.5)/3*50%</f>
        <v>1.3</v>
      </c>
      <c r="CH52" s="4">
        <f>(3.4+6.4+2.4)/3*50%</f>
        <v>2.0333333333333337</v>
      </c>
      <c r="CI52" s="4"/>
      <c r="CJ52" s="4">
        <f>SUM(CG52:CI52)</f>
        <v>3.3333333333333339</v>
      </c>
      <c r="CK52" s="4">
        <f>CF52+CJ52</f>
        <v>28.833333333333336</v>
      </c>
      <c r="CL52" s="4"/>
      <c r="CM52" s="4"/>
      <c r="CN52" s="4"/>
      <c r="CO52" s="4"/>
      <c r="CP52" s="2" t="s">
        <v>445</v>
      </c>
      <c r="CQ52" s="2" t="s">
        <v>254</v>
      </c>
      <c r="CR52" s="2" t="s">
        <v>446</v>
      </c>
      <c r="CS52" s="9" t="s">
        <v>256</v>
      </c>
    </row>
    <row r="53" spans="1:97" s="2" customFormat="1" ht="12.75">
      <c r="A53" s="2">
        <v>50</v>
      </c>
      <c r="B53" s="2" t="s">
        <v>374</v>
      </c>
      <c r="C53" s="2" t="s">
        <v>427</v>
      </c>
      <c r="D53" s="4" t="s">
        <v>365</v>
      </c>
      <c r="E53" s="2" t="s">
        <v>447</v>
      </c>
      <c r="F53" s="2" t="s">
        <v>448</v>
      </c>
      <c r="G53" s="2">
        <v>1983</v>
      </c>
      <c r="H53" s="2">
        <v>1987</v>
      </c>
      <c r="I53" s="2">
        <v>1</v>
      </c>
      <c r="J53" s="2">
        <v>0</v>
      </c>
      <c r="K53" s="2">
        <v>1</v>
      </c>
      <c r="L53" s="2">
        <v>0</v>
      </c>
      <c r="M53" s="2">
        <v>0</v>
      </c>
      <c r="N53" s="2">
        <v>0</v>
      </c>
      <c r="O53" s="4">
        <v>15.375</v>
      </c>
      <c r="P53" s="4">
        <v>127.08</v>
      </c>
      <c r="Q53" s="4">
        <v>1487.6</v>
      </c>
      <c r="R53" s="4">
        <v>27.2</v>
      </c>
      <c r="S53" s="4">
        <v>65</v>
      </c>
      <c r="T53" s="4">
        <v>65.75</v>
      </c>
      <c r="U53" s="4">
        <v>1989.38</v>
      </c>
      <c r="V53" s="4">
        <v>1.691667</v>
      </c>
      <c r="W53" s="4"/>
      <c r="X53" s="4"/>
      <c r="Y53" s="4"/>
      <c r="Z53" s="4"/>
      <c r="AA53" s="4"/>
      <c r="AB53" s="4"/>
      <c r="AC53" s="4"/>
      <c r="AD53" s="4"/>
      <c r="AE53" s="4"/>
      <c r="AF53" s="4"/>
      <c r="AG53" s="4"/>
      <c r="AH53" s="4"/>
      <c r="AI53" s="4"/>
      <c r="AJ53" s="4"/>
      <c r="AK53" s="4"/>
      <c r="AL53" s="4"/>
      <c r="AM53" s="4"/>
      <c r="AN53" s="4"/>
      <c r="AO53" s="4"/>
      <c r="AP53" s="4"/>
      <c r="AQ53" s="4"/>
      <c r="AR53" s="4"/>
      <c r="AS53" s="4"/>
      <c r="AT53" s="4"/>
      <c r="AV53" s="4"/>
      <c r="AW53" s="4">
        <v>7200</v>
      </c>
      <c r="AX53" s="4"/>
      <c r="AY53" s="4"/>
      <c r="AZ53" s="4"/>
      <c r="BA53" s="4"/>
      <c r="BB53" s="4"/>
      <c r="BC53" s="4"/>
      <c r="BD53" s="4"/>
      <c r="BE53" s="4"/>
      <c r="BF53" s="4"/>
      <c r="BG53" s="4"/>
      <c r="BH53" s="4"/>
      <c r="BI53" s="4"/>
      <c r="BJ53" s="4"/>
      <c r="BK53" s="4"/>
      <c r="BL53" s="4"/>
      <c r="BM53" s="4">
        <f>28.4*50%+BM55*40%</f>
        <v>14.2</v>
      </c>
      <c r="BN53" s="4">
        <f>13.1*50%+BN55*40%</f>
        <v>6.55</v>
      </c>
      <c r="BO53" s="4">
        <f>25.4*50%+BO55*40%</f>
        <v>40</v>
      </c>
      <c r="BP53" s="4">
        <f>SUM(BM53:BO53)</f>
        <v>60.75</v>
      </c>
      <c r="BQ53" s="4"/>
      <c r="BR53" s="4"/>
      <c r="BS53" s="4"/>
      <c r="BT53" s="4"/>
      <c r="BU53" s="4"/>
      <c r="BV53" s="4"/>
      <c r="BW53" s="4"/>
      <c r="BX53" s="4"/>
      <c r="BY53" s="4"/>
      <c r="BZ53" s="4"/>
      <c r="CA53" s="4">
        <f>28.4/5*50%</f>
        <v>2.84</v>
      </c>
      <c r="CB53" s="4">
        <f>13.1/5*50%</f>
        <v>1.31</v>
      </c>
      <c r="CC53" s="4">
        <f>25.4/5*50%</f>
        <v>2.54</v>
      </c>
      <c r="CD53" s="4">
        <f>(628.8+657.9)/2*100*100/1000/1000*50%</f>
        <v>3.2167499999999993</v>
      </c>
      <c r="CE53" s="4"/>
      <c r="CF53" s="4">
        <f>78.6/5*50%</f>
        <v>7.8599999999999994</v>
      </c>
      <c r="CG53" s="4"/>
      <c r="CH53" s="4"/>
      <c r="CI53" s="4"/>
      <c r="CJ53" s="4"/>
      <c r="CK53" s="4"/>
      <c r="CL53" s="4"/>
      <c r="CM53" s="4"/>
      <c r="CN53" s="4"/>
      <c r="CO53" s="4"/>
      <c r="CP53" s="2" t="s">
        <v>430</v>
      </c>
      <c r="CQ53" s="2" t="s">
        <v>254</v>
      </c>
      <c r="CR53" s="10" t="s">
        <v>431</v>
      </c>
      <c r="CS53" s="9" t="s">
        <v>256</v>
      </c>
    </row>
    <row r="54" spans="1:97" s="2" customFormat="1" ht="12.75">
      <c r="A54" s="2">
        <v>51</v>
      </c>
      <c r="B54" s="2" t="s">
        <v>374</v>
      </c>
      <c r="C54" s="2" t="s">
        <v>427</v>
      </c>
      <c r="D54" s="4" t="s">
        <v>365</v>
      </c>
      <c r="E54" s="2" t="s">
        <v>449</v>
      </c>
      <c r="F54" s="2" t="s">
        <v>450</v>
      </c>
      <c r="G54" s="2">
        <v>1984</v>
      </c>
      <c r="H54" s="2">
        <v>1985</v>
      </c>
      <c r="I54" s="2">
        <v>0</v>
      </c>
      <c r="J54" s="2">
        <v>0</v>
      </c>
      <c r="K54" s="2">
        <v>0</v>
      </c>
      <c r="L54" s="2">
        <v>0</v>
      </c>
      <c r="M54" s="2">
        <v>0</v>
      </c>
      <c r="N54" s="2">
        <v>0</v>
      </c>
      <c r="O54" s="4">
        <v>15.304169999999999</v>
      </c>
      <c r="P54" s="4">
        <v>127.35</v>
      </c>
      <c r="Q54" s="4">
        <v>1380.5</v>
      </c>
      <c r="R54" s="4">
        <v>42.5</v>
      </c>
      <c r="S54" s="4">
        <v>65</v>
      </c>
      <c r="T54" s="4">
        <v>66.166669999999996</v>
      </c>
      <c r="U54" s="4">
        <v>1959.95</v>
      </c>
      <c r="V54" s="4">
        <v>1.745833</v>
      </c>
      <c r="W54" s="4"/>
      <c r="X54" s="4"/>
      <c r="Y54" s="4"/>
      <c r="Z54" s="4"/>
      <c r="AA54" s="4"/>
      <c r="AB54" s="4"/>
      <c r="AC54" s="4"/>
      <c r="AD54" s="4"/>
      <c r="AE54" s="4"/>
      <c r="AF54" s="4"/>
      <c r="AG54" s="4"/>
      <c r="AH54" s="4"/>
      <c r="AI54" s="4"/>
      <c r="AJ54" s="4"/>
      <c r="AK54" s="4"/>
      <c r="AL54" s="4"/>
      <c r="AM54" s="4"/>
      <c r="AN54" s="4"/>
      <c r="AO54" s="4"/>
      <c r="AP54" s="4"/>
      <c r="AQ54" s="4"/>
      <c r="AR54" s="4"/>
      <c r="AS54" s="4"/>
      <c r="AT54" s="4"/>
      <c r="AV54" s="4"/>
      <c r="AW54" s="4">
        <f>(6045+6014+5488+6611+5751)/5</f>
        <v>5981.8</v>
      </c>
      <c r="AX54" s="4">
        <f>(13.5+11.5+13.2+12.8+12.3)/5</f>
        <v>12.66</v>
      </c>
      <c r="AY54" s="4"/>
      <c r="AZ54" s="4">
        <f>(71.9+53.7+60.9+77.7+66.2)/5</f>
        <v>66.08</v>
      </c>
      <c r="BA54" s="4"/>
      <c r="BB54" s="4"/>
      <c r="BC54" s="4"/>
      <c r="BD54" s="4"/>
      <c r="BE54" s="4"/>
      <c r="BF54" s="4"/>
      <c r="BG54" s="4"/>
      <c r="BH54" s="4"/>
      <c r="BI54" s="4"/>
      <c r="BJ54" s="4"/>
      <c r="BK54" s="4"/>
      <c r="BL54" s="4"/>
      <c r="BM54" s="4"/>
      <c r="BN54" s="4"/>
      <c r="BO54" s="4">
        <f>(161.7+113+139.6+118.3+132.7)/5*50%</f>
        <v>66.53</v>
      </c>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2" t="s">
        <v>451</v>
      </c>
      <c r="CQ54" s="2" t="s">
        <v>254</v>
      </c>
      <c r="CR54" s="10" t="s">
        <v>435</v>
      </c>
      <c r="CS54" s="9" t="s">
        <v>256</v>
      </c>
    </row>
    <row r="55" spans="1:97" s="2" customFormat="1" ht="12.75">
      <c r="A55" s="2">
        <v>52</v>
      </c>
      <c r="B55" s="2" t="s">
        <v>374</v>
      </c>
      <c r="C55" s="2" t="s">
        <v>427</v>
      </c>
      <c r="D55" s="4" t="s">
        <v>365</v>
      </c>
      <c r="E55" s="2" t="s">
        <v>452</v>
      </c>
      <c r="F55" s="2" t="s">
        <v>453</v>
      </c>
      <c r="G55" s="2">
        <v>1984</v>
      </c>
      <c r="H55" s="2">
        <v>1985</v>
      </c>
      <c r="I55" s="2">
        <v>0</v>
      </c>
      <c r="J55" s="2">
        <v>0</v>
      </c>
      <c r="K55" s="2">
        <v>0</v>
      </c>
      <c r="L55" s="2">
        <v>0</v>
      </c>
      <c r="M55" s="2">
        <v>0</v>
      </c>
      <c r="N55" s="2">
        <v>0</v>
      </c>
      <c r="O55" s="4">
        <v>15.304169999999999</v>
      </c>
      <c r="P55" s="4">
        <v>127.35</v>
      </c>
      <c r="Q55" s="4">
        <v>1380.5</v>
      </c>
      <c r="R55" s="4">
        <v>42.5</v>
      </c>
      <c r="S55" s="4">
        <v>65</v>
      </c>
      <c r="T55" s="4">
        <v>66.166669999999996</v>
      </c>
      <c r="U55" s="4">
        <v>1959.95</v>
      </c>
      <c r="V55" s="4">
        <v>1.745833</v>
      </c>
      <c r="W55" s="4"/>
      <c r="X55" s="4"/>
      <c r="Y55" s="4"/>
      <c r="Z55" s="4"/>
      <c r="AA55" s="4"/>
      <c r="AB55" s="4"/>
      <c r="AC55" s="4"/>
      <c r="AD55" s="4"/>
      <c r="AE55" s="4"/>
      <c r="AF55" s="4"/>
      <c r="AG55" s="4"/>
      <c r="AH55" s="4"/>
      <c r="AI55" s="4"/>
      <c r="AJ55" s="4"/>
      <c r="AK55" s="4"/>
      <c r="AL55" s="4"/>
      <c r="AM55" s="4"/>
      <c r="AN55" s="4"/>
      <c r="AO55" s="4"/>
      <c r="AP55" s="4"/>
      <c r="AQ55" s="4"/>
      <c r="AR55" s="4"/>
      <c r="AS55" s="4"/>
      <c r="AT55" s="4"/>
      <c r="AV55" s="4"/>
      <c r="AW55" s="4">
        <f>5181</f>
        <v>5181</v>
      </c>
      <c r="AX55" s="4">
        <f>12.7</f>
        <v>12.7</v>
      </c>
      <c r="AY55" s="4"/>
      <c r="AZ55" s="4">
        <v>57.6</v>
      </c>
      <c r="BA55" s="4"/>
      <c r="BB55" s="4"/>
      <c r="BC55" s="4"/>
      <c r="BD55" s="4"/>
      <c r="BE55" s="4"/>
      <c r="BF55" s="4"/>
      <c r="BG55" s="4"/>
      <c r="BH55" s="4"/>
      <c r="BI55" s="4"/>
      <c r="BJ55" s="4"/>
      <c r="BK55" s="4"/>
      <c r="BL55" s="4"/>
      <c r="BM55" s="4"/>
      <c r="BN55" s="4"/>
      <c r="BO55" s="4">
        <f>136.5*50%</f>
        <v>68.25</v>
      </c>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2" t="s">
        <v>451</v>
      </c>
      <c r="CQ55" s="2" t="s">
        <v>254</v>
      </c>
      <c r="CR55" s="10" t="s">
        <v>435</v>
      </c>
      <c r="CS55" s="9" t="s">
        <v>256</v>
      </c>
    </row>
    <row r="56" spans="1:97" s="2" customFormat="1" ht="12.75">
      <c r="A56" s="2">
        <v>53</v>
      </c>
      <c r="B56" s="2" t="s">
        <v>374</v>
      </c>
      <c r="C56" s="2" t="s">
        <v>427</v>
      </c>
      <c r="D56" s="4" t="s">
        <v>365</v>
      </c>
      <c r="E56" s="2" t="s">
        <v>454</v>
      </c>
      <c r="F56" s="2" t="s">
        <v>455</v>
      </c>
      <c r="G56" s="2">
        <v>1983</v>
      </c>
      <c r="H56" s="2">
        <v>1983</v>
      </c>
      <c r="I56" s="2">
        <v>0</v>
      </c>
      <c r="J56" s="2">
        <v>0</v>
      </c>
      <c r="K56" s="2">
        <v>0</v>
      </c>
      <c r="L56" s="2">
        <v>0</v>
      </c>
      <c r="M56" s="2">
        <v>0</v>
      </c>
      <c r="N56" s="2">
        <v>0</v>
      </c>
      <c r="O56" s="4">
        <v>15.39167</v>
      </c>
      <c r="P56" s="4">
        <v>125.4</v>
      </c>
      <c r="Q56" s="4">
        <v>1928</v>
      </c>
      <c r="R56" s="4">
        <v>12</v>
      </c>
      <c r="S56" s="4">
        <v>65</v>
      </c>
      <c r="T56" s="4">
        <v>65.75</v>
      </c>
      <c r="U56" s="4">
        <v>2046.8</v>
      </c>
      <c r="V56" s="4">
        <v>1.558333</v>
      </c>
      <c r="W56" s="4"/>
      <c r="X56" s="4"/>
      <c r="Y56" s="4"/>
      <c r="Z56" s="4"/>
      <c r="AA56" s="4"/>
      <c r="AB56" s="4"/>
      <c r="AC56" s="4"/>
      <c r="AD56" s="4"/>
      <c r="AE56" s="4"/>
      <c r="AF56" s="4"/>
      <c r="AG56" s="4"/>
      <c r="AH56" s="4"/>
      <c r="AI56" s="4"/>
      <c r="AJ56" s="4"/>
      <c r="AK56" s="4"/>
      <c r="AL56" s="4"/>
      <c r="AM56" s="4"/>
      <c r="AN56" s="4"/>
      <c r="AO56" s="4"/>
      <c r="AP56" s="4"/>
      <c r="AQ56" s="4"/>
      <c r="AR56" s="4"/>
      <c r="AS56" s="4"/>
      <c r="AT56" s="4"/>
      <c r="AV56" s="4"/>
      <c r="AW56" s="4">
        <v>7200</v>
      </c>
      <c r="AX56" s="4">
        <v>9.6</v>
      </c>
      <c r="AY56" s="4">
        <v>13.6</v>
      </c>
      <c r="AZ56" s="4">
        <v>53.9</v>
      </c>
      <c r="BA56" s="4"/>
      <c r="BB56" s="4">
        <v>11.9</v>
      </c>
      <c r="BC56" s="4"/>
      <c r="BD56" s="4"/>
      <c r="BE56" s="4"/>
      <c r="BF56" s="4"/>
      <c r="BG56" s="4"/>
      <c r="BH56" s="4"/>
      <c r="BI56" s="4"/>
      <c r="BJ56" s="4"/>
      <c r="BK56" s="4"/>
      <c r="BL56" s="4"/>
      <c r="BM56" s="2">
        <f>5.3*50%</f>
        <v>2.65</v>
      </c>
      <c r="BN56" s="2">
        <f>13.2*50%</f>
        <v>6.6</v>
      </c>
      <c r="BO56" s="2">
        <f>76.6*50%</f>
        <v>38.299999999999997</v>
      </c>
      <c r="BP56" s="2">
        <f t="shared" ref="BP56:BP64" si="5">SUM(BM56:BO56)</f>
        <v>47.55</v>
      </c>
      <c r="BQ56" s="4"/>
      <c r="BR56" s="4"/>
      <c r="BS56" s="4"/>
      <c r="BT56" s="4"/>
      <c r="BU56" s="4"/>
      <c r="BV56" s="4"/>
      <c r="BW56" s="4"/>
      <c r="BX56" s="4"/>
      <c r="BY56" s="4"/>
      <c r="BZ56" s="4"/>
      <c r="CG56" s="4"/>
      <c r="CH56" s="4"/>
      <c r="CI56" s="4"/>
      <c r="CJ56" s="4"/>
      <c r="CK56" s="4"/>
      <c r="CL56" s="4"/>
      <c r="CM56" s="4"/>
      <c r="CN56" s="4"/>
      <c r="CO56" s="4"/>
      <c r="CP56" s="2" t="s">
        <v>456</v>
      </c>
      <c r="CQ56" s="2" t="s">
        <v>254</v>
      </c>
      <c r="CR56" s="10" t="s">
        <v>431</v>
      </c>
      <c r="CS56" s="9" t="s">
        <v>256</v>
      </c>
    </row>
    <row r="57" spans="1:97" s="2" customFormat="1" ht="12.75">
      <c r="A57" s="2">
        <v>54</v>
      </c>
      <c r="B57" s="2" t="s">
        <v>374</v>
      </c>
      <c r="C57" s="2" t="s">
        <v>427</v>
      </c>
      <c r="D57" s="4" t="s">
        <v>365</v>
      </c>
      <c r="E57" s="2" t="s">
        <v>457</v>
      </c>
      <c r="F57" s="2" t="s">
        <v>458</v>
      </c>
      <c r="G57" s="2">
        <v>1983</v>
      </c>
      <c r="H57" s="2">
        <v>1987</v>
      </c>
      <c r="I57" s="2">
        <v>0</v>
      </c>
      <c r="J57" s="2">
        <v>0</v>
      </c>
      <c r="K57" s="2">
        <v>0</v>
      </c>
      <c r="L57" s="2">
        <v>0</v>
      </c>
      <c r="M57" s="2">
        <v>0</v>
      </c>
      <c r="N57" s="2">
        <v>0</v>
      </c>
      <c r="O57" s="4">
        <v>15.375</v>
      </c>
      <c r="P57" s="4">
        <v>127.08</v>
      </c>
      <c r="Q57" s="4">
        <v>1487.6</v>
      </c>
      <c r="R57" s="4">
        <v>27.2</v>
      </c>
      <c r="S57" s="4">
        <v>65</v>
      </c>
      <c r="T57" s="4">
        <v>65.75</v>
      </c>
      <c r="U57" s="4">
        <v>1989.38</v>
      </c>
      <c r="V57" s="4">
        <v>1.691667</v>
      </c>
      <c r="W57" s="4"/>
      <c r="X57" s="4"/>
      <c r="Y57" s="4"/>
      <c r="Z57" s="4"/>
      <c r="AA57" s="4"/>
      <c r="AB57" s="4"/>
      <c r="AC57" s="4"/>
      <c r="AD57" s="4"/>
      <c r="AE57" s="4"/>
      <c r="AF57" s="4"/>
      <c r="AG57" s="4"/>
      <c r="AH57" s="4"/>
      <c r="AI57" s="4"/>
      <c r="AJ57" s="4"/>
      <c r="AK57" s="4"/>
      <c r="AL57" s="4"/>
      <c r="AM57" s="4"/>
      <c r="AN57" s="4"/>
      <c r="AO57" s="4"/>
      <c r="AP57" s="4"/>
      <c r="AQ57" s="4"/>
      <c r="AR57" s="4"/>
      <c r="AS57" s="4"/>
      <c r="AT57" s="4"/>
      <c r="AV57" s="4"/>
      <c r="AW57" s="4">
        <v>8000</v>
      </c>
      <c r="AX57" s="4"/>
      <c r="AY57" s="4"/>
      <c r="AZ57" s="4"/>
      <c r="BA57" s="4"/>
      <c r="BB57" s="4"/>
      <c r="BC57" s="4"/>
      <c r="BD57" s="4"/>
      <c r="BE57" s="4"/>
      <c r="BF57" s="4"/>
      <c r="BG57" s="4"/>
      <c r="BH57" s="4"/>
      <c r="BI57" s="4"/>
      <c r="BJ57" s="4"/>
      <c r="BK57" s="4"/>
      <c r="BL57" s="4"/>
      <c r="BM57" s="4">
        <f>37.6*50%+BM58</f>
        <v>21.5258</v>
      </c>
      <c r="BN57" s="4">
        <f>14.3*50%+BN58</f>
        <v>14.651999999999999</v>
      </c>
      <c r="BO57" s="4">
        <f>27.4*50%+BO58</f>
        <v>69.154000000000011</v>
      </c>
      <c r="BP57" s="4">
        <f t="shared" si="5"/>
        <v>105.33180000000002</v>
      </c>
      <c r="BQ57" s="4"/>
      <c r="BR57" s="4"/>
      <c r="BS57" s="4"/>
      <c r="BT57" s="4"/>
      <c r="BU57" s="4"/>
      <c r="BV57" s="4"/>
      <c r="BW57" s="4"/>
      <c r="BX57" s="4"/>
      <c r="BY57" s="4"/>
      <c r="BZ57" s="4"/>
      <c r="CA57" s="4">
        <f>37.6/5*50%</f>
        <v>3.7600000000000002</v>
      </c>
      <c r="CB57" s="4">
        <f>14.3/5*50%</f>
        <v>1.4300000000000002</v>
      </c>
      <c r="CC57" s="4">
        <f>27.4/5*50%</f>
        <v>2.7399999999999998</v>
      </c>
      <c r="CD57" s="4">
        <f>(753+717)*100*100/1000/1000*50%</f>
        <v>7.35</v>
      </c>
      <c r="CE57" s="4"/>
      <c r="CF57" s="4">
        <f>91.1/5*50%</f>
        <v>9.11</v>
      </c>
      <c r="CG57" s="4"/>
      <c r="CH57" s="4"/>
      <c r="CI57" s="4"/>
      <c r="CJ57" s="4"/>
      <c r="CK57" s="4"/>
      <c r="CL57" s="4"/>
      <c r="CM57" s="4"/>
      <c r="CN57" s="4"/>
      <c r="CO57" s="4"/>
      <c r="CP57" s="2" t="s">
        <v>456</v>
      </c>
      <c r="CQ57" s="2" t="s">
        <v>254</v>
      </c>
      <c r="CR57" s="10" t="s">
        <v>431</v>
      </c>
      <c r="CS57" s="9" t="s">
        <v>256</v>
      </c>
    </row>
    <row r="58" spans="1:97" s="2" customFormat="1" ht="12.75">
      <c r="A58" s="2">
        <v>55</v>
      </c>
      <c r="B58" s="2" t="s">
        <v>374</v>
      </c>
      <c r="C58" s="2" t="s">
        <v>459</v>
      </c>
      <c r="D58" s="4" t="s">
        <v>365</v>
      </c>
      <c r="E58" s="2" t="s">
        <v>460</v>
      </c>
      <c r="F58" s="2" t="s">
        <v>461</v>
      </c>
      <c r="G58" s="2">
        <v>1982</v>
      </c>
      <c r="H58" s="2">
        <v>1991</v>
      </c>
      <c r="I58" s="2">
        <v>0</v>
      </c>
      <c r="J58" s="2">
        <v>0</v>
      </c>
      <c r="K58" s="2">
        <v>0</v>
      </c>
      <c r="L58" s="2">
        <v>0</v>
      </c>
      <c r="M58" s="2">
        <v>0</v>
      </c>
      <c r="N58" s="2">
        <v>0</v>
      </c>
      <c r="O58" s="4">
        <v>15.3</v>
      </c>
      <c r="P58" s="4">
        <f>(O58-5)*12</f>
        <v>123.60000000000001</v>
      </c>
      <c r="Q58" s="4">
        <v>1581</v>
      </c>
      <c r="R58" s="4">
        <v>20.5</v>
      </c>
      <c r="S58" s="4">
        <v>65</v>
      </c>
      <c r="T58" s="4">
        <v>67.00833333333334</v>
      </c>
      <c r="U58" s="4">
        <v>1872.7599999999998</v>
      </c>
      <c r="V58" s="4">
        <v>1.6700000000000008</v>
      </c>
      <c r="W58" s="4"/>
      <c r="X58" s="4"/>
      <c r="Y58" s="4"/>
      <c r="Z58" s="4"/>
      <c r="AA58" s="4"/>
      <c r="AB58" s="4"/>
      <c r="AC58" s="4"/>
      <c r="AD58" s="4"/>
      <c r="AE58" s="4"/>
      <c r="AF58" s="4"/>
      <c r="AG58" s="4"/>
      <c r="AH58" s="4"/>
      <c r="AI58" s="4"/>
      <c r="AJ58" s="4"/>
      <c r="AK58" s="4"/>
      <c r="AL58" s="4"/>
      <c r="AM58" s="4"/>
      <c r="AN58" s="4"/>
      <c r="AO58" s="4"/>
      <c r="AP58" s="4"/>
      <c r="AQ58" s="4"/>
      <c r="AR58" s="4"/>
      <c r="AS58" s="4"/>
      <c r="AT58" s="4"/>
      <c r="AV58" s="4"/>
      <c r="AW58" s="4">
        <v>7100</v>
      </c>
      <c r="AX58" s="4">
        <v>11.3</v>
      </c>
      <c r="AY58" s="4"/>
      <c r="AZ58" s="4">
        <f>(AX58/2)^2*PI()*AW58/10000</f>
        <v>71.204118953796325</v>
      </c>
      <c r="BA58" s="4"/>
      <c r="BB58" s="4"/>
      <c r="BC58" s="4"/>
      <c r="BD58" s="4">
        <v>46.2</v>
      </c>
      <c r="BE58" s="4">
        <v>48.4</v>
      </c>
      <c r="BF58" s="4">
        <v>47.6</v>
      </c>
      <c r="BG58" s="4">
        <v>40.1</v>
      </c>
      <c r="BH58" s="4"/>
      <c r="BI58" s="4">
        <v>44.8</v>
      </c>
      <c r="BJ58" s="4"/>
      <c r="BK58" s="4"/>
      <c r="BL58" s="4"/>
      <c r="BM58" s="4">
        <f>5.9*BD58/100</f>
        <v>2.7258000000000004</v>
      </c>
      <c r="BN58" s="4">
        <f>15.5*BE58/100</f>
        <v>7.5019999999999989</v>
      </c>
      <c r="BO58" s="4">
        <f>116.5*BF58/100</f>
        <v>55.454000000000008</v>
      </c>
      <c r="BP58" s="4">
        <f t="shared" si="5"/>
        <v>65.68180000000001</v>
      </c>
      <c r="BQ58" s="4">
        <f>BU58/BP58</f>
        <v>0.2842416011741456</v>
      </c>
      <c r="BR58" s="4">
        <f>27.9*BG58/100</f>
        <v>11.187899999999999</v>
      </c>
      <c r="BS58" s="4">
        <f>16.7*BI58/100</f>
        <v>7.4815999999999994</v>
      </c>
      <c r="BT58" s="4"/>
      <c r="BU58" s="4">
        <f>SUM(BR58:BT58)</f>
        <v>18.669499999999999</v>
      </c>
      <c r="BV58" s="4">
        <f>BU58+BP58</f>
        <v>84.351300000000009</v>
      </c>
      <c r="BW58" s="4"/>
      <c r="BX58" s="4">
        <f>7+94.2</f>
        <v>101.2</v>
      </c>
      <c r="BY58" s="4"/>
      <c r="BZ58" s="4">
        <f>BV58+BX58</f>
        <v>185.55130000000003</v>
      </c>
      <c r="CA58" s="4">
        <f>2.06+0.99</f>
        <v>3.05</v>
      </c>
      <c r="CB58" s="4">
        <v>0.79</v>
      </c>
      <c r="CC58" s="4">
        <v>4.66</v>
      </c>
      <c r="CD58" s="4">
        <f>2+0.3+1</f>
        <v>3.3</v>
      </c>
      <c r="CE58" s="4">
        <f>CD58+CA58</f>
        <v>6.35</v>
      </c>
      <c r="CF58" s="4">
        <f>SUM(CA58:CD58)</f>
        <v>11.8</v>
      </c>
      <c r="CG58" s="4">
        <v>11</v>
      </c>
      <c r="CH58" s="4"/>
      <c r="CI58" s="4"/>
      <c r="CJ58" s="4">
        <f>SUM(CG58:CI58)</f>
        <v>11</v>
      </c>
      <c r="CK58" s="4">
        <f>CJ58+CF58</f>
        <v>22.8</v>
      </c>
      <c r="CL58" s="4">
        <f>52.3*12/44</f>
        <v>14.263636363636362</v>
      </c>
      <c r="CM58" s="4">
        <f>10.7+2.6</f>
        <v>13.299999999999999</v>
      </c>
      <c r="CN58" s="4">
        <f>CL58-CM58</f>
        <v>0.96363636363636296</v>
      </c>
      <c r="CO58" s="4">
        <f>CK58-CM58</f>
        <v>9.5000000000000018</v>
      </c>
      <c r="CP58" s="2" t="s">
        <v>462</v>
      </c>
      <c r="CQ58" s="2" t="s">
        <v>254</v>
      </c>
      <c r="CR58" s="10" t="s">
        <v>463</v>
      </c>
      <c r="CS58" s="9" t="s">
        <v>256</v>
      </c>
    </row>
    <row r="59" spans="1:97" s="2" customFormat="1" ht="12.75">
      <c r="A59" s="2">
        <v>56</v>
      </c>
      <c r="B59" s="2" t="s">
        <v>374</v>
      </c>
      <c r="C59" s="2" t="s">
        <v>464</v>
      </c>
      <c r="D59" s="4" t="s">
        <v>465</v>
      </c>
      <c r="E59" s="2" t="s">
        <v>466</v>
      </c>
      <c r="F59" s="2" t="s">
        <v>467</v>
      </c>
      <c r="G59" s="2">
        <v>2005</v>
      </c>
      <c r="H59" s="2">
        <v>2005</v>
      </c>
      <c r="I59" s="2">
        <v>0</v>
      </c>
      <c r="J59" s="2">
        <v>0</v>
      </c>
      <c r="K59" s="2">
        <v>0</v>
      </c>
      <c r="L59" s="2">
        <v>0</v>
      </c>
      <c r="M59" s="2">
        <v>0</v>
      </c>
      <c r="N59" s="2">
        <v>0</v>
      </c>
      <c r="O59" s="4">
        <v>16.058330000000002</v>
      </c>
      <c r="P59" s="4">
        <v>133.30000000000001</v>
      </c>
      <c r="Q59" s="4">
        <v>953</v>
      </c>
      <c r="R59" s="4">
        <v>21</v>
      </c>
      <c r="S59" s="4">
        <v>270</v>
      </c>
      <c r="T59" s="4">
        <v>62</v>
      </c>
      <c r="U59" s="4">
        <v>1667.3</v>
      </c>
      <c r="V59" s="4">
        <v>1.433333</v>
      </c>
      <c r="W59" s="4"/>
      <c r="X59" s="4"/>
      <c r="Y59" s="4"/>
      <c r="Z59" s="4"/>
      <c r="AA59" s="4"/>
      <c r="AB59" s="4"/>
      <c r="AC59" s="4"/>
      <c r="AD59" s="4"/>
      <c r="AE59" s="4"/>
      <c r="AF59" s="4"/>
      <c r="AG59" s="4"/>
      <c r="AH59" s="4"/>
      <c r="AI59" s="4"/>
      <c r="AJ59" s="4"/>
      <c r="AK59" s="4"/>
      <c r="AL59" s="4"/>
      <c r="AM59" s="4"/>
      <c r="AN59" s="4"/>
      <c r="AO59" s="4"/>
      <c r="AP59" s="4"/>
      <c r="AQ59" s="4"/>
      <c r="AR59" s="4"/>
      <c r="AS59" s="4"/>
      <c r="AT59" s="4"/>
      <c r="AV59" s="4"/>
      <c r="AW59" s="4">
        <v>8133</v>
      </c>
      <c r="AX59" s="4">
        <f>(12.2*1033+12.8*7100)/8133</f>
        <v>12.723791958686832</v>
      </c>
      <c r="AY59" s="4">
        <f>(18*1033+18.5*7100)/8133</f>
        <v>18.436493298905692</v>
      </c>
      <c r="AZ59" s="4">
        <f>(AX59/2)^2*PI()*AW59/10000</f>
        <v>103.41267510803563</v>
      </c>
      <c r="BA59" s="4"/>
      <c r="BB59" s="4"/>
      <c r="BC59" s="4"/>
      <c r="BD59" s="4"/>
      <c r="BE59" s="4"/>
      <c r="BF59" s="4"/>
      <c r="BG59" s="4"/>
      <c r="BH59" s="4"/>
      <c r="BI59" s="4"/>
      <c r="BJ59" s="4"/>
      <c r="BK59" s="4"/>
      <c r="BL59" s="4"/>
      <c r="BM59" s="4">
        <f>5.8*50%</f>
        <v>2.9</v>
      </c>
      <c r="BN59" s="4">
        <f>16.6*50%</f>
        <v>8.3000000000000007</v>
      </c>
      <c r="BO59" s="4">
        <f>194.8*50%</f>
        <v>97.4</v>
      </c>
      <c r="BP59" s="4">
        <f t="shared" si="5"/>
        <v>108.60000000000001</v>
      </c>
      <c r="BQ59" s="4"/>
      <c r="BR59" s="4"/>
      <c r="BS59" s="4"/>
      <c r="BT59" s="4"/>
      <c r="BU59" s="4"/>
      <c r="BV59" s="4"/>
      <c r="BW59" s="4"/>
      <c r="BX59" s="4"/>
      <c r="BY59" s="4"/>
      <c r="BZ59" s="4"/>
      <c r="CA59" s="4"/>
      <c r="CB59" s="4"/>
      <c r="CC59" s="4"/>
      <c r="CD59" s="4"/>
      <c r="CE59" s="4"/>
      <c r="CF59" s="4"/>
      <c r="CG59" s="4"/>
      <c r="CH59" s="4"/>
      <c r="CI59" s="4"/>
      <c r="CJ59" s="4"/>
      <c r="CK59" s="4"/>
      <c r="CL59" s="4"/>
      <c r="CM59" s="4"/>
      <c r="CN59" s="4"/>
      <c r="CP59" s="2" t="s">
        <v>468</v>
      </c>
      <c r="CQ59" s="2" t="s">
        <v>254</v>
      </c>
      <c r="CR59" s="10" t="s">
        <v>469</v>
      </c>
      <c r="CS59" s="9" t="s">
        <v>256</v>
      </c>
    </row>
    <row r="60" spans="1:97" s="2" customFormat="1" ht="12.75">
      <c r="A60" s="2">
        <v>57</v>
      </c>
      <c r="B60" s="2" t="s">
        <v>374</v>
      </c>
      <c r="C60" s="2" t="s">
        <v>464</v>
      </c>
      <c r="D60" s="4" t="s">
        <v>465</v>
      </c>
      <c r="E60" s="2" t="s">
        <v>470</v>
      </c>
      <c r="F60" s="2" t="s">
        <v>471</v>
      </c>
      <c r="G60" s="2">
        <v>2006</v>
      </c>
      <c r="H60" s="2">
        <v>2006</v>
      </c>
      <c r="I60" s="2">
        <v>1</v>
      </c>
      <c r="J60" s="2">
        <v>0</v>
      </c>
      <c r="K60" s="2">
        <v>0</v>
      </c>
      <c r="L60" s="2">
        <v>0</v>
      </c>
      <c r="M60" s="2">
        <v>0</v>
      </c>
      <c r="N60" s="2">
        <v>0</v>
      </c>
      <c r="O60" s="4">
        <v>16.175000000000001</v>
      </c>
      <c r="P60" s="4">
        <v>134.80000000000001</v>
      </c>
      <c r="Q60" s="4">
        <v>1568</v>
      </c>
      <c r="R60" s="4">
        <v>6</v>
      </c>
      <c r="S60" s="4">
        <v>270</v>
      </c>
      <c r="T60" s="4">
        <v>64.083330000000004</v>
      </c>
      <c r="U60" s="4">
        <v>1480.5</v>
      </c>
      <c r="V60" s="4">
        <v>1.5833330000000001</v>
      </c>
      <c r="W60" s="4"/>
      <c r="X60" s="4"/>
      <c r="Y60" s="4"/>
      <c r="Z60" s="4"/>
      <c r="AA60" s="4"/>
      <c r="AB60" s="4"/>
      <c r="AC60" s="4"/>
      <c r="AD60" s="4"/>
      <c r="AE60" s="4"/>
      <c r="AF60" s="4"/>
      <c r="AG60" s="4"/>
      <c r="AH60" s="4"/>
      <c r="AI60" s="4"/>
      <c r="AJ60" s="4"/>
      <c r="AK60" s="4"/>
      <c r="AL60" s="4"/>
      <c r="AM60" s="4"/>
      <c r="AN60" s="4"/>
      <c r="AO60" s="4"/>
      <c r="AP60" s="4"/>
      <c r="AQ60" s="4"/>
      <c r="AR60" s="4"/>
      <c r="AS60" s="4"/>
      <c r="AT60" s="4"/>
      <c r="AV60" s="4"/>
      <c r="AW60" s="4">
        <v>7967</v>
      </c>
      <c r="AX60" s="4">
        <f>(12.9*167+12.7*7800)/7967</f>
        <v>12.70419229320949</v>
      </c>
      <c r="AY60" s="4">
        <f>(18.6*167+18.4*7800)/7967</f>
        <v>18.404192293209491</v>
      </c>
      <c r="AZ60" s="4">
        <f>(AX60/2)^2*PI()*AW60/10000</f>
        <v>100.99010318518286</v>
      </c>
      <c r="BA60" s="4"/>
      <c r="BB60" s="4"/>
      <c r="BC60" s="4"/>
      <c r="BD60" s="4"/>
      <c r="BE60" s="4"/>
      <c r="BF60" s="4"/>
      <c r="BG60" s="4"/>
      <c r="BH60" s="4"/>
      <c r="BI60" s="4"/>
      <c r="BJ60" s="4"/>
      <c r="BK60" s="4"/>
      <c r="BL60" s="4"/>
      <c r="BM60" s="4">
        <f>5.9*50%</f>
        <v>2.95</v>
      </c>
      <c r="BN60" s="4">
        <f>16.2*50%</f>
        <v>8.1</v>
      </c>
      <c r="BO60" s="4">
        <f>50%*195.2</f>
        <v>97.6</v>
      </c>
      <c r="BP60" s="4">
        <f t="shared" si="5"/>
        <v>108.64999999999999</v>
      </c>
      <c r="BQ60" s="4"/>
      <c r="BR60" s="4"/>
      <c r="BS60" s="4"/>
      <c r="BT60" s="4"/>
      <c r="BU60" s="4"/>
      <c r="BV60" s="4"/>
      <c r="BW60" s="4"/>
      <c r="BX60" s="4"/>
      <c r="BY60" s="4"/>
      <c r="BZ60" s="4"/>
      <c r="CA60" s="4"/>
      <c r="CB60" s="4"/>
      <c r="CC60" s="4"/>
      <c r="CD60" s="4"/>
      <c r="CE60" s="4"/>
      <c r="CF60" s="4"/>
      <c r="CG60" s="4"/>
      <c r="CH60" s="4"/>
      <c r="CI60" s="4"/>
      <c r="CJ60" s="4"/>
      <c r="CK60" s="4"/>
      <c r="CL60" s="4"/>
      <c r="CM60" s="4"/>
      <c r="CN60" s="4"/>
      <c r="CP60" s="2" t="s">
        <v>472</v>
      </c>
      <c r="CQ60" s="2" t="s">
        <v>254</v>
      </c>
      <c r="CR60" s="10" t="s">
        <v>469</v>
      </c>
      <c r="CS60" s="9" t="s">
        <v>256</v>
      </c>
    </row>
    <row r="61" spans="1:97" s="2" customFormat="1" ht="12.75">
      <c r="A61" s="2">
        <v>58</v>
      </c>
      <c r="B61" s="2" t="s">
        <v>374</v>
      </c>
      <c r="C61" s="2" t="s">
        <v>464</v>
      </c>
      <c r="D61" s="4" t="s">
        <v>465</v>
      </c>
      <c r="E61" s="2" t="s">
        <v>473</v>
      </c>
      <c r="F61" s="2" t="s">
        <v>474</v>
      </c>
      <c r="G61" s="2">
        <v>2007</v>
      </c>
      <c r="H61" s="2">
        <v>2007</v>
      </c>
      <c r="I61" s="2">
        <v>0</v>
      </c>
      <c r="J61" s="2">
        <v>0</v>
      </c>
      <c r="K61" s="2">
        <v>0</v>
      </c>
      <c r="L61" s="2">
        <v>0</v>
      </c>
      <c r="M61" s="2">
        <v>0</v>
      </c>
      <c r="N61" s="2">
        <v>0</v>
      </c>
      <c r="O61" s="4">
        <v>16.516670000000001</v>
      </c>
      <c r="P61" s="4">
        <v>138.19999999999999</v>
      </c>
      <c r="Q61" s="4">
        <v>1234</v>
      </c>
      <c r="R61" s="4">
        <v>0</v>
      </c>
      <c r="S61" s="4">
        <v>270</v>
      </c>
      <c r="T61" s="4">
        <v>61.833329999999997</v>
      </c>
      <c r="U61" s="4">
        <v>1997</v>
      </c>
      <c r="V61" s="4">
        <v>1.4583330000000001</v>
      </c>
      <c r="W61" s="4"/>
      <c r="X61" s="4"/>
      <c r="Y61" s="4"/>
      <c r="Z61" s="4"/>
      <c r="AA61" s="4"/>
      <c r="AB61" s="4"/>
      <c r="AC61" s="4"/>
      <c r="AD61" s="4"/>
      <c r="AE61" s="4"/>
      <c r="AF61" s="4"/>
      <c r="AG61" s="4"/>
      <c r="AH61" s="4"/>
      <c r="AI61" s="4"/>
      <c r="AJ61" s="4"/>
      <c r="AK61" s="4"/>
      <c r="AL61" s="4"/>
      <c r="AM61" s="4"/>
      <c r="AN61" s="4"/>
      <c r="AO61" s="4"/>
      <c r="AP61" s="4"/>
      <c r="AQ61" s="4"/>
      <c r="AR61" s="4"/>
      <c r="AS61" s="4"/>
      <c r="AT61" s="4"/>
      <c r="AV61" s="4"/>
      <c r="AW61" s="4">
        <v>8133</v>
      </c>
      <c r="AX61" s="4">
        <f>(12.7*333+12.7*7800)/8133</f>
        <v>12.700000000000001</v>
      </c>
      <c r="AY61" s="4">
        <f>(18.5*333+18.4*7800)/8133</f>
        <v>18.404094430099594</v>
      </c>
      <c r="AZ61" s="4">
        <f>(AX61/2)^2*PI()*AW61/10000</f>
        <v>103.02629818749874</v>
      </c>
      <c r="BA61" s="4"/>
      <c r="BB61" s="4"/>
      <c r="BC61" s="4"/>
      <c r="BD61" s="4"/>
      <c r="BE61" s="4"/>
      <c r="BF61" s="4"/>
      <c r="BG61" s="4"/>
      <c r="BH61" s="4"/>
      <c r="BI61" s="4"/>
      <c r="BJ61" s="4"/>
      <c r="BK61" s="4"/>
      <c r="BL61" s="4"/>
      <c r="BM61" s="4">
        <f>5.9*50%</f>
        <v>2.95</v>
      </c>
      <c r="BN61" s="4">
        <f>16.5*50%</f>
        <v>8.25</v>
      </c>
      <c r="BO61" s="4">
        <f>50%*197.4</f>
        <v>98.7</v>
      </c>
      <c r="BP61" s="4">
        <f t="shared" si="5"/>
        <v>109.9</v>
      </c>
      <c r="BQ61" s="4"/>
      <c r="BR61" s="4"/>
      <c r="BS61" s="4"/>
      <c r="BT61" s="4"/>
      <c r="BU61" s="4"/>
      <c r="BV61" s="4"/>
      <c r="BW61" s="4"/>
      <c r="BX61" s="4"/>
      <c r="BY61" s="4"/>
      <c r="BZ61" s="4"/>
      <c r="CA61" s="4">
        <f t="shared" ref="CA61:CC62" si="6">BM61-BM60</f>
        <v>0</v>
      </c>
      <c r="CB61" s="4">
        <f t="shared" si="6"/>
        <v>0.15000000000000036</v>
      </c>
      <c r="CC61" s="4">
        <f t="shared" si="6"/>
        <v>1.1000000000000085</v>
      </c>
      <c r="CF61" s="4">
        <f>BP61-BP60</f>
        <v>1.2500000000000142</v>
      </c>
      <c r="CG61" s="4"/>
      <c r="CH61" s="4"/>
      <c r="CI61" s="4"/>
      <c r="CJ61" s="4"/>
      <c r="CK61" s="4"/>
      <c r="CL61" s="4"/>
      <c r="CM61" s="4"/>
      <c r="CN61" s="4"/>
      <c r="CP61" s="2" t="s">
        <v>472</v>
      </c>
      <c r="CQ61" s="2" t="s">
        <v>254</v>
      </c>
      <c r="CR61" s="10" t="s">
        <v>469</v>
      </c>
      <c r="CS61" s="9" t="s">
        <v>256</v>
      </c>
    </row>
    <row r="62" spans="1:97" s="2" customFormat="1" ht="12.75">
      <c r="A62" s="2">
        <v>59</v>
      </c>
      <c r="B62" s="2" t="s">
        <v>374</v>
      </c>
      <c r="C62" s="2" t="s">
        <v>464</v>
      </c>
      <c r="D62" s="4" t="s">
        <v>465</v>
      </c>
      <c r="E62" s="2" t="s">
        <v>475</v>
      </c>
      <c r="F62" s="2" t="s">
        <v>476</v>
      </c>
      <c r="G62" s="2">
        <v>2008</v>
      </c>
      <c r="H62" s="2">
        <v>2008</v>
      </c>
      <c r="I62" s="2">
        <v>0</v>
      </c>
      <c r="J62" s="2">
        <v>0</v>
      </c>
      <c r="K62" s="2">
        <v>0</v>
      </c>
      <c r="L62" s="2">
        <v>0</v>
      </c>
      <c r="M62" s="2">
        <v>0</v>
      </c>
      <c r="N62" s="11">
        <v>0</v>
      </c>
      <c r="O62" s="4">
        <v>16.033329999999999</v>
      </c>
      <c r="P62" s="4">
        <v>134</v>
      </c>
      <c r="Q62" s="4">
        <v>1606</v>
      </c>
      <c r="R62" s="4">
        <v>13</v>
      </c>
      <c r="S62" s="4">
        <v>270</v>
      </c>
      <c r="T62" s="4">
        <v>63.166670000000003</v>
      </c>
      <c r="U62" s="4">
        <v>1897.6</v>
      </c>
      <c r="V62" s="4">
        <v>1.375</v>
      </c>
      <c r="W62" s="4"/>
      <c r="X62" s="4"/>
      <c r="Y62" s="4"/>
      <c r="Z62" s="4"/>
      <c r="AA62" s="4"/>
      <c r="AB62" s="4"/>
      <c r="AC62" s="4"/>
      <c r="AD62" s="4"/>
      <c r="AE62" s="4"/>
      <c r="AF62" s="4"/>
      <c r="AG62" s="4"/>
      <c r="AH62" s="4"/>
      <c r="AI62" s="4"/>
      <c r="AJ62" s="4"/>
      <c r="AK62" s="4"/>
      <c r="AL62" s="4"/>
      <c r="AM62" s="4"/>
      <c r="AN62" s="4"/>
      <c r="AO62" s="4"/>
      <c r="AP62" s="4"/>
      <c r="AQ62" s="4"/>
      <c r="AR62" s="4"/>
      <c r="AS62" s="4"/>
      <c r="AT62" s="4"/>
      <c r="AV62" s="4"/>
      <c r="AW62" s="4">
        <v>8300</v>
      </c>
      <c r="AX62" s="4">
        <f>(11.6*367+12.7*7933)/8300</f>
        <v>12.651361445783131</v>
      </c>
      <c r="AY62" s="4">
        <f>(17.4*367+18.5*7933)/8300</f>
        <v>18.451361445783132</v>
      </c>
      <c r="AZ62" s="4">
        <f>(AX62/2)^2*PI()*AW62/10000</f>
        <v>104.33799836625894</v>
      </c>
      <c r="BA62" s="4"/>
      <c r="BB62" s="4"/>
      <c r="BC62" s="4"/>
      <c r="BD62" s="4"/>
      <c r="BE62" s="4"/>
      <c r="BF62" s="4"/>
      <c r="BG62" s="4"/>
      <c r="BH62" s="4"/>
      <c r="BI62" s="4"/>
      <c r="BJ62" s="4"/>
      <c r="BK62" s="4"/>
      <c r="BL62" s="4"/>
      <c r="BM62" s="4">
        <f>6.1*50%</f>
        <v>3.05</v>
      </c>
      <c r="BN62" s="4">
        <f>(16.6+16.2+16.5+16.9)/4*50%</f>
        <v>8.2749999999999986</v>
      </c>
      <c r="BO62" s="4">
        <f>50%*201.4</f>
        <v>100.7</v>
      </c>
      <c r="BP62" s="4">
        <f t="shared" si="5"/>
        <v>112.02500000000001</v>
      </c>
      <c r="BQ62" s="4"/>
      <c r="BR62" s="4"/>
      <c r="BS62" s="4"/>
      <c r="BT62" s="4"/>
      <c r="BU62" s="4"/>
      <c r="BV62" s="4"/>
      <c r="BW62" s="4"/>
      <c r="BX62" s="4"/>
      <c r="BY62" s="4"/>
      <c r="BZ62" s="4"/>
      <c r="CA62" s="4">
        <f t="shared" si="6"/>
        <v>9.9999999999999645E-2</v>
      </c>
      <c r="CB62" s="4">
        <f t="shared" si="6"/>
        <v>2.4999999999998579E-2</v>
      </c>
      <c r="CC62" s="4">
        <f t="shared" si="6"/>
        <v>2</v>
      </c>
      <c r="CF62" s="4">
        <f>BP62-BP61</f>
        <v>2.125</v>
      </c>
      <c r="CG62" s="4"/>
      <c r="CH62" s="4"/>
      <c r="CI62" s="4"/>
      <c r="CJ62" s="4"/>
      <c r="CK62" s="4"/>
      <c r="CL62" s="4"/>
      <c r="CM62" s="4"/>
      <c r="CN62" s="4"/>
      <c r="CP62" s="2" t="s">
        <v>472</v>
      </c>
      <c r="CQ62" s="2" t="s">
        <v>254</v>
      </c>
      <c r="CR62" s="10" t="s">
        <v>469</v>
      </c>
      <c r="CS62" s="9" t="s">
        <v>256</v>
      </c>
    </row>
    <row r="63" spans="1:97" s="2" customFormat="1" ht="12.75">
      <c r="A63" s="2">
        <v>60</v>
      </c>
      <c r="B63" s="2" t="s">
        <v>374</v>
      </c>
      <c r="C63" s="2" t="s">
        <v>464</v>
      </c>
      <c r="D63" s="4" t="s">
        <v>465</v>
      </c>
      <c r="E63" s="2" t="s">
        <v>477</v>
      </c>
      <c r="F63" s="2" t="s">
        <v>478</v>
      </c>
      <c r="G63" s="2">
        <v>2006</v>
      </c>
      <c r="H63" s="2">
        <v>2006</v>
      </c>
      <c r="I63" s="2">
        <v>0</v>
      </c>
      <c r="J63" s="2">
        <v>0</v>
      </c>
      <c r="K63" s="2">
        <v>0</v>
      </c>
      <c r="L63" s="2">
        <v>0</v>
      </c>
      <c r="M63" s="2">
        <v>0</v>
      </c>
      <c r="N63" s="2">
        <v>0</v>
      </c>
      <c r="O63" s="4">
        <v>15.3</v>
      </c>
      <c r="P63" s="4">
        <f>(O63-5)*12</f>
        <v>123.60000000000001</v>
      </c>
      <c r="Q63" s="4">
        <v>1459</v>
      </c>
      <c r="R63" s="4">
        <v>6</v>
      </c>
      <c r="S63" s="4">
        <v>280</v>
      </c>
      <c r="T63" s="4">
        <v>64.083330000000004</v>
      </c>
      <c r="U63" s="4">
        <v>1480.5</v>
      </c>
      <c r="V63" s="4">
        <v>1.5833330000000001</v>
      </c>
      <c r="W63" s="4"/>
      <c r="X63" s="4"/>
      <c r="Y63" s="4"/>
      <c r="Z63" s="4"/>
      <c r="AA63" s="4"/>
      <c r="AB63" s="4"/>
      <c r="AC63" s="4"/>
      <c r="AD63" s="4"/>
      <c r="AE63" s="4"/>
      <c r="AF63" s="4"/>
      <c r="AG63" s="4"/>
      <c r="AH63" s="4"/>
      <c r="AI63" s="4"/>
      <c r="AJ63" s="4"/>
      <c r="AK63" s="4"/>
      <c r="AL63" s="4"/>
      <c r="AM63" s="4"/>
      <c r="AN63" s="4"/>
      <c r="AO63" s="4"/>
      <c r="AP63" s="4"/>
      <c r="AQ63" s="4"/>
      <c r="AR63" s="4"/>
      <c r="AS63" s="4"/>
      <c r="AT63" s="4"/>
      <c r="AV63" s="4"/>
      <c r="AW63" s="4">
        <v>9675</v>
      </c>
      <c r="AX63" s="4">
        <v>10.52</v>
      </c>
      <c r="AY63" s="4"/>
      <c r="AZ63" s="4">
        <v>88.3</v>
      </c>
      <c r="BA63" s="4"/>
      <c r="BB63" s="4"/>
      <c r="BC63" s="4"/>
      <c r="BD63" s="4">
        <v>41.9</v>
      </c>
      <c r="BE63" s="4">
        <v>46.4</v>
      </c>
      <c r="BF63" s="4">
        <v>46.3</v>
      </c>
      <c r="BG63" s="4">
        <v>43.2</v>
      </c>
      <c r="BH63" s="4">
        <v>44.2</v>
      </c>
      <c r="BI63" s="4">
        <v>44.3</v>
      </c>
      <c r="BJ63" s="4"/>
      <c r="BK63" s="4">
        <v>3.34</v>
      </c>
      <c r="BL63" s="4">
        <v>2.11</v>
      </c>
      <c r="BM63" s="4">
        <v>2.1</v>
      </c>
      <c r="BN63" s="4">
        <v>6.9</v>
      </c>
      <c r="BO63" s="4">
        <v>75.900000000000006</v>
      </c>
      <c r="BP63" s="4">
        <f t="shared" si="5"/>
        <v>84.9</v>
      </c>
      <c r="BQ63" s="4">
        <f>BU63/BP63</f>
        <v>0.65842167255594808</v>
      </c>
      <c r="BR63" s="4">
        <f>10.9+16.9</f>
        <v>27.799999999999997</v>
      </c>
      <c r="BS63" s="4">
        <f>18.2</f>
        <v>18.2</v>
      </c>
      <c r="BT63" s="4">
        <v>9.9</v>
      </c>
      <c r="BU63" s="4">
        <f>SUM(BR63:BT63)</f>
        <v>55.9</v>
      </c>
      <c r="BV63" s="4">
        <f>BU63+BP63</f>
        <v>140.80000000000001</v>
      </c>
      <c r="BW63" s="4"/>
      <c r="BX63" s="4">
        <f>1.4+0.5+4.4+16.9+30.9</f>
        <v>54.099999999999994</v>
      </c>
      <c r="BY63" s="4"/>
      <c r="BZ63" s="4">
        <f>BV63+BX63</f>
        <v>194.9</v>
      </c>
      <c r="CA63" s="4"/>
      <c r="CB63" s="4"/>
      <c r="CC63" s="4"/>
      <c r="CD63" s="4"/>
      <c r="CE63" s="4"/>
      <c r="CF63" s="4"/>
      <c r="CG63" s="4"/>
      <c r="CH63" s="4"/>
      <c r="CI63" s="4"/>
      <c r="CJ63" s="4"/>
      <c r="CK63" s="4"/>
      <c r="CL63" s="4"/>
      <c r="CM63" s="4"/>
      <c r="CN63" s="4"/>
      <c r="CO63" s="4"/>
      <c r="CP63" s="2" t="s">
        <v>479</v>
      </c>
      <c r="CQ63" s="2" t="s">
        <v>254</v>
      </c>
      <c r="CR63" s="10" t="s">
        <v>480</v>
      </c>
      <c r="CS63" s="9" t="s">
        <v>256</v>
      </c>
    </row>
    <row r="64" spans="1:97" s="2" customFormat="1" ht="12.75">
      <c r="A64" s="2">
        <v>61</v>
      </c>
      <c r="B64" s="2" t="s">
        <v>363</v>
      </c>
      <c r="C64" s="2" t="s">
        <v>481</v>
      </c>
      <c r="D64" s="4" t="s">
        <v>465</v>
      </c>
      <c r="E64" s="2" t="s">
        <v>482</v>
      </c>
      <c r="F64" s="2" t="s">
        <v>483</v>
      </c>
      <c r="G64" s="2">
        <v>2004</v>
      </c>
      <c r="H64" s="2">
        <v>2005</v>
      </c>
      <c r="I64" s="2">
        <v>0</v>
      </c>
      <c r="J64" s="2">
        <v>0</v>
      </c>
      <c r="K64" s="2">
        <v>0</v>
      </c>
      <c r="L64" s="2">
        <v>0</v>
      </c>
      <c r="M64" s="2">
        <v>0</v>
      </c>
      <c r="N64" s="12">
        <v>1</v>
      </c>
      <c r="O64" s="4">
        <v>15.446149999999999</v>
      </c>
      <c r="P64" s="4">
        <v>127.8</v>
      </c>
      <c r="Q64" s="4">
        <v>2075</v>
      </c>
      <c r="R64" s="4">
        <v>66</v>
      </c>
      <c r="S64" s="4">
        <v>30</v>
      </c>
      <c r="T64" s="4">
        <v>73</v>
      </c>
      <c r="U64" s="4">
        <v>1949.9</v>
      </c>
      <c r="V64" s="4">
        <v>3.4461539999999999</v>
      </c>
      <c r="W64" s="4"/>
      <c r="X64" s="4">
        <v>3.5</v>
      </c>
      <c r="Y64" s="4">
        <v>4.7</v>
      </c>
      <c r="Z64" s="4"/>
      <c r="AA64" s="4"/>
      <c r="AB64" s="4"/>
      <c r="AC64" s="4"/>
      <c r="AD64" s="4"/>
      <c r="AE64" s="4"/>
      <c r="AF64" s="4"/>
      <c r="AG64" s="4"/>
      <c r="AH64" s="4"/>
      <c r="AI64" s="4"/>
      <c r="AJ64" s="4"/>
      <c r="AK64" s="4"/>
      <c r="AL64" s="4"/>
      <c r="AM64" s="4"/>
      <c r="AN64" s="4"/>
      <c r="AO64" s="4"/>
      <c r="AP64" s="4"/>
      <c r="AQ64" s="4">
        <v>534</v>
      </c>
      <c r="AR64" s="4"/>
      <c r="AS64" s="4">
        <v>91.3</v>
      </c>
      <c r="AT64" s="4">
        <v>432</v>
      </c>
      <c r="AU64" s="4">
        <f>AT64-AV64</f>
        <v>50</v>
      </c>
      <c r="AV64" s="4">
        <v>382</v>
      </c>
      <c r="AW64" s="4">
        <v>14867</v>
      </c>
      <c r="AX64" s="4">
        <v>5.9</v>
      </c>
      <c r="AY64" s="4">
        <v>9.5</v>
      </c>
      <c r="AZ64" s="4">
        <v>46.4</v>
      </c>
      <c r="BA64" s="4"/>
      <c r="BB64" s="4"/>
      <c r="BC64" s="4"/>
      <c r="BD64" s="4"/>
      <c r="BE64" s="4"/>
      <c r="BF64" s="4"/>
      <c r="BG64" s="4"/>
      <c r="BH64" s="4"/>
      <c r="BI64" s="4"/>
      <c r="BJ64" s="4"/>
      <c r="BK64" s="4"/>
      <c r="BL64" s="4"/>
      <c r="BM64" s="4">
        <f>4.56*50%</f>
        <v>2.2799999999999998</v>
      </c>
      <c r="BN64" s="4">
        <f>11.9*50%</f>
        <v>5.95</v>
      </c>
      <c r="BO64" s="4">
        <f>71.4*50%</f>
        <v>35.700000000000003</v>
      </c>
      <c r="BP64" s="4">
        <f t="shared" si="5"/>
        <v>43.930000000000007</v>
      </c>
      <c r="BQ64" s="4"/>
      <c r="BR64" s="4"/>
      <c r="BS64" s="4"/>
      <c r="BT64" s="4"/>
      <c r="BU64" s="4"/>
      <c r="BV64" s="4"/>
      <c r="BW64" s="4"/>
      <c r="BX64" s="4"/>
      <c r="BY64" s="4"/>
      <c r="BZ64" s="4"/>
      <c r="CA64" s="4">
        <f>(4.8+0.87)*50%</f>
        <v>2.835</v>
      </c>
      <c r="CB64" s="4">
        <f>3.07*50%</f>
        <v>1.5349999999999999</v>
      </c>
      <c r="CC64" s="4">
        <f>10*50%</f>
        <v>5</v>
      </c>
      <c r="CD64" s="4">
        <f>7.45*50%</f>
        <v>3.7250000000000001</v>
      </c>
      <c r="CE64" s="4"/>
      <c r="CF64" s="4">
        <f>SUM(CA64:CC64)</f>
        <v>9.370000000000001</v>
      </c>
      <c r="CG64" s="4"/>
      <c r="CH64" s="4"/>
      <c r="CI64" s="4"/>
      <c r="CJ64" s="4"/>
      <c r="CK64" s="4"/>
      <c r="CL64" s="4"/>
      <c r="CM64" s="4"/>
      <c r="CN64" s="4"/>
      <c r="CP64" s="2" t="s">
        <v>484</v>
      </c>
      <c r="CQ64" s="2" t="s">
        <v>254</v>
      </c>
      <c r="CR64" s="10" t="s">
        <v>485</v>
      </c>
      <c r="CS64" s="9" t="s">
        <v>256</v>
      </c>
    </row>
    <row r="65" spans="1:97" s="2" customFormat="1" ht="12.75">
      <c r="A65" s="2">
        <v>62</v>
      </c>
      <c r="B65" s="2" t="s">
        <v>486</v>
      </c>
      <c r="C65" s="2" t="s">
        <v>487</v>
      </c>
      <c r="D65" s="4" t="s">
        <v>488</v>
      </c>
      <c r="E65" s="2" t="s">
        <v>489</v>
      </c>
      <c r="F65" s="2" t="s">
        <v>490</v>
      </c>
      <c r="G65" s="2">
        <v>2005</v>
      </c>
      <c r="H65" s="2">
        <v>2005</v>
      </c>
      <c r="I65" s="2">
        <v>1</v>
      </c>
      <c r="J65" s="2">
        <v>1</v>
      </c>
      <c r="K65" s="2">
        <v>1</v>
      </c>
      <c r="L65" s="2">
        <v>1</v>
      </c>
      <c r="M65" s="2">
        <v>0</v>
      </c>
      <c r="N65" s="2">
        <v>0</v>
      </c>
      <c r="O65" s="4">
        <f>(0.3+26)/2</f>
        <v>13.15</v>
      </c>
      <c r="P65" s="4">
        <f>(O65-5)*12</f>
        <v>97.800000000000011</v>
      </c>
      <c r="Q65" s="4">
        <v>1503</v>
      </c>
      <c r="R65" s="4"/>
      <c r="S65" s="4">
        <v>33</v>
      </c>
      <c r="T65" s="4"/>
      <c r="U65" s="4"/>
      <c r="V65" s="4"/>
      <c r="W65" s="4"/>
      <c r="X65" s="4"/>
      <c r="Y65" s="4">
        <v>4.45</v>
      </c>
      <c r="Z65" s="4">
        <v>0.97</v>
      </c>
      <c r="AA65" s="4"/>
      <c r="AB65" s="4"/>
      <c r="AC65" s="4">
        <v>382.85</v>
      </c>
      <c r="AD65" s="4"/>
      <c r="AE65" s="4">
        <v>6.1</v>
      </c>
      <c r="AF65" s="4">
        <v>0.28999999999999998</v>
      </c>
      <c r="AG65" s="4">
        <v>2</v>
      </c>
      <c r="AH65" s="4">
        <v>0.53</v>
      </c>
      <c r="AI65" s="4"/>
      <c r="AJ65" s="4"/>
      <c r="AK65" s="4"/>
      <c r="AL65" s="4">
        <v>45.1</v>
      </c>
      <c r="AM65" s="4">
        <v>17.3</v>
      </c>
      <c r="AN65" s="4">
        <v>6.1</v>
      </c>
      <c r="AO65" s="4">
        <v>3.6</v>
      </c>
      <c r="AP65" s="4">
        <v>3.5</v>
      </c>
      <c r="AQ65" s="4"/>
      <c r="AR65" s="4"/>
      <c r="AS65" s="4"/>
      <c r="AT65" s="4"/>
      <c r="AV65" s="4"/>
      <c r="AW65" s="4">
        <v>6133</v>
      </c>
      <c r="AX65" s="4">
        <v>8.3000000000000007</v>
      </c>
      <c r="AY65" s="4">
        <v>12</v>
      </c>
      <c r="AZ65" s="4">
        <f>(AX65/2)^2*PI()*AW65/10000</f>
        <v>33.183258542906927</v>
      </c>
      <c r="BA65" s="4"/>
      <c r="BB65" s="4"/>
      <c r="BC65" s="4"/>
      <c r="BD65" s="4"/>
      <c r="BE65" s="4"/>
      <c r="BF65" s="4"/>
      <c r="BG65" s="4"/>
      <c r="BH65" s="4"/>
      <c r="BI65" s="4"/>
      <c r="BJ65" s="4"/>
      <c r="BK65" s="4"/>
      <c r="BL65" s="4"/>
      <c r="BM65" s="4">
        <f>16.29/2</f>
        <v>8.1449999999999996</v>
      </c>
      <c r="BN65" s="4">
        <f>11.17/2</f>
        <v>5.585</v>
      </c>
      <c r="BO65" s="4">
        <f>40.98/2</f>
        <v>20.49</v>
      </c>
      <c r="BP65" s="4">
        <f>69.65/2</f>
        <v>34.825000000000003</v>
      </c>
      <c r="BQ65" s="4">
        <f>BU65/BP65</f>
        <v>0.3043790380473797</v>
      </c>
      <c r="BR65" s="4">
        <f>7.45/2</f>
        <v>3.7250000000000001</v>
      </c>
      <c r="BS65" s="4">
        <f>13.72/2</f>
        <v>6.86</v>
      </c>
      <c r="BT65" s="4"/>
      <c r="BU65" s="4">
        <f>(13.7+7.5)/2</f>
        <v>10.6</v>
      </c>
      <c r="BV65" s="4">
        <f>BU65+BP65</f>
        <v>45.425000000000004</v>
      </c>
      <c r="BW65" s="4"/>
      <c r="BX65" s="4"/>
      <c r="BY65" s="4"/>
      <c r="BZ65" s="4"/>
      <c r="CA65" s="4"/>
      <c r="CB65" s="4"/>
      <c r="CC65" s="4"/>
      <c r="CD65" s="4"/>
      <c r="CE65" s="4"/>
      <c r="CF65" s="4"/>
      <c r="CG65" s="4"/>
      <c r="CH65" s="4"/>
      <c r="CI65" s="4"/>
      <c r="CJ65" s="4"/>
      <c r="CK65" s="4"/>
      <c r="CL65" s="4"/>
      <c r="CM65" s="4"/>
      <c r="CN65" s="4"/>
      <c r="CO65" s="4"/>
      <c r="CP65" s="2" t="s">
        <v>491</v>
      </c>
      <c r="CQ65" s="2" t="s">
        <v>254</v>
      </c>
      <c r="CR65" s="10" t="s">
        <v>492</v>
      </c>
      <c r="CS65" s="9" t="s">
        <v>256</v>
      </c>
    </row>
    <row r="66" spans="1:97" s="2" customFormat="1" ht="12.75">
      <c r="A66" s="2">
        <v>63</v>
      </c>
      <c r="B66" s="2" t="s">
        <v>486</v>
      </c>
      <c r="C66" s="2" t="s">
        <v>487</v>
      </c>
      <c r="D66" s="4" t="s">
        <v>488</v>
      </c>
      <c r="E66" s="2" t="s">
        <v>493</v>
      </c>
      <c r="F66" s="2" t="s">
        <v>494</v>
      </c>
      <c r="G66" s="2">
        <v>2011</v>
      </c>
      <c r="H66" s="2">
        <v>2011</v>
      </c>
      <c r="I66" s="2">
        <v>0</v>
      </c>
      <c r="J66" s="2">
        <v>0</v>
      </c>
      <c r="K66" s="2">
        <v>0</v>
      </c>
      <c r="L66" s="2">
        <v>0</v>
      </c>
      <c r="M66" s="2">
        <v>0</v>
      </c>
      <c r="N66" s="2">
        <v>0</v>
      </c>
      <c r="O66" s="4">
        <f>(0.3+26)/2</f>
        <v>13.15</v>
      </c>
      <c r="P66" s="4">
        <f>(O66-5)*12</f>
        <v>97.800000000000011</v>
      </c>
      <c r="Q66" s="4">
        <v>1503</v>
      </c>
      <c r="R66" s="4"/>
      <c r="S66" s="4">
        <v>33</v>
      </c>
      <c r="T66" s="4"/>
      <c r="U66" s="4"/>
      <c r="V66" s="4"/>
      <c r="W66" s="4"/>
      <c r="X66" s="4"/>
      <c r="Y66" s="4">
        <v>4.45</v>
      </c>
      <c r="Z66" s="4">
        <v>0.97</v>
      </c>
      <c r="AA66" s="4"/>
      <c r="AB66" s="4"/>
      <c r="AC66" s="4">
        <v>382.85</v>
      </c>
      <c r="AD66" s="4"/>
      <c r="AE66" s="4">
        <v>6.1</v>
      </c>
      <c r="AF66" s="4">
        <v>0.28999999999999998</v>
      </c>
      <c r="AG66" s="4">
        <v>2</v>
      </c>
      <c r="AH66" s="4">
        <v>0.53</v>
      </c>
      <c r="AI66" s="4"/>
      <c r="AJ66" s="4"/>
      <c r="AK66" s="4"/>
      <c r="AL66" s="4">
        <v>45.1</v>
      </c>
      <c r="AM66" s="4">
        <v>17.3</v>
      </c>
      <c r="AN66" s="4">
        <v>6.1</v>
      </c>
      <c r="AO66" s="4">
        <v>3.6</v>
      </c>
      <c r="AP66" s="4">
        <v>3.5</v>
      </c>
      <c r="AQ66" s="4"/>
      <c r="AR66" s="4"/>
      <c r="AS66" s="4"/>
      <c r="AT66" s="4"/>
      <c r="AV66" s="4"/>
      <c r="AW66" s="4">
        <v>3050</v>
      </c>
      <c r="AX66" s="4">
        <v>8.9</v>
      </c>
      <c r="AY66" s="4">
        <v>13.2</v>
      </c>
      <c r="AZ66" s="4">
        <f>(AX66/2)^2*PI()*AW66/10000</f>
        <v>18.974473499427123</v>
      </c>
      <c r="BA66" s="4"/>
      <c r="BB66" s="4"/>
      <c r="BC66" s="4"/>
      <c r="BD66" s="4"/>
      <c r="BE66" s="4"/>
      <c r="BF66" s="4"/>
      <c r="BG66" s="4"/>
      <c r="BH66" s="4"/>
      <c r="BI66" s="4"/>
      <c r="BJ66" s="4"/>
      <c r="BK66" s="4"/>
      <c r="BL66" s="4"/>
      <c r="BM66" s="4">
        <f>8.01/2</f>
        <v>4.0049999999999999</v>
      </c>
      <c r="BN66" s="4">
        <f>9.29/2</f>
        <v>4.6449999999999996</v>
      </c>
      <c r="BO66" s="4">
        <f>40.47/2</f>
        <v>20.234999999999999</v>
      </c>
      <c r="BP66" s="4">
        <f>57.77/2</f>
        <v>28.885000000000002</v>
      </c>
      <c r="BQ66" s="4">
        <f>BU66/BP66</f>
        <v>0.92348970053661072</v>
      </c>
      <c r="BR66" s="4">
        <f>9.93/2</f>
        <v>4.9649999999999999</v>
      </c>
      <c r="BS66" s="4">
        <f>43.43/2</f>
        <v>21.715</v>
      </c>
      <c r="BT66" s="4"/>
      <c r="BU66" s="4">
        <f>53.35/2</f>
        <v>26.675000000000001</v>
      </c>
      <c r="BV66" s="4">
        <f>BU66+BP66</f>
        <v>55.56</v>
      </c>
      <c r="BW66" s="4"/>
      <c r="BX66" s="4"/>
      <c r="BY66" s="4"/>
      <c r="BZ66" s="4"/>
      <c r="CA66" s="4"/>
      <c r="CB66" s="4"/>
      <c r="CC66" s="4"/>
      <c r="CD66" s="4"/>
      <c r="CE66" s="4"/>
      <c r="CF66" s="4"/>
      <c r="CG66" s="4"/>
      <c r="CH66" s="4"/>
      <c r="CI66" s="4"/>
      <c r="CJ66" s="4"/>
      <c r="CK66" s="4"/>
      <c r="CL66" s="4"/>
      <c r="CM66" s="4"/>
      <c r="CN66" s="4"/>
      <c r="CO66" s="4"/>
      <c r="CP66" s="2" t="s">
        <v>495</v>
      </c>
      <c r="CQ66" s="2" t="s">
        <v>254</v>
      </c>
      <c r="CR66" s="10" t="s">
        <v>496</v>
      </c>
      <c r="CS66" s="9" t="s">
        <v>256</v>
      </c>
    </row>
    <row r="67" spans="1:97" s="2" customFormat="1" ht="12.75">
      <c r="A67" s="2">
        <v>64</v>
      </c>
      <c r="B67" s="2" t="s">
        <v>486</v>
      </c>
      <c r="C67" s="2" t="s">
        <v>497</v>
      </c>
      <c r="D67" s="4" t="s">
        <v>488</v>
      </c>
      <c r="E67" s="2" t="s">
        <v>493</v>
      </c>
      <c r="F67" s="2" t="s">
        <v>498</v>
      </c>
      <c r="G67" s="2">
        <v>1996</v>
      </c>
      <c r="H67" s="2">
        <v>1996</v>
      </c>
      <c r="I67" s="2">
        <v>0</v>
      </c>
      <c r="J67" s="2">
        <v>0</v>
      </c>
      <c r="K67" s="2">
        <v>0</v>
      </c>
      <c r="L67" s="2">
        <v>0</v>
      </c>
      <c r="M67" s="2">
        <v>0</v>
      </c>
      <c r="O67" s="4">
        <f>(5+15)/2</f>
        <v>10</v>
      </c>
      <c r="P67" s="4">
        <f>(O67-5)*12</f>
        <v>60</v>
      </c>
      <c r="Q67" s="4"/>
      <c r="R67" s="4"/>
      <c r="S67" s="4">
        <v>150</v>
      </c>
      <c r="T67" s="4"/>
      <c r="U67" s="4"/>
      <c r="V67" s="4"/>
      <c r="W67" s="4"/>
      <c r="X67" s="4"/>
      <c r="Y67" s="4">
        <v>4.8</v>
      </c>
      <c r="Z67" s="4">
        <v>0.34200000000000003</v>
      </c>
      <c r="AA67" s="4"/>
      <c r="AB67" s="4"/>
      <c r="AC67" s="4">
        <v>281.10000000000002</v>
      </c>
      <c r="AD67" s="4"/>
      <c r="AE67" s="4"/>
      <c r="AF67" s="4">
        <v>0.35</v>
      </c>
      <c r="AG67" s="4">
        <v>1.48</v>
      </c>
      <c r="AH67" s="4">
        <v>0.2</v>
      </c>
      <c r="AI67" s="4"/>
      <c r="AJ67" s="4"/>
      <c r="AK67" s="4"/>
      <c r="AL67" s="4"/>
      <c r="AM67" s="4"/>
      <c r="AN67" s="4"/>
      <c r="AO67" s="4"/>
      <c r="AP67" s="4"/>
      <c r="AQ67" s="4"/>
      <c r="AR67" s="4"/>
      <c r="AS67" s="4"/>
      <c r="AT67" s="4"/>
      <c r="AV67" s="4"/>
      <c r="AW67" s="4">
        <v>7500</v>
      </c>
      <c r="AX67" s="4">
        <v>8.1999999999999993</v>
      </c>
      <c r="AY67" s="4">
        <v>11.9</v>
      </c>
      <c r="AZ67" s="4">
        <v>40.5</v>
      </c>
      <c r="BA67" s="4"/>
      <c r="BB67" s="4"/>
      <c r="BC67" s="4"/>
      <c r="BD67" s="4"/>
      <c r="BE67" s="4"/>
      <c r="BF67" s="4"/>
      <c r="BG67" s="4"/>
      <c r="BH67" s="4"/>
      <c r="BI67" s="4"/>
      <c r="BJ67" s="4"/>
      <c r="BK67" s="4"/>
      <c r="BL67" s="4"/>
      <c r="BM67" s="4">
        <f>3.849/2</f>
        <v>1.9245000000000001</v>
      </c>
      <c r="BN67" s="4">
        <f>6.499/2</f>
        <v>3.2494999999999998</v>
      </c>
      <c r="BO67" s="4">
        <f>61.428/2</f>
        <v>30.713999999999999</v>
      </c>
      <c r="BP67" s="4">
        <f>71.76/2</f>
        <v>35.880000000000003</v>
      </c>
      <c r="BQ67" s="4">
        <f>BU67/BP67</f>
        <v>0.44377090301003341</v>
      </c>
      <c r="BR67" s="4">
        <f>9.928/2</f>
        <v>4.9640000000000004</v>
      </c>
      <c r="BS67" s="4">
        <f>21.917/2</f>
        <v>10.958500000000001</v>
      </c>
      <c r="BT67" s="4"/>
      <c r="BU67" s="4">
        <f>31.845/2</f>
        <v>15.922499999999999</v>
      </c>
      <c r="BV67" s="4">
        <f>BU67+BP67</f>
        <v>51.802500000000002</v>
      </c>
      <c r="BW67" s="4"/>
      <c r="BX67" s="4"/>
      <c r="BY67" s="4"/>
      <c r="BZ67" s="4"/>
      <c r="CA67" s="4">
        <f>1.366/2</f>
        <v>0.68300000000000005</v>
      </c>
      <c r="CB67" s="4">
        <f>0.69/2</f>
        <v>0.34499999999999997</v>
      </c>
      <c r="CC67" s="4">
        <f>6.115/2</f>
        <v>3.0575000000000001</v>
      </c>
      <c r="CD67" s="4"/>
      <c r="CE67" s="4"/>
      <c r="CF67" s="4">
        <f>8.171/2</f>
        <v>4.0854999999999997</v>
      </c>
      <c r="CG67" s="4">
        <f>1.027/2</f>
        <v>0.51349999999999996</v>
      </c>
      <c r="CH67" s="4">
        <f>2.266/2</f>
        <v>1.133</v>
      </c>
      <c r="CI67" s="4"/>
      <c r="CJ67" s="4">
        <f>3.293/2</f>
        <v>1.6465000000000001</v>
      </c>
      <c r="CK67" s="4">
        <f>CF67+CJ67</f>
        <v>5.7319999999999993</v>
      </c>
      <c r="CL67" s="4"/>
      <c r="CM67" s="4"/>
      <c r="CN67" s="4"/>
      <c r="CO67" s="4"/>
      <c r="CP67" s="2" t="s">
        <v>499</v>
      </c>
      <c r="CQ67" s="2" t="s">
        <v>254</v>
      </c>
      <c r="CR67" s="10" t="s">
        <v>500</v>
      </c>
      <c r="CS67" s="9" t="s">
        <v>256</v>
      </c>
    </row>
    <row r="68" spans="1:97" s="2" customFormat="1" ht="14.25">
      <c r="A68" s="2">
        <v>65</v>
      </c>
      <c r="B68" s="2" t="s">
        <v>114</v>
      </c>
      <c r="C68" s="2" t="s">
        <v>501</v>
      </c>
      <c r="D68" s="4" t="s">
        <v>261</v>
      </c>
      <c r="E68" s="2" t="s">
        <v>502</v>
      </c>
      <c r="F68" s="2" t="s">
        <v>503</v>
      </c>
      <c r="G68" s="2">
        <v>2007</v>
      </c>
      <c r="H68" s="2">
        <v>2007</v>
      </c>
      <c r="I68" s="2">
        <v>0</v>
      </c>
      <c r="J68" s="2">
        <v>0</v>
      </c>
      <c r="K68" s="2">
        <v>0</v>
      </c>
      <c r="L68" s="2">
        <v>1</v>
      </c>
      <c r="M68" s="2">
        <v>0</v>
      </c>
      <c r="N68" s="2">
        <v>0</v>
      </c>
      <c r="O68" s="4">
        <v>15.3</v>
      </c>
      <c r="P68" s="4">
        <v>123.60000000000001</v>
      </c>
      <c r="Q68" s="4">
        <v>4618</v>
      </c>
      <c r="R68" s="4">
        <v>0</v>
      </c>
      <c r="S68" s="4">
        <v>1300</v>
      </c>
      <c r="T68" s="4">
        <v>87.9</v>
      </c>
      <c r="U68" s="4">
        <v>1449.4</v>
      </c>
      <c r="V68" s="4">
        <v>1.233333</v>
      </c>
      <c r="W68" s="4"/>
      <c r="X68" s="4">
        <f>(3.8+4.04)/2</f>
        <v>3.92</v>
      </c>
      <c r="Y68" s="4">
        <f>(4.6+5.1)/2</f>
        <v>4.8499999999999996</v>
      </c>
      <c r="Z68" s="4">
        <f>(0.68+0.56)/2</f>
        <v>0.62000000000000011</v>
      </c>
      <c r="AA68" s="4"/>
      <c r="AB68" s="4"/>
      <c r="AC68" s="4">
        <f>1.96*(16*5+30*2)/30</f>
        <v>9.1466666666666665</v>
      </c>
      <c r="AD68" s="4"/>
      <c r="AE68" s="4">
        <f>(2.93+2.52)/2</f>
        <v>2.7250000000000001</v>
      </c>
      <c r="AF68" s="4">
        <f>(0.3415+0.4335)/2</f>
        <v>0.38750000000000001</v>
      </c>
      <c r="AG68" s="4">
        <f>(0.5951+0.7592)/2</f>
        <v>0.67714999999999992</v>
      </c>
      <c r="AH68" s="4">
        <f>(0.1174+0.1507)/2</f>
        <v>0.13405</v>
      </c>
      <c r="AI68" s="4">
        <f>(28+33.4)/2</f>
        <v>30.7</v>
      </c>
      <c r="AJ68" s="4">
        <f>(34.8+24.6)/2</f>
        <v>29.7</v>
      </c>
      <c r="AK68" s="4">
        <f>(37.2+42)/2</f>
        <v>39.6</v>
      </c>
      <c r="AL68" s="4"/>
      <c r="AM68" s="4"/>
      <c r="AN68" s="4"/>
      <c r="AO68" s="4"/>
      <c r="AP68" s="4"/>
      <c r="AQ68" s="4"/>
      <c r="AR68" s="4"/>
      <c r="AS68" s="4"/>
      <c r="AT68" s="4"/>
      <c r="AV68" s="4"/>
      <c r="AW68" s="4">
        <v>8344</v>
      </c>
      <c r="AX68" s="4">
        <v>10.6</v>
      </c>
      <c r="AY68" s="4">
        <v>21.4</v>
      </c>
      <c r="AZ68" s="4">
        <f t="shared" ref="AZ68:AZ82" si="7">(AX68/2)^2*PI()*AW68/10000</f>
        <v>73.633578526263037</v>
      </c>
      <c r="BA68" s="4"/>
      <c r="BB68" s="4"/>
      <c r="BC68" s="4"/>
      <c r="BD68" s="4">
        <v>45.67</v>
      </c>
      <c r="BE68" s="4">
        <v>48.27</v>
      </c>
      <c r="BF68" s="4">
        <v>48.34</v>
      </c>
      <c r="BG68" s="4"/>
      <c r="BH68" s="4"/>
      <c r="BI68" s="4"/>
      <c r="BJ68" s="4"/>
      <c r="BK68" s="4">
        <v>5.74</v>
      </c>
      <c r="BL68" s="4">
        <v>4</v>
      </c>
      <c r="BM68" s="4">
        <f>4.4*BD68/100</f>
        <v>2.0094800000000004</v>
      </c>
      <c r="BN68" s="4">
        <f>12*BE68/100</f>
        <v>5.7923999999999998</v>
      </c>
      <c r="BO68" s="4">
        <f>151.7*BF68/100</f>
        <v>73.331779999999995</v>
      </c>
      <c r="BP68" s="4">
        <f>BM68+BN68+BO68</f>
        <v>81.133659999999992</v>
      </c>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2" t="s">
        <v>504</v>
      </c>
      <c r="CQ68" s="2" t="s">
        <v>254</v>
      </c>
      <c r="CR68" s="10" t="s">
        <v>505</v>
      </c>
      <c r="CS68" s="9" t="s">
        <v>256</v>
      </c>
    </row>
    <row r="69" spans="1:97" s="2" customFormat="1" ht="12.75">
      <c r="A69" s="2">
        <v>66</v>
      </c>
      <c r="B69" s="2" t="s">
        <v>114</v>
      </c>
      <c r="C69" s="2" t="s">
        <v>506</v>
      </c>
      <c r="D69" s="4" t="s">
        <v>507</v>
      </c>
      <c r="E69" s="2" t="s">
        <v>508</v>
      </c>
      <c r="F69" s="2" t="s">
        <v>509</v>
      </c>
      <c r="G69" s="2">
        <v>2008</v>
      </c>
      <c r="H69" s="2">
        <v>2009</v>
      </c>
      <c r="I69" s="2">
        <v>1</v>
      </c>
      <c r="J69" s="2">
        <v>0</v>
      </c>
      <c r="K69" s="2">
        <v>0</v>
      </c>
      <c r="L69" s="2">
        <v>1</v>
      </c>
      <c r="M69" s="2">
        <v>0</v>
      </c>
      <c r="N69" s="2">
        <v>1</v>
      </c>
      <c r="O69" s="4">
        <v>23</v>
      </c>
      <c r="P69" s="4">
        <f>(O69-5)*12</f>
        <v>216</v>
      </c>
      <c r="Q69" s="4">
        <v>2600</v>
      </c>
      <c r="R69" s="4">
        <v>0</v>
      </c>
      <c r="S69" s="4">
        <v>1135</v>
      </c>
      <c r="T69" s="4">
        <v>81.458330000000004</v>
      </c>
      <c r="U69" s="4">
        <v>1222</v>
      </c>
      <c r="V69" s="4">
        <v>0.65833299999999995</v>
      </c>
      <c r="W69" s="4"/>
      <c r="X69" s="4"/>
      <c r="Y69" s="4"/>
      <c r="Z69" s="4"/>
      <c r="AA69" s="4"/>
      <c r="AB69" s="4"/>
      <c r="AC69" s="4"/>
      <c r="AD69" s="4"/>
      <c r="AE69" s="4"/>
      <c r="AF69" s="4"/>
      <c r="AG69" s="4"/>
      <c r="AH69" s="4"/>
      <c r="AI69" s="4"/>
      <c r="AJ69" s="4"/>
      <c r="AK69" s="4"/>
      <c r="AL69" s="4"/>
      <c r="AM69" s="4"/>
      <c r="AN69" s="4"/>
      <c r="AO69" s="4"/>
      <c r="AP69" s="4"/>
      <c r="AQ69" s="4"/>
      <c r="AR69" s="4"/>
      <c r="AS69" s="4"/>
      <c r="AT69" s="4"/>
      <c r="AV69" s="4"/>
      <c r="AW69" s="4">
        <v>3767</v>
      </c>
      <c r="AX69" s="4">
        <v>9.9</v>
      </c>
      <c r="AY69" s="4">
        <v>13.4</v>
      </c>
      <c r="AZ69" s="4">
        <f t="shared" si="7"/>
        <v>28.99718843375976</v>
      </c>
      <c r="BA69" s="4">
        <v>25.1</v>
      </c>
      <c r="BB69" s="4">
        <v>6.1</v>
      </c>
      <c r="BC69" s="4">
        <v>4.5999999999999996</v>
      </c>
      <c r="BD69" s="4"/>
      <c r="BE69" s="4"/>
      <c r="BF69" s="4"/>
      <c r="BG69" s="4"/>
      <c r="BH69" s="4"/>
      <c r="BI69" s="4"/>
      <c r="BJ69" s="4"/>
      <c r="BK69" s="4"/>
      <c r="BL69" s="4"/>
      <c r="BM69" s="4">
        <f>3.2*0.5</f>
        <v>1.6</v>
      </c>
      <c r="BN69" s="4">
        <f>10.1*0.5</f>
        <v>5.05</v>
      </c>
      <c r="BO69" s="4">
        <f>60.6*0.5</f>
        <v>30.3</v>
      </c>
      <c r="BP69" s="4">
        <f>SUM(BM69:BO69)</f>
        <v>36.950000000000003</v>
      </c>
      <c r="BQ69" s="4">
        <f>BU69/BP69</f>
        <v>1.23680649526387</v>
      </c>
      <c r="BR69" s="4">
        <f>6.4*0.5</f>
        <v>3.2</v>
      </c>
      <c r="BS69" s="4">
        <f>67.1*0.5</f>
        <v>33.549999999999997</v>
      </c>
      <c r="BT69" s="4">
        <f>17.9*0.5</f>
        <v>8.9499999999999993</v>
      </c>
      <c r="BU69" s="4">
        <f>SUM(BR69:BT69)</f>
        <v>45.7</v>
      </c>
      <c r="BV69" s="4">
        <f>BU69+BP69</f>
        <v>82.65</v>
      </c>
      <c r="BW69" s="4"/>
      <c r="BX69" s="4"/>
      <c r="BY69" s="4"/>
      <c r="BZ69" s="4"/>
      <c r="CA69" s="4">
        <f>0.3*0.5</f>
        <v>0.15</v>
      </c>
      <c r="CB69" s="4">
        <f>1.1*0.5</f>
        <v>0.55000000000000004</v>
      </c>
      <c r="CC69" s="4">
        <f>6.9*0.5</f>
        <v>3.45</v>
      </c>
      <c r="CD69" s="4"/>
      <c r="CE69" s="4"/>
      <c r="CF69" s="4">
        <f>SUM(CA69:CD69)</f>
        <v>4.1500000000000004</v>
      </c>
      <c r="CG69" s="4"/>
      <c r="CH69" s="4"/>
      <c r="CI69" s="4"/>
      <c r="CJ69" s="4"/>
      <c r="CK69" s="4"/>
      <c r="CL69" s="4"/>
      <c r="CM69" s="4"/>
      <c r="CN69" s="4"/>
      <c r="CO69" s="4"/>
      <c r="CP69" s="2" t="s">
        <v>510</v>
      </c>
      <c r="CQ69" s="2" t="s">
        <v>254</v>
      </c>
      <c r="CR69" s="10" t="s">
        <v>511</v>
      </c>
      <c r="CS69" s="9" t="s">
        <v>256</v>
      </c>
    </row>
    <row r="70" spans="1:97" s="2" customFormat="1" ht="12.75">
      <c r="A70" s="2">
        <v>67</v>
      </c>
      <c r="B70" s="2" t="s">
        <v>114</v>
      </c>
      <c r="C70" s="2" t="s">
        <v>506</v>
      </c>
      <c r="D70" s="4" t="s">
        <v>507</v>
      </c>
      <c r="E70" s="2" t="s">
        <v>512</v>
      </c>
      <c r="F70" s="14" t="s">
        <v>513</v>
      </c>
      <c r="G70" s="2">
        <v>2008</v>
      </c>
      <c r="H70" s="2">
        <v>2009</v>
      </c>
      <c r="I70" s="2">
        <v>0</v>
      </c>
      <c r="J70" s="2">
        <v>0</v>
      </c>
      <c r="K70" s="2">
        <v>0</v>
      </c>
      <c r="L70" s="2">
        <v>0</v>
      </c>
      <c r="M70" s="2">
        <v>0</v>
      </c>
      <c r="N70" s="2">
        <v>0</v>
      </c>
      <c r="O70" s="4">
        <v>23</v>
      </c>
      <c r="P70" s="4">
        <f>(O70-5)*12</f>
        <v>216</v>
      </c>
      <c r="Q70" s="4">
        <v>2600</v>
      </c>
      <c r="R70" s="4">
        <v>0</v>
      </c>
      <c r="S70" s="4">
        <v>1135</v>
      </c>
      <c r="T70" s="4">
        <v>81.458330000000004</v>
      </c>
      <c r="U70" s="4">
        <v>1222</v>
      </c>
      <c r="V70" s="4">
        <v>0.65833299999999995</v>
      </c>
      <c r="W70" s="4"/>
      <c r="X70" s="4"/>
      <c r="Y70" s="4"/>
      <c r="Z70" s="4"/>
      <c r="AA70" s="4"/>
      <c r="AB70" s="4"/>
      <c r="AC70" s="4"/>
      <c r="AD70" s="4"/>
      <c r="AE70" s="4"/>
      <c r="AF70" s="4"/>
      <c r="AG70" s="4"/>
      <c r="AH70" s="4"/>
      <c r="AI70" s="4"/>
      <c r="AJ70" s="4"/>
      <c r="AK70" s="4"/>
      <c r="AL70" s="4"/>
      <c r="AM70" s="4"/>
      <c r="AN70" s="4"/>
      <c r="AO70" s="4"/>
      <c r="AP70" s="4"/>
      <c r="AQ70" s="4"/>
      <c r="AR70" s="4"/>
      <c r="AS70" s="4"/>
      <c r="AT70" s="4"/>
      <c r="AV70" s="4"/>
      <c r="AW70" s="4">
        <v>5000</v>
      </c>
      <c r="AX70" s="4">
        <v>9.6999999999999993</v>
      </c>
      <c r="AY70" s="4">
        <v>13.6</v>
      </c>
      <c r="AZ70" s="4">
        <f t="shared" si="7"/>
        <v>36.94905659703295</v>
      </c>
      <c r="BA70" s="4">
        <v>24.6</v>
      </c>
      <c r="BB70" s="4">
        <v>5.4</v>
      </c>
      <c r="BC70" s="4">
        <v>5.6</v>
      </c>
      <c r="BD70" s="4"/>
      <c r="BE70" s="4"/>
      <c r="BF70" s="4"/>
      <c r="BG70" s="4"/>
      <c r="BH70" s="4"/>
      <c r="BI70" s="4"/>
      <c r="BJ70" s="4"/>
      <c r="BK70" s="4"/>
      <c r="BL70" s="4"/>
      <c r="BM70" s="4">
        <f>3.8*0.5</f>
        <v>1.9</v>
      </c>
      <c r="BN70" s="4">
        <f>12.4*0.5</f>
        <v>6.2</v>
      </c>
      <c r="BO70" s="4">
        <f>75.7*0.5</f>
        <v>37.85</v>
      </c>
      <c r="BP70" s="4">
        <f>SUM(BM70:BO70)</f>
        <v>45.95</v>
      </c>
      <c r="BQ70" s="4">
        <f>BU70/BP70</f>
        <v>1.0228509249183895</v>
      </c>
      <c r="BR70" s="4">
        <f>6.2*0.5</f>
        <v>3.1</v>
      </c>
      <c r="BS70" s="4">
        <f>64.8*0.5</f>
        <v>32.4</v>
      </c>
      <c r="BT70" s="4">
        <f>23*0.5</f>
        <v>11.5</v>
      </c>
      <c r="BU70" s="4">
        <f>SUM(BR70:BT70)</f>
        <v>47</v>
      </c>
      <c r="BV70" s="4">
        <f>BU70+BP70</f>
        <v>92.95</v>
      </c>
      <c r="BW70" s="4"/>
      <c r="BX70" s="4"/>
      <c r="BY70" s="4"/>
      <c r="BZ70" s="4"/>
      <c r="CA70" s="4">
        <f>0.4*0.5</f>
        <v>0.2</v>
      </c>
      <c r="CB70" s="4">
        <f>1.6*0.5</f>
        <v>0.8</v>
      </c>
      <c r="CC70" s="4">
        <f>9.2*0.5</f>
        <v>4.5999999999999996</v>
      </c>
      <c r="CD70" s="4"/>
      <c r="CE70" s="4"/>
      <c r="CF70" s="4">
        <f>SUM(CA70:CD70)</f>
        <v>5.6</v>
      </c>
      <c r="CG70" s="4"/>
      <c r="CH70" s="4"/>
      <c r="CI70" s="4"/>
      <c r="CJ70" s="4"/>
      <c r="CK70" s="4"/>
      <c r="CL70" s="4"/>
      <c r="CM70" s="4"/>
      <c r="CN70" s="4"/>
      <c r="CO70" s="4"/>
      <c r="CP70" s="2" t="s">
        <v>510</v>
      </c>
      <c r="CQ70" s="2" t="s">
        <v>254</v>
      </c>
      <c r="CR70" s="10" t="s">
        <v>511</v>
      </c>
      <c r="CS70" s="9" t="s">
        <v>256</v>
      </c>
    </row>
    <row r="71" spans="1:97" s="2" customFormat="1" ht="12.75">
      <c r="A71" s="2">
        <v>68</v>
      </c>
      <c r="B71" s="2" t="s">
        <v>114</v>
      </c>
      <c r="C71" s="2" t="s">
        <v>506</v>
      </c>
      <c r="D71" s="4" t="s">
        <v>507</v>
      </c>
      <c r="E71" s="14" t="s">
        <v>514</v>
      </c>
      <c r="F71" s="14" t="s">
        <v>515</v>
      </c>
      <c r="G71" s="2">
        <v>2008</v>
      </c>
      <c r="H71" s="2">
        <v>2009</v>
      </c>
      <c r="I71" s="2">
        <v>0</v>
      </c>
      <c r="J71" s="2">
        <v>0</v>
      </c>
      <c r="K71" s="2">
        <v>0</v>
      </c>
      <c r="L71" s="2">
        <v>0</v>
      </c>
      <c r="M71" s="2">
        <v>0</v>
      </c>
      <c r="N71" s="2">
        <v>0</v>
      </c>
      <c r="O71" s="4">
        <v>23</v>
      </c>
      <c r="P71" s="4">
        <f>(O71-5)*12</f>
        <v>216</v>
      </c>
      <c r="Q71" s="4">
        <v>2600</v>
      </c>
      <c r="R71" s="4">
        <v>0</v>
      </c>
      <c r="S71" s="4">
        <v>1135</v>
      </c>
      <c r="T71" s="4">
        <v>81.458330000000004</v>
      </c>
      <c r="U71" s="4">
        <v>1222</v>
      </c>
      <c r="V71" s="4">
        <v>0.65833299999999995</v>
      </c>
      <c r="W71" s="4"/>
      <c r="X71" s="4"/>
      <c r="Y71" s="4"/>
      <c r="Z71" s="4"/>
      <c r="AA71" s="4"/>
      <c r="AB71" s="4"/>
      <c r="AC71" s="4"/>
      <c r="AD71" s="4"/>
      <c r="AE71" s="4"/>
      <c r="AF71" s="4"/>
      <c r="AG71" s="4"/>
      <c r="AH71" s="4"/>
      <c r="AI71" s="4"/>
      <c r="AJ71" s="4"/>
      <c r="AK71" s="4"/>
      <c r="AL71" s="4"/>
      <c r="AM71" s="4"/>
      <c r="AN71" s="4"/>
      <c r="AO71" s="4"/>
      <c r="AP71" s="4"/>
      <c r="AQ71" s="4"/>
      <c r="AR71" s="4"/>
      <c r="AS71" s="4"/>
      <c r="AT71" s="4"/>
      <c r="AV71" s="4"/>
      <c r="AW71" s="4">
        <v>5167</v>
      </c>
      <c r="AX71" s="4">
        <v>7.6</v>
      </c>
      <c r="AY71" s="4">
        <v>12.3</v>
      </c>
      <c r="AZ71" s="4">
        <f t="shared" si="7"/>
        <v>23.439887744146176</v>
      </c>
      <c r="BA71" s="4">
        <v>37.1</v>
      </c>
      <c r="BB71" s="4">
        <v>4.9000000000000004</v>
      </c>
      <c r="BC71" s="4">
        <v>1.9</v>
      </c>
      <c r="BD71" s="4"/>
      <c r="BE71" s="4"/>
      <c r="BF71" s="4"/>
      <c r="BG71" s="4"/>
      <c r="BH71" s="4"/>
      <c r="BI71" s="4"/>
      <c r="BJ71" s="4"/>
      <c r="BK71" s="4"/>
      <c r="BL71" s="4"/>
      <c r="BM71" s="4">
        <f>1.3*0.5</f>
        <v>0.65</v>
      </c>
      <c r="BN71" s="4">
        <f>5.5*0.5</f>
        <v>2.75</v>
      </c>
      <c r="BO71" s="4">
        <f>36.5*0.5</f>
        <v>18.25</v>
      </c>
      <c r="BP71" s="4">
        <f>SUM(BM71:BO71)</f>
        <v>21.65</v>
      </c>
      <c r="BQ71" s="4">
        <f>BU71/BP71</f>
        <v>1.9769053117782913</v>
      </c>
      <c r="BR71" s="4">
        <f>6.2*0.5</f>
        <v>3.1</v>
      </c>
      <c r="BS71" s="4">
        <f>64.5*0.5</f>
        <v>32.25</v>
      </c>
      <c r="BT71" s="4">
        <f>14.9*0.5</f>
        <v>7.45</v>
      </c>
      <c r="BU71" s="4">
        <f>SUM(BR71:BT71)</f>
        <v>42.800000000000004</v>
      </c>
      <c r="BV71" s="4">
        <f>BU71+BP71</f>
        <v>64.45</v>
      </c>
      <c r="BW71" s="4"/>
      <c r="BX71" s="4"/>
      <c r="BY71" s="4"/>
      <c r="BZ71" s="4"/>
      <c r="CA71" s="4">
        <f>0.2*0.5</f>
        <v>0.1</v>
      </c>
      <c r="CB71" s="4">
        <f>0.9*0.5</f>
        <v>0.45</v>
      </c>
      <c r="CC71" s="4">
        <f>6.4*0.5</f>
        <v>3.2</v>
      </c>
      <c r="CD71" s="4"/>
      <c r="CE71" s="4"/>
      <c r="CF71" s="4">
        <f>SUM(CA71:CD71)</f>
        <v>3.75</v>
      </c>
      <c r="CG71" s="4"/>
      <c r="CH71" s="4"/>
      <c r="CI71" s="4"/>
      <c r="CJ71" s="4"/>
      <c r="CK71" s="4"/>
      <c r="CL71" s="4"/>
      <c r="CM71" s="4"/>
      <c r="CN71" s="4"/>
      <c r="CO71" s="4"/>
      <c r="CP71" s="2" t="s">
        <v>510</v>
      </c>
      <c r="CQ71" s="2" t="s">
        <v>254</v>
      </c>
      <c r="CR71" s="10" t="s">
        <v>511</v>
      </c>
      <c r="CS71" s="9" t="s">
        <v>256</v>
      </c>
    </row>
    <row r="72" spans="1:97" s="2" customFormat="1" ht="12.75">
      <c r="A72" s="2">
        <v>69</v>
      </c>
      <c r="B72" s="2" t="s">
        <v>114</v>
      </c>
      <c r="C72" s="2" t="s">
        <v>516</v>
      </c>
      <c r="D72" s="4" t="s">
        <v>507</v>
      </c>
      <c r="E72" s="2" t="s">
        <v>517</v>
      </c>
      <c r="F72" s="2" t="s">
        <v>518</v>
      </c>
      <c r="G72" s="2">
        <v>2004</v>
      </c>
      <c r="H72" s="2">
        <v>2007</v>
      </c>
      <c r="I72" s="2">
        <v>1</v>
      </c>
      <c r="J72" s="2">
        <v>1</v>
      </c>
      <c r="K72" s="2">
        <v>1</v>
      </c>
      <c r="L72" s="2">
        <v>1</v>
      </c>
      <c r="M72" s="2">
        <v>0</v>
      </c>
      <c r="N72" s="2">
        <v>0</v>
      </c>
      <c r="O72" s="4">
        <f>(11+22)/2</f>
        <v>16.5</v>
      </c>
      <c r="P72" s="4">
        <f>(O72-5)*12</f>
        <v>138</v>
      </c>
      <c r="Q72" s="4">
        <f>(1900+2500)/2</f>
        <v>2200</v>
      </c>
      <c r="R72" s="4">
        <v>0</v>
      </c>
      <c r="S72" s="4">
        <f>(1200+1500)/2</f>
        <v>1350</v>
      </c>
      <c r="T72" s="4">
        <v>82.666669999999996</v>
      </c>
      <c r="U72" s="4">
        <v>1561.7</v>
      </c>
      <c r="V72" s="4">
        <v>1.2250000000000001</v>
      </c>
      <c r="W72" s="4"/>
      <c r="X72" s="4"/>
      <c r="Y72" s="4"/>
      <c r="Z72" s="4"/>
      <c r="AA72" s="4"/>
      <c r="AB72" s="4"/>
      <c r="AC72" s="4"/>
      <c r="AD72" s="4"/>
      <c r="AE72" s="4"/>
      <c r="AF72" s="4"/>
      <c r="AG72" s="4"/>
      <c r="AH72" s="4"/>
      <c r="AI72" s="4"/>
      <c r="AJ72" s="4"/>
      <c r="AK72" s="4"/>
      <c r="AL72" s="4"/>
      <c r="AM72" s="4"/>
      <c r="AN72" s="4"/>
      <c r="AO72" s="4"/>
      <c r="AP72" s="4"/>
      <c r="AQ72" s="4"/>
      <c r="AR72" s="4"/>
      <c r="AS72" s="4"/>
      <c r="AT72" s="4"/>
      <c r="AV72" s="4"/>
      <c r="AW72" s="4">
        <v>7050</v>
      </c>
      <c r="AX72" s="4">
        <v>8.66</v>
      </c>
      <c r="AY72" s="4"/>
      <c r="AZ72" s="4">
        <f t="shared" si="7"/>
        <v>41.525491584537221</v>
      </c>
      <c r="BA72" s="4"/>
      <c r="BB72" s="4"/>
      <c r="BC72" s="4"/>
      <c r="BD72" s="4">
        <v>45.44</v>
      </c>
      <c r="BE72" s="4">
        <v>48.15</v>
      </c>
      <c r="BF72" s="4">
        <v>46.28</v>
      </c>
      <c r="BG72" s="4"/>
      <c r="BH72" s="4"/>
      <c r="BI72" s="4"/>
      <c r="BJ72" s="4"/>
      <c r="BK72" s="4"/>
      <c r="BL72" s="4"/>
      <c r="BM72" s="4">
        <f>3.19*BD72/100</f>
        <v>1.4495359999999999</v>
      </c>
      <c r="BN72" s="4">
        <f>10.19*BE72/100</f>
        <v>4.906485</v>
      </c>
      <c r="BO72" s="4">
        <f>71.94*BF72/100</f>
        <v>33.293831999999995</v>
      </c>
      <c r="BP72" s="4">
        <f>BM72+BN72+BO72</f>
        <v>39.649852999999993</v>
      </c>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2" t="s">
        <v>519</v>
      </c>
      <c r="CQ72" s="2" t="s">
        <v>254</v>
      </c>
      <c r="CR72" s="10" t="s">
        <v>520</v>
      </c>
      <c r="CS72" s="9" t="s">
        <v>256</v>
      </c>
    </row>
    <row r="73" spans="1:97" s="2" customFormat="1" ht="14.25">
      <c r="A73" s="2">
        <v>70</v>
      </c>
      <c r="B73" s="2" t="s">
        <v>114</v>
      </c>
      <c r="C73" s="2" t="s">
        <v>521</v>
      </c>
      <c r="D73" s="4" t="s">
        <v>116</v>
      </c>
      <c r="E73" s="2" t="s">
        <v>522</v>
      </c>
      <c r="F73" s="2" t="s">
        <v>523</v>
      </c>
      <c r="G73" s="2">
        <v>2007</v>
      </c>
      <c r="H73" s="2">
        <v>2007</v>
      </c>
      <c r="I73" s="2">
        <v>0</v>
      </c>
      <c r="J73" s="2">
        <v>0</v>
      </c>
      <c r="K73" s="2">
        <v>0</v>
      </c>
      <c r="L73" s="2">
        <v>0</v>
      </c>
      <c r="M73" s="2">
        <v>0</v>
      </c>
      <c r="N73" s="2">
        <v>0</v>
      </c>
      <c r="O73" s="4">
        <v>20.3</v>
      </c>
      <c r="P73" s="4">
        <v>183.60000000000002</v>
      </c>
      <c r="Q73" s="4">
        <v>3389</v>
      </c>
      <c r="R73" s="4">
        <v>0</v>
      </c>
      <c r="S73" s="4">
        <v>667</v>
      </c>
      <c r="T73" s="4">
        <v>85.2</v>
      </c>
      <c r="U73" s="4">
        <v>1599.1</v>
      </c>
      <c r="V73" s="4">
        <v>1.26</v>
      </c>
      <c r="W73" s="4"/>
      <c r="X73" s="4">
        <f>(3.75+3.8)/2</f>
        <v>3.7749999999999999</v>
      </c>
      <c r="Y73" s="4">
        <f>(4.6+4.6)/2</f>
        <v>4.5999999999999996</v>
      </c>
      <c r="Z73" s="4">
        <f>(0.55+0.4)/2</f>
        <v>0.47500000000000003</v>
      </c>
      <c r="AA73" s="4"/>
      <c r="AB73" s="4"/>
      <c r="AC73" s="4">
        <f>0.4*(16*5+30*2)/30</f>
        <v>1.8666666666666667</v>
      </c>
      <c r="AD73" s="4"/>
      <c r="AE73" s="4">
        <f>(2.42+2.34)/2</f>
        <v>2.38</v>
      </c>
      <c r="AF73" s="4">
        <f>(0.5877+0.4611)/2</f>
        <v>0.52439999999999998</v>
      </c>
      <c r="AG73" s="4">
        <f>(1.2162+1.2237)/2</f>
        <v>1.2199499999999999</v>
      </c>
      <c r="AH73" s="4">
        <f>(0.7169+0.8386)/2</f>
        <v>0.77774999999999994</v>
      </c>
      <c r="AI73" s="4">
        <f>(36+38)/2</f>
        <v>37</v>
      </c>
      <c r="AJ73" s="4">
        <f>(36.8+33)/2</f>
        <v>34.9</v>
      </c>
      <c r="AK73" s="4">
        <f>(27.2+37.2)/2</f>
        <v>32.200000000000003</v>
      </c>
      <c r="AL73" s="4"/>
      <c r="AM73" s="4"/>
      <c r="AN73" s="4"/>
      <c r="AO73" s="4"/>
      <c r="AP73" s="4"/>
      <c r="AQ73" s="4"/>
      <c r="AR73" s="4"/>
      <c r="AS73" s="4"/>
      <c r="AT73" s="4"/>
      <c r="AV73" s="4"/>
      <c r="AW73" s="4">
        <v>7933</v>
      </c>
      <c r="AX73" s="4">
        <v>6.8</v>
      </c>
      <c r="AY73" s="4">
        <v>10.3</v>
      </c>
      <c r="AZ73" s="4">
        <f t="shared" si="7"/>
        <v>28.810126226192569</v>
      </c>
      <c r="BA73" s="4"/>
      <c r="BB73" s="4"/>
      <c r="BC73" s="4"/>
      <c r="BD73" s="4">
        <v>45.44</v>
      </c>
      <c r="BE73" s="4">
        <v>48.15</v>
      </c>
      <c r="BF73" s="4">
        <v>46.28</v>
      </c>
      <c r="BG73" s="4">
        <v>44.87</v>
      </c>
      <c r="BH73" s="4">
        <v>44.87</v>
      </c>
      <c r="BI73" s="4">
        <v>43.54</v>
      </c>
      <c r="BJ73" s="4"/>
      <c r="BK73" s="4">
        <v>3.52</v>
      </c>
      <c r="BL73" s="4">
        <v>2.27</v>
      </c>
      <c r="BM73" s="4">
        <f>3.6*BD73/100</f>
        <v>1.63584</v>
      </c>
      <c r="BN73" s="4">
        <f>9.7*BE73/100</f>
        <v>4.6705499999999995</v>
      </c>
      <c r="BO73" s="4">
        <f>43.1*BF73/100</f>
        <v>19.946680000000001</v>
      </c>
      <c r="BP73" s="4">
        <f>BM73+BN73+BO73</f>
        <v>26.253070000000001</v>
      </c>
      <c r="BQ73" s="4">
        <f>BU73/BP73</f>
        <v>0.133317741506041</v>
      </c>
      <c r="BR73" s="4">
        <v>0.9</v>
      </c>
      <c r="BS73" s="4">
        <v>0.5</v>
      </c>
      <c r="BT73" s="4">
        <v>2.1</v>
      </c>
      <c r="BU73" s="4">
        <f>SUM(BR73:BT73)</f>
        <v>3.5</v>
      </c>
      <c r="BV73" s="4">
        <f>BU73+BP73</f>
        <v>29.753070000000001</v>
      </c>
      <c r="BW73" s="4"/>
      <c r="BX73" s="4">
        <v>172.8</v>
      </c>
      <c r="BY73" s="4"/>
      <c r="BZ73" s="4">
        <f>BV73+BX73</f>
        <v>202.55307000000002</v>
      </c>
      <c r="CA73" s="4"/>
      <c r="CB73" s="4"/>
      <c r="CC73" s="4"/>
      <c r="CD73" s="4"/>
      <c r="CE73" s="4"/>
      <c r="CF73" s="4">
        <f>CF75</f>
        <v>4</v>
      </c>
      <c r="CG73" s="4"/>
      <c r="CH73" s="4"/>
      <c r="CI73" s="4"/>
      <c r="CJ73" s="4"/>
      <c r="CK73" s="4"/>
      <c r="CL73" s="4"/>
      <c r="CM73" s="4"/>
      <c r="CN73" s="4"/>
      <c r="CO73" s="4"/>
      <c r="CP73" s="2" t="s">
        <v>504</v>
      </c>
      <c r="CQ73" s="2" t="s">
        <v>254</v>
      </c>
      <c r="CR73" s="10" t="s">
        <v>505</v>
      </c>
      <c r="CS73" s="9" t="s">
        <v>256</v>
      </c>
    </row>
    <row r="74" spans="1:97" s="2" customFormat="1" ht="12.75">
      <c r="A74" s="2">
        <v>71</v>
      </c>
      <c r="B74" s="2" t="s">
        <v>114</v>
      </c>
      <c r="C74" s="2" t="s">
        <v>521</v>
      </c>
      <c r="D74" s="4" t="s">
        <v>116</v>
      </c>
      <c r="E74" s="2" t="s">
        <v>524</v>
      </c>
      <c r="F74" s="2" t="s">
        <v>525</v>
      </c>
      <c r="G74" s="2">
        <v>2007</v>
      </c>
      <c r="H74" s="2">
        <v>2009</v>
      </c>
      <c r="I74" s="2">
        <v>0</v>
      </c>
      <c r="J74" s="2">
        <v>0</v>
      </c>
      <c r="K74" s="2">
        <v>0</v>
      </c>
      <c r="L74" s="2">
        <v>0</v>
      </c>
      <c r="M74" s="2">
        <v>0</v>
      </c>
      <c r="N74" s="2">
        <v>0</v>
      </c>
      <c r="O74" s="4">
        <v>20.3</v>
      </c>
      <c r="P74" s="4">
        <v>183.60000000000002</v>
      </c>
      <c r="Q74" s="4">
        <v>3389</v>
      </c>
      <c r="R74" s="4">
        <v>0</v>
      </c>
      <c r="S74" s="4">
        <v>667</v>
      </c>
      <c r="T74" s="4">
        <v>85.2</v>
      </c>
      <c r="U74" s="4">
        <v>1657.133</v>
      </c>
      <c r="V74" s="4">
        <v>1.2944439999999999</v>
      </c>
      <c r="W74" s="4"/>
      <c r="X74" s="4"/>
      <c r="Y74" s="4"/>
      <c r="Z74" s="4"/>
      <c r="AA74" s="4"/>
      <c r="AB74" s="4"/>
      <c r="AC74" s="4"/>
      <c r="AD74" s="4"/>
      <c r="AE74" s="4"/>
      <c r="AF74" s="4"/>
      <c r="AG74" s="4"/>
      <c r="AH74" s="4"/>
      <c r="AI74" s="4"/>
      <c r="AJ74" s="4"/>
      <c r="AK74" s="4"/>
      <c r="AL74" s="4"/>
      <c r="AM74" s="4"/>
      <c r="AN74" s="4"/>
      <c r="AO74" s="4"/>
      <c r="AP74" s="4"/>
      <c r="AQ74" s="4"/>
      <c r="AR74" s="4"/>
      <c r="AS74" s="4"/>
      <c r="AT74" s="4"/>
      <c r="AV74" s="4"/>
      <c r="AW74" s="4">
        <v>11467</v>
      </c>
      <c r="AX74" s="4">
        <v>5.9</v>
      </c>
      <c r="AY74" s="4">
        <v>9.5</v>
      </c>
      <c r="AZ74" s="4">
        <f>(AX74/2)^2*PI()*AW74/10000</f>
        <v>31.350445534820999</v>
      </c>
      <c r="BA74" s="4"/>
      <c r="BB74" s="4"/>
      <c r="BC74" s="4"/>
      <c r="BD74" s="4">
        <v>45.44</v>
      </c>
      <c r="BE74" s="4">
        <v>48.15</v>
      </c>
      <c r="BF74" s="4">
        <v>46.28</v>
      </c>
      <c r="BG74" s="4"/>
      <c r="BH74" s="4"/>
      <c r="BI74" s="4"/>
      <c r="BJ74" s="4"/>
      <c r="BK74" s="4"/>
      <c r="BL74" s="4"/>
      <c r="BM74" s="4"/>
      <c r="BN74" s="4"/>
      <c r="BO74" s="4"/>
      <c r="BP74" s="4">
        <v>29.5</v>
      </c>
      <c r="BQ74" s="4"/>
      <c r="BR74" s="4"/>
      <c r="BS74" s="4"/>
      <c r="BT74" s="4"/>
      <c r="BU74" s="4"/>
      <c r="BV74" s="4"/>
      <c r="BW74" s="4"/>
      <c r="BX74" s="4"/>
      <c r="BY74" s="4"/>
      <c r="BZ74" s="4"/>
      <c r="CA74" s="4"/>
      <c r="CB74" s="4"/>
      <c r="CC74" s="4"/>
      <c r="CD74" s="4"/>
      <c r="CE74" s="4"/>
      <c r="CF74" s="4">
        <f>(4.1+1.7)/2</f>
        <v>2.9</v>
      </c>
      <c r="CG74" s="4"/>
      <c r="CH74" s="4"/>
      <c r="CI74" s="4"/>
      <c r="CJ74" s="4"/>
      <c r="CK74" s="4"/>
      <c r="CL74" s="4"/>
      <c r="CM74" s="4"/>
      <c r="CN74" s="4"/>
      <c r="CO74" s="4"/>
      <c r="CP74" s="2" t="s">
        <v>526</v>
      </c>
      <c r="CQ74" s="2" t="s">
        <v>254</v>
      </c>
      <c r="CR74" s="10" t="s">
        <v>527</v>
      </c>
      <c r="CS74" s="9" t="s">
        <v>256</v>
      </c>
    </row>
    <row r="75" spans="1:97" s="2" customFormat="1" ht="12.75">
      <c r="A75" s="2">
        <v>72</v>
      </c>
      <c r="B75" s="2" t="s">
        <v>114</v>
      </c>
      <c r="C75" s="2" t="s">
        <v>521</v>
      </c>
      <c r="D75" s="4" t="s">
        <v>250</v>
      </c>
      <c r="E75" s="2" t="s">
        <v>528</v>
      </c>
      <c r="F75" s="2" t="s">
        <v>529</v>
      </c>
      <c r="G75" s="2">
        <v>2007</v>
      </c>
      <c r="H75" s="2">
        <v>2009</v>
      </c>
      <c r="I75" s="2">
        <v>1</v>
      </c>
      <c r="J75" s="2">
        <v>0</v>
      </c>
      <c r="K75" s="2">
        <v>1</v>
      </c>
      <c r="L75" s="2">
        <v>0</v>
      </c>
      <c r="M75" s="2">
        <v>1</v>
      </c>
      <c r="N75" s="2">
        <v>0</v>
      </c>
      <c r="O75" s="4">
        <v>20.3</v>
      </c>
      <c r="P75" s="4">
        <v>183.60000000000002</v>
      </c>
      <c r="Q75" s="4">
        <v>3389</v>
      </c>
      <c r="R75" s="4">
        <v>0</v>
      </c>
      <c r="S75" s="4">
        <v>667</v>
      </c>
      <c r="T75" s="4">
        <v>85.2</v>
      </c>
      <c r="U75" s="4">
        <v>1657.133</v>
      </c>
      <c r="V75" s="4">
        <v>1.2944439999999999</v>
      </c>
      <c r="W75" s="4"/>
      <c r="X75" s="4"/>
      <c r="Y75" s="4"/>
      <c r="Z75" s="4"/>
      <c r="AA75" s="4"/>
      <c r="AB75" s="4"/>
      <c r="AC75" s="4"/>
      <c r="AD75" s="4"/>
      <c r="AE75" s="4"/>
      <c r="AF75" s="4"/>
      <c r="AG75" s="4"/>
      <c r="AH75" s="4"/>
      <c r="AI75" s="4"/>
      <c r="AJ75" s="4"/>
      <c r="AK75" s="4"/>
      <c r="AL75" s="4"/>
      <c r="AM75" s="4"/>
      <c r="AN75" s="4"/>
      <c r="AO75" s="4"/>
      <c r="AP75" s="4"/>
      <c r="AQ75" s="4"/>
      <c r="AR75" s="4"/>
      <c r="AS75" s="4"/>
      <c r="AT75" s="4"/>
      <c r="AV75" s="4"/>
      <c r="AW75" s="4">
        <v>5567</v>
      </c>
      <c r="AX75" s="4">
        <v>4.8</v>
      </c>
      <c r="AY75" s="4">
        <v>8</v>
      </c>
      <c r="AZ75" s="4">
        <f t="shared" si="7"/>
        <v>10.073805870259802</v>
      </c>
      <c r="BA75" s="4"/>
      <c r="BB75" s="4"/>
      <c r="BC75" s="4"/>
      <c r="BD75" s="4">
        <v>45.44</v>
      </c>
      <c r="BE75" s="4">
        <v>48.15</v>
      </c>
      <c r="BF75" s="4">
        <v>46.28</v>
      </c>
      <c r="BG75" s="4"/>
      <c r="BH75" s="4"/>
      <c r="BI75" s="4"/>
      <c r="BJ75" s="4"/>
      <c r="BK75" s="4"/>
      <c r="BL75" s="4"/>
      <c r="BM75" s="4"/>
      <c r="BN75" s="4"/>
      <c r="BO75" s="4"/>
      <c r="BP75" s="4">
        <v>8</v>
      </c>
      <c r="BQ75" s="4"/>
      <c r="BR75" s="4"/>
      <c r="BS75" s="4"/>
      <c r="BT75" s="4"/>
      <c r="BU75" s="4"/>
      <c r="BV75" s="4"/>
      <c r="BW75" s="4"/>
      <c r="BX75" s="4"/>
      <c r="BY75" s="4"/>
      <c r="BZ75" s="4"/>
      <c r="CA75" s="4"/>
      <c r="CB75" s="4"/>
      <c r="CC75" s="4"/>
      <c r="CD75" s="4"/>
      <c r="CE75" s="4"/>
      <c r="CF75" s="4">
        <f>(2.2+5.8)/2</f>
        <v>4</v>
      </c>
      <c r="CG75" s="4"/>
      <c r="CH75" s="4"/>
      <c r="CI75" s="4"/>
      <c r="CJ75" s="4"/>
      <c r="CK75" s="4"/>
      <c r="CL75" s="4"/>
      <c r="CM75" s="4"/>
      <c r="CN75" s="4"/>
      <c r="CO75" s="4"/>
      <c r="CP75" s="2" t="s">
        <v>526</v>
      </c>
      <c r="CQ75" s="2" t="s">
        <v>254</v>
      </c>
      <c r="CR75" s="10" t="s">
        <v>527</v>
      </c>
      <c r="CS75" s="9" t="s">
        <v>256</v>
      </c>
    </row>
    <row r="76" spans="1:97" s="2" customFormat="1" ht="12.75">
      <c r="A76" s="2">
        <v>73</v>
      </c>
      <c r="B76" s="2" t="s">
        <v>114</v>
      </c>
      <c r="C76" s="2" t="s">
        <v>521</v>
      </c>
      <c r="D76" s="4" t="s">
        <v>116</v>
      </c>
      <c r="E76" s="2" t="s">
        <v>530</v>
      </c>
      <c r="F76" s="2" t="s">
        <v>531</v>
      </c>
      <c r="G76" s="2">
        <v>2007</v>
      </c>
      <c r="H76" s="2">
        <v>2009</v>
      </c>
      <c r="I76" s="2">
        <v>1</v>
      </c>
      <c r="J76" s="2">
        <v>0</v>
      </c>
      <c r="K76" s="2">
        <v>1</v>
      </c>
      <c r="L76" s="2">
        <v>0</v>
      </c>
      <c r="M76" s="2">
        <v>0</v>
      </c>
      <c r="N76" s="2">
        <v>0</v>
      </c>
      <c r="O76" s="4">
        <v>20.3</v>
      </c>
      <c r="P76" s="4">
        <v>183.60000000000002</v>
      </c>
      <c r="Q76" s="4">
        <v>3389</v>
      </c>
      <c r="R76" s="4">
        <v>0</v>
      </c>
      <c r="S76" s="4">
        <v>667</v>
      </c>
      <c r="T76" s="4">
        <v>85.2</v>
      </c>
      <c r="U76" s="4">
        <v>1657.133</v>
      </c>
      <c r="V76" s="4">
        <v>1.2944439999999999</v>
      </c>
      <c r="W76" s="4"/>
      <c r="X76" s="4"/>
      <c r="Y76" s="4"/>
      <c r="Z76" s="4"/>
      <c r="AA76" s="4"/>
      <c r="AB76" s="4"/>
      <c r="AC76" s="4"/>
      <c r="AD76" s="4"/>
      <c r="AE76" s="4"/>
      <c r="AF76" s="4"/>
      <c r="AG76" s="4"/>
      <c r="AH76" s="4"/>
      <c r="AI76" s="4"/>
      <c r="AJ76" s="4"/>
      <c r="AK76" s="4"/>
      <c r="AL76" s="4"/>
      <c r="AM76" s="4"/>
      <c r="AN76" s="4"/>
      <c r="AO76" s="4"/>
      <c r="AP76" s="4"/>
      <c r="AQ76" s="4"/>
      <c r="AR76" s="4"/>
      <c r="AS76" s="4"/>
      <c r="AT76" s="4"/>
      <c r="AV76" s="4"/>
      <c r="AW76" s="4">
        <v>10633</v>
      </c>
      <c r="AX76" s="4">
        <v>5.9</v>
      </c>
      <c r="AY76" s="4">
        <v>9.5</v>
      </c>
      <c r="AZ76" s="4">
        <f t="shared" si="7"/>
        <v>29.070313715161038</v>
      </c>
      <c r="BA76" s="4"/>
      <c r="BB76" s="4"/>
      <c r="BC76" s="4"/>
      <c r="BD76" s="4">
        <v>45.44</v>
      </c>
      <c r="BE76" s="4">
        <v>48.15</v>
      </c>
      <c r="BF76" s="4">
        <v>46.28</v>
      </c>
      <c r="BG76" s="4"/>
      <c r="BH76" s="4"/>
      <c r="BI76" s="4"/>
      <c r="BJ76" s="4"/>
      <c r="BK76" s="4"/>
      <c r="BL76" s="4"/>
      <c r="BM76" s="4"/>
      <c r="BN76" s="4"/>
      <c r="BO76" s="4"/>
      <c r="BP76" s="4">
        <v>28.4</v>
      </c>
      <c r="BQ76" s="4"/>
      <c r="BR76" s="4"/>
      <c r="BS76" s="4"/>
      <c r="BT76" s="4"/>
      <c r="BU76" s="4"/>
      <c r="BV76" s="4"/>
      <c r="BW76" s="4"/>
      <c r="BX76" s="4"/>
      <c r="BY76" s="4"/>
      <c r="BZ76" s="4"/>
      <c r="CA76" s="4"/>
      <c r="CB76" s="4"/>
      <c r="CC76" s="4"/>
      <c r="CD76" s="4"/>
      <c r="CE76" s="4"/>
      <c r="CF76" s="4">
        <f>(6.7+1.5)/2</f>
        <v>4.0999999999999996</v>
      </c>
      <c r="CG76" s="4"/>
      <c r="CH76" s="4"/>
      <c r="CI76" s="4"/>
      <c r="CJ76" s="4"/>
      <c r="CK76" s="4"/>
      <c r="CL76" s="4"/>
      <c r="CM76" s="4"/>
      <c r="CN76" s="4"/>
      <c r="CO76" s="4"/>
      <c r="CP76" s="2" t="s">
        <v>526</v>
      </c>
      <c r="CQ76" s="2" t="s">
        <v>254</v>
      </c>
      <c r="CR76" s="10" t="s">
        <v>527</v>
      </c>
      <c r="CS76" s="9" t="s">
        <v>256</v>
      </c>
    </row>
    <row r="77" spans="1:97" s="2" customFormat="1" ht="12.75">
      <c r="A77" s="2">
        <v>74</v>
      </c>
      <c r="B77" s="2" t="s">
        <v>114</v>
      </c>
      <c r="C77" s="2" t="s">
        <v>532</v>
      </c>
      <c r="D77" s="4" t="s">
        <v>116</v>
      </c>
      <c r="E77" s="2" t="s">
        <v>533</v>
      </c>
      <c r="F77" s="2" t="s">
        <v>534</v>
      </c>
      <c r="G77" s="2">
        <v>2004</v>
      </c>
      <c r="H77" s="2">
        <v>2007</v>
      </c>
      <c r="I77" s="2">
        <v>1</v>
      </c>
      <c r="J77" s="2">
        <v>1</v>
      </c>
      <c r="K77" s="2">
        <v>1</v>
      </c>
      <c r="L77" s="2">
        <v>1</v>
      </c>
      <c r="M77" s="2">
        <v>0</v>
      </c>
      <c r="N77" s="2">
        <v>0</v>
      </c>
      <c r="O77" s="4">
        <f>(11+22)/2</f>
        <v>16.5</v>
      </c>
      <c r="P77" s="4">
        <f t="shared" ref="P77:P101" si="8">(O77-5)*12</f>
        <v>138</v>
      </c>
      <c r="Q77" s="4">
        <f>(1900+2500)/2</f>
        <v>2200</v>
      </c>
      <c r="R77" s="4">
        <v>0</v>
      </c>
      <c r="S77" s="4">
        <f>(600+900)/2</f>
        <v>750</v>
      </c>
      <c r="T77" s="4">
        <v>82.666669999999996</v>
      </c>
      <c r="U77" s="4">
        <v>1561.7</v>
      </c>
      <c r="V77" s="4">
        <v>1.2250000000000001</v>
      </c>
      <c r="W77" s="4"/>
      <c r="X77" s="4"/>
      <c r="Y77" s="4"/>
      <c r="Z77" s="4"/>
      <c r="AA77" s="4"/>
      <c r="AB77" s="4"/>
      <c r="AC77" s="4"/>
      <c r="AD77" s="4"/>
      <c r="AE77" s="4"/>
      <c r="AF77" s="4"/>
      <c r="AG77" s="4"/>
      <c r="AH77" s="4"/>
      <c r="AI77" s="4"/>
      <c r="AJ77" s="4"/>
      <c r="AK77" s="4"/>
      <c r="AL77" s="4"/>
      <c r="AM77" s="4"/>
      <c r="AN77" s="4"/>
      <c r="AO77" s="4"/>
      <c r="AP77" s="4"/>
      <c r="AQ77" s="4"/>
      <c r="AR77" s="4"/>
      <c r="AS77" s="4"/>
      <c r="AT77" s="4"/>
      <c r="AV77" s="4"/>
      <c r="AW77" s="4">
        <v>6996</v>
      </c>
      <c r="AX77" s="4">
        <v>8.73</v>
      </c>
      <c r="AY77" s="4"/>
      <c r="AZ77" s="4">
        <f t="shared" si="7"/>
        <v>41.876287192360493</v>
      </c>
      <c r="BA77" s="4"/>
      <c r="BB77" s="4"/>
      <c r="BC77" s="4"/>
      <c r="BD77" s="4">
        <v>45.44</v>
      </c>
      <c r="BE77" s="4">
        <v>48.15</v>
      </c>
      <c r="BF77" s="4">
        <v>46.28</v>
      </c>
      <c r="BG77" s="4"/>
      <c r="BH77" s="4"/>
      <c r="BI77" s="4"/>
      <c r="BJ77" s="4"/>
      <c r="BK77" s="4"/>
      <c r="BL77" s="4"/>
      <c r="BM77" s="4">
        <f>3.65*BD77/100</f>
        <v>1.65856</v>
      </c>
      <c r="BN77" s="4">
        <f>11.33*BE77/100</f>
        <v>5.4553949999999993</v>
      </c>
      <c r="BO77" s="4">
        <f>79.42*BF77/100</f>
        <v>36.755575999999998</v>
      </c>
      <c r="BP77" s="4">
        <f>BM77+BN77+BO77</f>
        <v>43.869530999999995</v>
      </c>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2" t="s">
        <v>535</v>
      </c>
      <c r="CQ77" s="2" t="s">
        <v>254</v>
      </c>
      <c r="CR77" s="10" t="s">
        <v>520</v>
      </c>
      <c r="CS77" s="9" t="s">
        <v>256</v>
      </c>
    </row>
    <row r="78" spans="1:97" s="2" customFormat="1" ht="12.75">
      <c r="A78" s="2">
        <v>75</v>
      </c>
      <c r="B78" s="2" t="s">
        <v>114</v>
      </c>
      <c r="C78" s="2" t="s">
        <v>536</v>
      </c>
      <c r="D78" s="4" t="s">
        <v>507</v>
      </c>
      <c r="E78" s="2" t="s">
        <v>537</v>
      </c>
      <c r="F78" s="2" t="s">
        <v>538</v>
      </c>
      <c r="G78" s="2">
        <v>2004</v>
      </c>
      <c r="H78" s="2">
        <v>2007</v>
      </c>
      <c r="I78" s="2">
        <v>1</v>
      </c>
      <c r="J78" s="2">
        <v>1</v>
      </c>
      <c r="K78" s="2">
        <v>1</v>
      </c>
      <c r="L78" s="2">
        <v>1</v>
      </c>
      <c r="M78" s="2">
        <v>0</v>
      </c>
      <c r="N78" s="2">
        <v>0</v>
      </c>
      <c r="O78" s="4">
        <f>(11+22)/2</f>
        <v>16.5</v>
      </c>
      <c r="P78" s="4">
        <f t="shared" si="8"/>
        <v>138</v>
      </c>
      <c r="Q78" s="4">
        <f>(1900+2500)/2</f>
        <v>2200</v>
      </c>
      <c r="R78" s="4">
        <v>0</v>
      </c>
      <c r="S78" s="4">
        <f>(900+1200)/2</f>
        <v>1050</v>
      </c>
      <c r="T78" s="4">
        <v>82.666669999999996</v>
      </c>
      <c r="U78" s="4">
        <v>1561.7</v>
      </c>
      <c r="V78" s="4">
        <v>1.2250000000000001</v>
      </c>
      <c r="W78" s="4"/>
      <c r="X78" s="4"/>
      <c r="Y78" s="4"/>
      <c r="Z78" s="4"/>
      <c r="AA78" s="4"/>
      <c r="AB78" s="4"/>
      <c r="AC78" s="4"/>
      <c r="AD78" s="4"/>
      <c r="AE78" s="4"/>
      <c r="AF78" s="4"/>
      <c r="AG78" s="4"/>
      <c r="AH78" s="4"/>
      <c r="AI78" s="4"/>
      <c r="AJ78" s="4"/>
      <c r="AK78" s="4"/>
      <c r="AL78" s="4"/>
      <c r="AM78" s="4"/>
      <c r="AN78" s="4"/>
      <c r="AO78" s="4"/>
      <c r="AP78" s="4"/>
      <c r="AQ78" s="4"/>
      <c r="AR78" s="4"/>
      <c r="AS78" s="4"/>
      <c r="AT78" s="4"/>
      <c r="AV78" s="4"/>
      <c r="AW78" s="4">
        <v>7188</v>
      </c>
      <c r="AX78" s="4">
        <v>8.8699999999999992</v>
      </c>
      <c r="AY78" s="4"/>
      <c r="AZ78" s="4">
        <f t="shared" si="7"/>
        <v>44.41658755718521</v>
      </c>
      <c r="BA78" s="4"/>
      <c r="BB78" s="4"/>
      <c r="BC78" s="4"/>
      <c r="BD78" s="4">
        <v>45.44</v>
      </c>
      <c r="BE78" s="4">
        <v>48.15</v>
      </c>
      <c r="BF78" s="4">
        <v>46.28</v>
      </c>
      <c r="BG78" s="4"/>
      <c r="BH78" s="4"/>
      <c r="BI78" s="4"/>
      <c r="BJ78" s="4"/>
      <c r="BK78" s="4"/>
      <c r="BL78" s="4"/>
      <c r="BM78" s="4">
        <f>2.89*BD78/100</f>
        <v>1.3132159999999999</v>
      </c>
      <c r="BN78" s="4">
        <f>9.91*BE78/100</f>
        <v>4.7716649999999996</v>
      </c>
      <c r="BO78" s="4">
        <f>67.23*BF78/100</f>
        <v>31.114044000000003</v>
      </c>
      <c r="BP78" s="4">
        <f>BM78+BN78+BO78</f>
        <v>37.198925000000003</v>
      </c>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2" t="s">
        <v>519</v>
      </c>
      <c r="CQ78" s="2" t="s">
        <v>254</v>
      </c>
      <c r="CR78" s="10" t="s">
        <v>520</v>
      </c>
      <c r="CS78" s="9" t="s">
        <v>256</v>
      </c>
    </row>
    <row r="79" spans="1:97" s="2" customFormat="1" ht="12.75">
      <c r="A79" s="2">
        <v>76</v>
      </c>
      <c r="B79" s="2" t="s">
        <v>114</v>
      </c>
      <c r="C79" s="2" t="s">
        <v>506</v>
      </c>
      <c r="D79" s="4" t="s">
        <v>507</v>
      </c>
      <c r="E79" s="2" t="s">
        <v>539</v>
      </c>
      <c r="F79" s="2" t="s">
        <v>540</v>
      </c>
      <c r="G79" s="2">
        <v>2008</v>
      </c>
      <c r="H79" s="2">
        <v>2009</v>
      </c>
      <c r="I79" s="2">
        <v>1</v>
      </c>
      <c r="J79" s="2">
        <v>1</v>
      </c>
      <c r="K79" s="2">
        <v>0</v>
      </c>
      <c r="L79" s="2">
        <v>1</v>
      </c>
      <c r="M79" s="2">
        <v>0</v>
      </c>
      <c r="N79" s="2">
        <v>0</v>
      </c>
      <c r="O79" s="4">
        <v>23</v>
      </c>
      <c r="P79" s="4">
        <f t="shared" si="8"/>
        <v>216</v>
      </c>
      <c r="Q79" s="4">
        <v>2600</v>
      </c>
      <c r="R79" s="4">
        <v>0</v>
      </c>
      <c r="S79" s="4">
        <v>1135</v>
      </c>
      <c r="T79" s="4">
        <v>81.458330000000004</v>
      </c>
      <c r="U79" s="4">
        <v>1222</v>
      </c>
      <c r="V79" s="4">
        <v>0.65833299999999995</v>
      </c>
      <c r="W79" s="4"/>
      <c r="X79" s="4"/>
      <c r="Y79" s="4"/>
      <c r="Z79" s="4"/>
      <c r="AA79" s="4"/>
      <c r="AB79" s="4"/>
      <c r="AC79" s="4"/>
      <c r="AD79" s="4"/>
      <c r="AE79" s="4"/>
      <c r="AF79" s="4"/>
      <c r="AG79" s="4"/>
      <c r="AH79" s="4"/>
      <c r="AI79" s="4"/>
      <c r="AJ79" s="4"/>
      <c r="AK79" s="4"/>
      <c r="AL79" s="4"/>
      <c r="AM79" s="4"/>
      <c r="AN79" s="4"/>
      <c r="AO79" s="4"/>
      <c r="AP79" s="4"/>
      <c r="AQ79" s="4"/>
      <c r="AR79" s="4"/>
      <c r="AS79" s="4"/>
      <c r="AT79" s="4"/>
      <c r="AV79" s="4"/>
      <c r="AW79" s="4">
        <v>5167</v>
      </c>
      <c r="AX79" s="4">
        <v>8.9</v>
      </c>
      <c r="AY79" s="4">
        <v>12.6</v>
      </c>
      <c r="AZ79" s="4">
        <f t="shared" si="7"/>
        <v>32.144624449685232</v>
      </c>
      <c r="BA79" s="4"/>
      <c r="BB79" s="4"/>
      <c r="BC79" s="4"/>
      <c r="BD79" s="4"/>
      <c r="BE79" s="4"/>
      <c r="BF79" s="4"/>
      <c r="BG79" s="4"/>
      <c r="BH79" s="4"/>
      <c r="BI79" s="4"/>
      <c r="BJ79" s="4"/>
      <c r="BK79" s="4"/>
      <c r="BL79" s="4"/>
      <c r="BM79" s="4">
        <f>2.8*0.5</f>
        <v>1.4</v>
      </c>
      <c r="BN79" s="4">
        <f>9.7*0.5</f>
        <v>4.8499999999999996</v>
      </c>
      <c r="BO79" s="4">
        <f>61*0.5</f>
        <v>30.5</v>
      </c>
      <c r="BP79" s="4">
        <f>SUM(BM79:BO79)</f>
        <v>36.75</v>
      </c>
      <c r="BQ79" s="4">
        <f>BU79/BP79</f>
        <v>1.2394557823129251</v>
      </c>
      <c r="BR79" s="4">
        <f>6.2*0.5</f>
        <v>3.1</v>
      </c>
      <c r="BS79" s="4">
        <f>64.5*0.5</f>
        <v>32.25</v>
      </c>
      <c r="BT79" s="4">
        <f>20.4*0.5</f>
        <v>10.199999999999999</v>
      </c>
      <c r="BU79" s="4">
        <f>SUM(BR79:BT79)</f>
        <v>45.55</v>
      </c>
      <c r="BV79" s="4">
        <f>BU79+BP79</f>
        <v>82.3</v>
      </c>
      <c r="BW79" s="4"/>
      <c r="BX79" s="4"/>
      <c r="BY79" s="4"/>
      <c r="BZ79" s="4"/>
      <c r="CA79" s="4">
        <f>0.3*0.5</f>
        <v>0.15</v>
      </c>
      <c r="CB79" s="4">
        <f>1.2*0.5</f>
        <v>0.6</v>
      </c>
      <c r="CC79" s="4">
        <f>7.8*0.5</f>
        <v>3.9</v>
      </c>
      <c r="CD79" s="4"/>
      <c r="CE79" s="4"/>
      <c r="CF79" s="4">
        <f>SUM(CA79:CD79)</f>
        <v>4.6500000000000004</v>
      </c>
      <c r="CG79" s="4"/>
      <c r="CH79" s="4"/>
      <c r="CI79" s="4"/>
      <c r="CJ79" s="4"/>
      <c r="CK79" s="4"/>
      <c r="CL79" s="4"/>
      <c r="CM79" s="4"/>
      <c r="CN79" s="4"/>
      <c r="CO79" s="4"/>
      <c r="CP79" s="2" t="s">
        <v>541</v>
      </c>
      <c r="CQ79" s="2" t="s">
        <v>254</v>
      </c>
      <c r="CR79" s="10" t="s">
        <v>511</v>
      </c>
      <c r="CS79" s="9" t="s">
        <v>256</v>
      </c>
    </row>
    <row r="80" spans="1:97" s="2" customFormat="1" ht="12.75">
      <c r="A80" s="2">
        <v>77</v>
      </c>
      <c r="B80" s="2" t="s">
        <v>114</v>
      </c>
      <c r="C80" s="2" t="s">
        <v>506</v>
      </c>
      <c r="D80" s="4" t="s">
        <v>507</v>
      </c>
      <c r="E80" s="2" t="s">
        <v>542</v>
      </c>
      <c r="F80" s="2" t="s">
        <v>543</v>
      </c>
      <c r="G80" s="2">
        <v>2008</v>
      </c>
      <c r="H80" s="2">
        <v>2009</v>
      </c>
      <c r="I80" s="2">
        <v>1</v>
      </c>
      <c r="J80" s="2">
        <v>1</v>
      </c>
      <c r="K80" s="2">
        <v>0</v>
      </c>
      <c r="L80" s="2">
        <v>1</v>
      </c>
      <c r="M80" s="2">
        <v>0</v>
      </c>
      <c r="N80" s="2">
        <v>0</v>
      </c>
      <c r="O80" s="4">
        <v>23</v>
      </c>
      <c r="P80" s="4">
        <f t="shared" si="8"/>
        <v>216</v>
      </c>
      <c r="Q80" s="4">
        <v>2600</v>
      </c>
      <c r="R80" s="4">
        <v>0</v>
      </c>
      <c r="S80" s="4">
        <v>1135</v>
      </c>
      <c r="T80" s="4">
        <v>81.458330000000004</v>
      </c>
      <c r="U80" s="4">
        <v>1222</v>
      </c>
      <c r="V80" s="4">
        <v>0.65833299999999995</v>
      </c>
      <c r="W80" s="4"/>
      <c r="X80" s="4"/>
      <c r="Y80" s="4"/>
      <c r="Z80" s="4"/>
      <c r="AA80" s="4"/>
      <c r="AB80" s="4"/>
      <c r="AC80" s="4"/>
      <c r="AD80" s="4"/>
      <c r="AE80" s="4"/>
      <c r="AF80" s="4"/>
      <c r="AG80" s="4"/>
      <c r="AH80" s="4"/>
      <c r="AI80" s="4"/>
      <c r="AJ80" s="4"/>
      <c r="AK80" s="4"/>
      <c r="AL80" s="4"/>
      <c r="AM80" s="4"/>
      <c r="AN80" s="4"/>
      <c r="AO80" s="4"/>
      <c r="AP80" s="4"/>
      <c r="AQ80" s="4"/>
      <c r="AR80" s="4"/>
      <c r="AS80" s="4"/>
      <c r="AT80" s="4"/>
      <c r="AV80" s="4"/>
      <c r="AW80" s="4">
        <v>5733</v>
      </c>
      <c r="AX80" s="4">
        <v>9.1</v>
      </c>
      <c r="AY80" s="4">
        <v>13.2</v>
      </c>
      <c r="AZ80" s="4">
        <f t="shared" si="7"/>
        <v>37.286756601543445</v>
      </c>
      <c r="BA80" s="4"/>
      <c r="BB80" s="4"/>
      <c r="BC80" s="4"/>
      <c r="BD80" s="4"/>
      <c r="BE80" s="4"/>
      <c r="BF80" s="4"/>
      <c r="BG80" s="4"/>
      <c r="BH80" s="4"/>
      <c r="BI80" s="4"/>
      <c r="BJ80" s="4"/>
      <c r="BK80" s="4"/>
      <c r="BL80" s="4"/>
      <c r="BM80" s="4">
        <f>3.2*0.5</f>
        <v>1.6</v>
      </c>
      <c r="BN80" s="4">
        <f>10.8*0.5</f>
        <v>5.4</v>
      </c>
      <c r="BO80" s="4">
        <f>69.9*0.5</f>
        <v>34.950000000000003</v>
      </c>
      <c r="BP80" s="4">
        <f>SUM(BM80:BO80)</f>
        <v>41.95</v>
      </c>
      <c r="BQ80" s="4">
        <f>BU80/BP80</f>
        <v>1.1108462455303934</v>
      </c>
      <c r="BR80" s="4">
        <f>6.1*0.5</f>
        <v>3.05</v>
      </c>
      <c r="BS80" s="4">
        <f>63.4*0.5</f>
        <v>31.7</v>
      </c>
      <c r="BT80" s="4">
        <f>23.7*0.5</f>
        <v>11.85</v>
      </c>
      <c r="BU80" s="4">
        <f>SUM(BR80:BT80)</f>
        <v>46.6</v>
      </c>
      <c r="BV80" s="4">
        <f>BU80+BP80</f>
        <v>88.550000000000011</v>
      </c>
      <c r="BW80" s="4"/>
      <c r="BX80" s="4"/>
      <c r="BY80" s="4"/>
      <c r="BZ80" s="4"/>
      <c r="CA80" s="4">
        <f>0.2*0.5</f>
        <v>0.1</v>
      </c>
      <c r="CB80" s="4">
        <f>0.9*0.5</f>
        <v>0.45</v>
      </c>
      <c r="CC80" s="4">
        <f>5.8*0.5</f>
        <v>2.9</v>
      </c>
      <c r="CD80" s="4"/>
      <c r="CE80" s="4"/>
      <c r="CF80" s="4">
        <f>SUM(CA80:CD80)</f>
        <v>3.45</v>
      </c>
      <c r="CG80" s="4"/>
      <c r="CH80" s="4"/>
      <c r="CI80" s="4"/>
      <c r="CJ80" s="4"/>
      <c r="CK80" s="4"/>
      <c r="CL80" s="4"/>
      <c r="CM80" s="4"/>
      <c r="CN80" s="4"/>
      <c r="CO80" s="4"/>
      <c r="CP80" s="2" t="s">
        <v>541</v>
      </c>
      <c r="CQ80" s="2" t="s">
        <v>254</v>
      </c>
      <c r="CR80" s="10" t="s">
        <v>511</v>
      </c>
      <c r="CS80" s="9" t="s">
        <v>256</v>
      </c>
    </row>
    <row r="81" spans="1:97" s="2" customFormat="1" ht="12.75">
      <c r="A81" s="2">
        <v>78</v>
      </c>
      <c r="B81" s="2" t="s">
        <v>114</v>
      </c>
      <c r="C81" s="2" t="s">
        <v>544</v>
      </c>
      <c r="D81" s="4" t="s">
        <v>116</v>
      </c>
      <c r="E81" s="2" t="s">
        <v>545</v>
      </c>
      <c r="F81" s="2" t="s">
        <v>546</v>
      </c>
      <c r="G81" s="2">
        <v>2008</v>
      </c>
      <c r="H81" s="2">
        <v>2008</v>
      </c>
      <c r="I81" s="2">
        <v>1</v>
      </c>
      <c r="J81" s="2">
        <v>1</v>
      </c>
      <c r="K81" s="2">
        <v>0</v>
      </c>
      <c r="L81" s="2">
        <v>1</v>
      </c>
      <c r="M81" s="2">
        <v>0</v>
      </c>
      <c r="N81" s="2">
        <v>0</v>
      </c>
      <c r="O81" s="4">
        <v>15.3</v>
      </c>
      <c r="P81" s="4">
        <f t="shared" si="8"/>
        <v>123.60000000000001</v>
      </c>
      <c r="Q81" s="4">
        <v>1558</v>
      </c>
      <c r="R81" s="4">
        <v>0</v>
      </c>
      <c r="S81" s="4">
        <v>769</v>
      </c>
      <c r="T81" s="4">
        <v>82.666669999999996</v>
      </c>
      <c r="U81" s="4">
        <v>1561.7</v>
      </c>
      <c r="V81" s="4">
        <v>1.2250000000000001</v>
      </c>
      <c r="W81" s="4"/>
      <c r="X81" s="4"/>
      <c r="Y81" s="4"/>
      <c r="Z81" s="4"/>
      <c r="AA81" s="4"/>
      <c r="AB81" s="4"/>
      <c r="AC81" s="4"/>
      <c r="AD81" s="4"/>
      <c r="AE81" s="4"/>
      <c r="AF81" s="4"/>
      <c r="AG81" s="4"/>
      <c r="AH81" s="4"/>
      <c r="AI81" s="4"/>
      <c r="AJ81" s="4"/>
      <c r="AK81" s="4"/>
      <c r="AL81" s="4"/>
      <c r="AM81" s="4"/>
      <c r="AN81" s="4"/>
      <c r="AO81" s="4"/>
      <c r="AP81" s="4"/>
      <c r="AQ81" s="4"/>
      <c r="AR81" s="4"/>
      <c r="AS81" s="4"/>
      <c r="AT81" s="4"/>
      <c r="AV81" s="4"/>
      <c r="AW81" s="4">
        <v>5733</v>
      </c>
      <c r="AX81" s="4">
        <v>6.3</v>
      </c>
      <c r="AY81" s="4"/>
      <c r="AZ81" s="4">
        <f t="shared" si="7"/>
        <v>17.871167365236797</v>
      </c>
      <c r="BA81" s="4"/>
      <c r="BB81" s="4"/>
      <c r="BC81" s="4"/>
      <c r="BD81" s="4"/>
      <c r="BE81" s="4"/>
      <c r="BF81" s="4"/>
      <c r="BG81" s="4"/>
      <c r="BH81" s="4"/>
      <c r="BI81" s="4"/>
      <c r="BJ81" s="4"/>
      <c r="BK81" s="4"/>
      <c r="BL81" s="4"/>
      <c r="BM81" s="4"/>
      <c r="BN81" s="4"/>
      <c r="BO81" s="4"/>
      <c r="BP81" s="4">
        <v>38.4</v>
      </c>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2" t="s">
        <v>547</v>
      </c>
      <c r="CQ81" s="2" t="s">
        <v>254</v>
      </c>
      <c r="CR81" s="10" t="s">
        <v>548</v>
      </c>
      <c r="CS81" s="9" t="s">
        <v>256</v>
      </c>
    </row>
    <row r="82" spans="1:97" s="2" customFormat="1" ht="12.75">
      <c r="A82" s="2">
        <v>79</v>
      </c>
      <c r="B82" s="2" t="s">
        <v>114</v>
      </c>
      <c r="C82" s="2" t="s">
        <v>544</v>
      </c>
      <c r="D82" s="4" t="s">
        <v>116</v>
      </c>
      <c r="E82" s="2" t="s">
        <v>549</v>
      </c>
      <c r="F82" s="2" t="s">
        <v>550</v>
      </c>
      <c r="G82" s="2">
        <v>2008</v>
      </c>
      <c r="H82" s="2">
        <v>2014</v>
      </c>
      <c r="I82" s="2">
        <v>0</v>
      </c>
      <c r="J82" s="2">
        <v>0</v>
      </c>
      <c r="K82" s="2">
        <v>0</v>
      </c>
      <c r="L82" s="2">
        <v>0</v>
      </c>
      <c r="M82" s="2">
        <v>0</v>
      </c>
      <c r="N82" s="2">
        <v>0</v>
      </c>
      <c r="O82" s="4">
        <v>15.3</v>
      </c>
      <c r="P82" s="4">
        <f t="shared" si="8"/>
        <v>123.60000000000001</v>
      </c>
      <c r="Q82" s="4">
        <v>1558</v>
      </c>
      <c r="R82" s="4">
        <v>0</v>
      </c>
      <c r="S82" s="4">
        <v>769</v>
      </c>
      <c r="T82" s="4">
        <v>82.666669999999996</v>
      </c>
      <c r="U82" s="4">
        <v>1561.7</v>
      </c>
      <c r="V82" s="4">
        <v>1.2250000000000001</v>
      </c>
      <c r="W82" s="4"/>
      <c r="X82" s="4"/>
      <c r="Y82" s="4"/>
      <c r="Z82" s="4"/>
      <c r="AA82" s="4"/>
      <c r="AB82" s="4"/>
      <c r="AC82" s="4"/>
      <c r="AD82" s="4"/>
      <c r="AE82" s="4"/>
      <c r="AF82" s="4"/>
      <c r="AG82" s="4"/>
      <c r="AH82" s="4"/>
      <c r="AI82" s="4"/>
      <c r="AJ82" s="4"/>
      <c r="AK82" s="4"/>
      <c r="AL82" s="4"/>
      <c r="AM82" s="4"/>
      <c r="AN82" s="4"/>
      <c r="AO82" s="4"/>
      <c r="AP82" s="4"/>
      <c r="AQ82" s="4"/>
      <c r="AR82" s="4"/>
      <c r="AS82" s="4"/>
      <c r="AT82" s="4"/>
      <c r="AV82" s="4"/>
      <c r="AW82" s="4">
        <v>13067</v>
      </c>
      <c r="AX82" s="4">
        <v>5.5</v>
      </c>
      <c r="AY82" s="4"/>
      <c r="AZ82" s="4">
        <f t="shared" si="7"/>
        <v>31.044963348371233</v>
      </c>
      <c r="BA82" s="4"/>
      <c r="BB82" s="4"/>
      <c r="BC82" s="4"/>
      <c r="BD82" s="4"/>
      <c r="BE82" s="4"/>
      <c r="BF82" s="4"/>
      <c r="BG82" s="4"/>
      <c r="BH82" s="4"/>
      <c r="BI82" s="4"/>
      <c r="BJ82" s="4"/>
      <c r="BK82" s="4"/>
      <c r="BL82" s="4"/>
      <c r="BM82" s="4"/>
      <c r="BN82" s="4"/>
      <c r="BO82" s="4"/>
      <c r="BP82" s="4">
        <v>60.4</v>
      </c>
      <c r="BQ82" s="4"/>
      <c r="BR82" s="4"/>
      <c r="BS82" s="4"/>
      <c r="BT82" s="4"/>
      <c r="BU82" s="4"/>
      <c r="BV82" s="4"/>
      <c r="BW82" s="4"/>
      <c r="BX82" s="4"/>
      <c r="BY82" s="4"/>
      <c r="BZ82" s="4"/>
      <c r="CA82" s="4"/>
      <c r="CB82" s="4"/>
      <c r="CC82" s="4"/>
      <c r="CD82" s="4"/>
      <c r="CE82" s="4"/>
      <c r="CF82" s="4">
        <f>((51.7-53.2)+(53.2-60.4)+(60.4-59.2)+(59.2-49.8)+(49.8-46.7)+(46.7-38.4))/6</f>
        <v>2.2166666666666672</v>
      </c>
      <c r="CG82" s="4"/>
      <c r="CH82" s="4"/>
      <c r="CI82" s="4"/>
      <c r="CJ82" s="4"/>
      <c r="CK82" s="4"/>
      <c r="CL82" s="4"/>
      <c r="CM82" s="4"/>
      <c r="CN82" s="4"/>
      <c r="CO82" s="4"/>
      <c r="CP82" s="2" t="s">
        <v>547</v>
      </c>
      <c r="CQ82" s="2" t="s">
        <v>254</v>
      </c>
      <c r="CR82" s="10" t="s">
        <v>548</v>
      </c>
      <c r="CS82" s="9" t="s">
        <v>256</v>
      </c>
    </row>
    <row r="83" spans="1:97" s="2" customFormat="1" ht="12.75">
      <c r="A83" s="2">
        <v>80</v>
      </c>
      <c r="B83" s="2" t="s">
        <v>114</v>
      </c>
      <c r="C83" s="2" t="s">
        <v>551</v>
      </c>
      <c r="D83" s="4" t="s">
        <v>507</v>
      </c>
      <c r="E83" s="2" t="s">
        <v>552</v>
      </c>
      <c r="F83" s="14" t="s">
        <v>553</v>
      </c>
      <c r="G83" s="2">
        <v>2012</v>
      </c>
      <c r="H83" s="2">
        <v>2012</v>
      </c>
      <c r="I83" s="2">
        <v>1</v>
      </c>
      <c r="J83" s="2">
        <v>1</v>
      </c>
      <c r="K83" s="2">
        <v>1</v>
      </c>
      <c r="L83" s="2">
        <v>0</v>
      </c>
      <c r="M83" s="2">
        <v>0</v>
      </c>
      <c r="N83" s="2">
        <v>0</v>
      </c>
      <c r="O83" s="4">
        <v>17.2</v>
      </c>
      <c r="P83" s="4">
        <f t="shared" si="8"/>
        <v>146.39999999999998</v>
      </c>
      <c r="Q83" s="4">
        <v>3030</v>
      </c>
      <c r="R83" s="4">
        <v>0</v>
      </c>
      <c r="S83" s="4">
        <v>1120</v>
      </c>
      <c r="T83" s="4">
        <v>83.666666666666671</v>
      </c>
      <c r="U83" s="4">
        <v>1388.8000000000002</v>
      </c>
      <c r="V83" s="4">
        <v>1.1000000000000003</v>
      </c>
      <c r="W83" s="4"/>
      <c r="X83" s="4"/>
      <c r="Y83" s="4">
        <v>4.0999999999999996</v>
      </c>
      <c r="Z83" s="4"/>
      <c r="AA83" s="4"/>
      <c r="AB83" s="4"/>
      <c r="AC83" s="4"/>
      <c r="AD83" s="4"/>
      <c r="AE83" s="4"/>
      <c r="AF83" s="4"/>
      <c r="AG83" s="4"/>
      <c r="AH83" s="4"/>
      <c r="AI83" s="4"/>
      <c r="AJ83" s="4"/>
      <c r="AK83" s="4"/>
      <c r="AL83" s="4"/>
      <c r="AM83" s="4"/>
      <c r="AN83" s="4"/>
      <c r="AO83" s="4"/>
      <c r="AP83" s="4"/>
      <c r="AQ83" s="4"/>
      <c r="AR83" s="4"/>
      <c r="AS83" s="4"/>
      <c r="AT83" s="4"/>
      <c r="AV83" s="4"/>
      <c r="AW83" s="4">
        <v>3954</v>
      </c>
      <c r="AX83" s="4">
        <v>8.4</v>
      </c>
      <c r="AY83" s="4">
        <v>12</v>
      </c>
      <c r="AZ83" s="4">
        <f>(AX83/2)^2*PI()*AW83/10000</f>
        <v>21.912156369446688</v>
      </c>
      <c r="BA83" s="4"/>
      <c r="BB83" s="4"/>
      <c r="BC83" s="4"/>
      <c r="BD83" s="4">
        <v>47.6</v>
      </c>
      <c r="BE83" s="4">
        <v>43.5</v>
      </c>
      <c r="BF83" s="4">
        <v>49.5</v>
      </c>
      <c r="BG83" s="4">
        <v>43.4</v>
      </c>
      <c r="BH83" s="4">
        <v>49.4</v>
      </c>
      <c r="BI83" s="4">
        <v>48.4</v>
      </c>
      <c r="BJ83" s="4">
        <v>49.5</v>
      </c>
      <c r="BK83" s="4">
        <v>4.05</v>
      </c>
      <c r="BL83" s="4">
        <f>(2.57+1.93)/2</f>
        <v>2.25</v>
      </c>
      <c r="BM83" s="4">
        <v>2.06</v>
      </c>
      <c r="BN83" s="4">
        <v>3.73</v>
      </c>
      <c r="BO83" s="4">
        <v>21.47</v>
      </c>
      <c r="BP83" s="4">
        <f>SUM(BM83:BO83)</f>
        <v>27.259999999999998</v>
      </c>
      <c r="BQ83" s="4"/>
      <c r="BR83" s="4"/>
      <c r="BS83" s="4"/>
      <c r="BT83" s="4"/>
      <c r="BU83" s="4"/>
      <c r="BV83" s="4"/>
      <c r="BW83" s="4"/>
      <c r="BX83" s="4"/>
      <c r="BY83" s="4"/>
      <c r="BZ83" s="4"/>
      <c r="CA83" s="4">
        <v>0.38</v>
      </c>
      <c r="CB83" s="4">
        <v>0.69</v>
      </c>
      <c r="CC83" s="4">
        <v>4.05</v>
      </c>
      <c r="CD83" s="4">
        <v>1.99</v>
      </c>
      <c r="CE83" s="4">
        <f>CD83+CA83</f>
        <v>2.37</v>
      </c>
      <c r="CF83" s="4">
        <f>SUM(CA83:CD83)</f>
        <v>7.1099999999999994</v>
      </c>
      <c r="CG83" s="4">
        <v>0.8</v>
      </c>
      <c r="CH83" s="4">
        <v>0.59</v>
      </c>
      <c r="CI83" s="4"/>
      <c r="CJ83" s="4">
        <f>SUM(CG83:CI83)</f>
        <v>1.3900000000000001</v>
      </c>
      <c r="CK83" s="4">
        <f>CJ83+CF83</f>
        <v>8.5</v>
      </c>
      <c r="CL83" s="4">
        <v>11.21</v>
      </c>
      <c r="CM83" s="4">
        <v>4.4800000000000004</v>
      </c>
      <c r="CN83" s="4">
        <f>CL83-CM83</f>
        <v>6.73</v>
      </c>
      <c r="CO83" s="4">
        <f>CK83-CM83</f>
        <v>4.0199999999999996</v>
      </c>
      <c r="CP83" s="2" t="s">
        <v>554</v>
      </c>
      <c r="CQ83" s="2" t="s">
        <v>254</v>
      </c>
      <c r="CR83" s="10" t="s">
        <v>555</v>
      </c>
      <c r="CS83" s="9" t="s">
        <v>256</v>
      </c>
    </row>
    <row r="84" spans="1:97" s="2" customFormat="1" ht="15">
      <c r="A84" s="15">
        <v>81</v>
      </c>
      <c r="B84" s="15" t="s">
        <v>114</v>
      </c>
      <c r="C84" s="15" t="s">
        <v>551</v>
      </c>
      <c r="D84" s="16" t="s">
        <v>507</v>
      </c>
      <c r="E84" s="15" t="s">
        <v>556</v>
      </c>
      <c r="F84" s="17" t="s">
        <v>557</v>
      </c>
      <c r="G84" s="15">
        <v>2012</v>
      </c>
      <c r="H84" s="15">
        <v>2015</v>
      </c>
      <c r="I84" s="15">
        <v>0</v>
      </c>
      <c r="J84" s="15">
        <v>0</v>
      </c>
      <c r="K84" s="15">
        <v>0</v>
      </c>
      <c r="L84" s="15">
        <v>0</v>
      </c>
      <c r="M84" s="15">
        <v>0</v>
      </c>
      <c r="N84" s="15">
        <v>0</v>
      </c>
      <c r="O84" s="16">
        <v>18.600000000000001</v>
      </c>
      <c r="P84" s="16">
        <f t="shared" si="8"/>
        <v>163.20000000000002</v>
      </c>
      <c r="Q84" s="16">
        <v>2407</v>
      </c>
      <c r="R84" s="16">
        <v>0</v>
      </c>
      <c r="S84" s="16">
        <v>1120</v>
      </c>
      <c r="T84" s="16">
        <v>83.104169999999996</v>
      </c>
      <c r="U84" s="16">
        <v>1541.15</v>
      </c>
      <c r="V84" s="16">
        <v>1.077083</v>
      </c>
      <c r="W84" s="16"/>
      <c r="X84" s="16"/>
      <c r="Y84" s="16">
        <v>4.0999999999999996</v>
      </c>
      <c r="Z84" s="16"/>
      <c r="AA84" s="16"/>
      <c r="AB84" s="16"/>
      <c r="AC84" s="16"/>
      <c r="AD84" s="16"/>
      <c r="AE84" s="16"/>
      <c r="AF84" s="16"/>
      <c r="AG84" s="16"/>
      <c r="AH84" s="16"/>
      <c r="AI84" s="16"/>
      <c r="AJ84" s="16"/>
      <c r="AK84" s="16"/>
      <c r="AL84" s="16"/>
      <c r="AM84" s="16"/>
      <c r="AN84" s="16"/>
      <c r="AO84" s="16"/>
      <c r="AP84" s="16"/>
      <c r="AQ84" s="16"/>
      <c r="AR84" s="16"/>
      <c r="AS84" s="16"/>
      <c r="AT84" s="16"/>
      <c r="AU84" s="15"/>
      <c r="AV84" s="16"/>
      <c r="AW84" s="16">
        <v>6000</v>
      </c>
      <c r="AX84" s="16"/>
      <c r="AY84" s="16"/>
      <c r="AZ84" s="16"/>
      <c r="BA84" s="16"/>
      <c r="BB84" s="16"/>
      <c r="BC84" s="16"/>
      <c r="BD84" s="16">
        <v>47.6</v>
      </c>
      <c r="BE84" s="16">
        <v>43.5</v>
      </c>
      <c r="BF84" s="16">
        <v>49.5</v>
      </c>
      <c r="BG84" s="16">
        <v>43.4</v>
      </c>
      <c r="BH84" s="16">
        <v>49.4</v>
      </c>
      <c r="BI84" s="16">
        <v>48.4</v>
      </c>
      <c r="BJ84" s="16">
        <v>49.5</v>
      </c>
      <c r="BK84" s="16">
        <v>4.05</v>
      </c>
      <c r="BL84" s="16">
        <f>(2.57+1.93)/2</f>
        <v>2.25</v>
      </c>
      <c r="BM84" s="16">
        <v>3.13</v>
      </c>
      <c r="BN84" s="16">
        <v>5.65</v>
      </c>
      <c r="BO84" s="16">
        <v>33.26</v>
      </c>
      <c r="BP84" s="16">
        <f>SUM(BM84:BO84)</f>
        <v>42.04</v>
      </c>
      <c r="BQ84" s="16">
        <f>BU84/BP84</f>
        <v>0.80137963843958127</v>
      </c>
      <c r="BR84" s="16">
        <v>6.48</v>
      </c>
      <c r="BS84" s="16">
        <v>27.21</v>
      </c>
      <c r="BT84" s="16"/>
      <c r="BU84" s="16">
        <f>SUM(BR84:BT84)</f>
        <v>33.69</v>
      </c>
      <c r="BV84" s="16">
        <f>BU84+BP84</f>
        <v>75.72999999999999</v>
      </c>
      <c r="BW84" s="16"/>
      <c r="BX84" s="16">
        <v>70.25</v>
      </c>
      <c r="BY84" s="16"/>
      <c r="BZ84" s="16">
        <f>BV84+BX84</f>
        <v>145.97999999999999</v>
      </c>
      <c r="CA84" s="16">
        <v>0.41</v>
      </c>
      <c r="CB84" s="16">
        <v>0.75</v>
      </c>
      <c r="CC84" s="16">
        <v>4.42</v>
      </c>
      <c r="CD84" s="16">
        <v>2.1800000000000002</v>
      </c>
      <c r="CE84" s="4">
        <f>CD84+CA84</f>
        <v>2.5900000000000003</v>
      </c>
      <c r="CF84" s="16">
        <f>SUM(CA84:CD84)</f>
        <v>7.76</v>
      </c>
      <c r="CG84" s="16">
        <v>0.71</v>
      </c>
      <c r="CH84" s="16">
        <v>0.4</v>
      </c>
      <c r="CI84" s="16"/>
      <c r="CJ84" s="16">
        <f>SUM(CG84:CI84)</f>
        <v>1.1099999999999999</v>
      </c>
      <c r="CK84" s="16">
        <f>CJ84+CF84</f>
        <v>8.8699999999999992</v>
      </c>
      <c r="CL84" s="16">
        <v>11.41</v>
      </c>
      <c r="CM84" s="16">
        <v>4.55</v>
      </c>
      <c r="CN84" s="16">
        <f>CL84-CM84</f>
        <v>6.86</v>
      </c>
      <c r="CO84" s="16">
        <f>CK84-CM84</f>
        <v>4.3199999999999994</v>
      </c>
      <c r="CP84" s="15" t="s">
        <v>554</v>
      </c>
      <c r="CQ84" s="15" t="s">
        <v>254</v>
      </c>
      <c r="CR84" s="32" t="s">
        <v>555</v>
      </c>
      <c r="CS84" s="19" t="s">
        <v>256</v>
      </c>
    </row>
    <row r="85" spans="1:97" s="2" customFormat="1" ht="12.75">
      <c r="A85" s="2">
        <v>82</v>
      </c>
      <c r="B85" s="2" t="s">
        <v>558</v>
      </c>
      <c r="C85" s="2" t="s">
        <v>559</v>
      </c>
      <c r="D85" s="4" t="s">
        <v>250</v>
      </c>
      <c r="E85" s="2" t="s">
        <v>560</v>
      </c>
      <c r="F85" s="14" t="s">
        <v>561</v>
      </c>
      <c r="G85" s="2">
        <v>2018</v>
      </c>
      <c r="H85" s="2">
        <v>2018</v>
      </c>
      <c r="I85" s="2">
        <v>1</v>
      </c>
      <c r="J85" s="2">
        <v>1</v>
      </c>
      <c r="K85" s="2">
        <v>1</v>
      </c>
      <c r="L85" s="2">
        <v>1</v>
      </c>
      <c r="M85" s="2">
        <v>0</v>
      </c>
      <c r="N85" s="2">
        <v>0</v>
      </c>
      <c r="O85" s="4">
        <v>16</v>
      </c>
      <c r="P85" s="4">
        <f t="shared" si="8"/>
        <v>132</v>
      </c>
      <c r="Q85" s="4">
        <v>1600</v>
      </c>
      <c r="R85" s="4">
        <v>0</v>
      </c>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V85" s="4"/>
      <c r="AW85" s="4">
        <f>340.466*0+2272.763</f>
        <v>2272.7629999999999</v>
      </c>
      <c r="AX85" s="4">
        <v>10.199999999999999</v>
      </c>
      <c r="AY85" s="4"/>
      <c r="AZ85" s="4">
        <f>(AX85/2)^2*PI()*AW85/10000</f>
        <v>18.571388510335968</v>
      </c>
      <c r="BA85" s="4"/>
      <c r="BB85" s="4"/>
      <c r="BC85" s="4"/>
      <c r="BD85" s="4"/>
      <c r="BE85" s="4"/>
      <c r="BF85" s="4"/>
      <c r="BG85" s="4"/>
      <c r="BH85" s="4"/>
      <c r="BI85" s="4"/>
      <c r="BJ85" s="4"/>
      <c r="BK85" s="4"/>
      <c r="BL85" s="4"/>
      <c r="BM85" s="4"/>
      <c r="BN85" s="4"/>
      <c r="BO85" s="4"/>
      <c r="BP85" s="4">
        <f>BV85/1.36</f>
        <v>19.360294117647054</v>
      </c>
      <c r="BQ85" s="4">
        <v>0.36159999999999998</v>
      </c>
      <c r="BR85" s="4"/>
      <c r="BS85" s="4"/>
      <c r="BT85" s="4"/>
      <c r="BU85" s="4">
        <f>BV85-BP85</f>
        <v>6.9697058823529439</v>
      </c>
      <c r="BV85" s="4">
        <v>26.33</v>
      </c>
      <c r="BW85" s="4">
        <v>2.0699999999999998</v>
      </c>
      <c r="BX85" s="4">
        <f>50.11+44.92</f>
        <v>95.03</v>
      </c>
      <c r="BY85" s="4">
        <f>0.17+0.4</f>
        <v>0.57000000000000006</v>
      </c>
      <c r="BZ85" s="4">
        <f>SUM(BV85:BY85)</f>
        <v>124</v>
      </c>
      <c r="CA85" s="4"/>
      <c r="CB85" s="4"/>
      <c r="CC85" s="4"/>
      <c r="CD85" s="4"/>
      <c r="CE85" s="4"/>
      <c r="CF85" s="4"/>
      <c r="CG85" s="4"/>
      <c r="CH85" s="4"/>
      <c r="CI85" s="4"/>
      <c r="CJ85" s="4"/>
      <c r="CK85" s="4"/>
      <c r="CL85" s="4"/>
      <c r="CM85" s="4"/>
      <c r="CN85" s="4"/>
      <c r="CO85" s="4"/>
      <c r="CP85" s="2" t="s">
        <v>562</v>
      </c>
      <c r="CQ85" s="2" t="s">
        <v>254</v>
      </c>
      <c r="CR85" s="10" t="s">
        <v>563</v>
      </c>
      <c r="CS85" s="9" t="s">
        <v>256</v>
      </c>
    </row>
    <row r="86" spans="1:97" s="2" customFormat="1" ht="12.75">
      <c r="A86" s="2">
        <v>83</v>
      </c>
      <c r="B86" s="2" t="s">
        <v>558</v>
      </c>
      <c r="C86" s="2" t="s">
        <v>559</v>
      </c>
      <c r="D86" s="4" t="s">
        <v>250</v>
      </c>
      <c r="E86" s="2" t="s">
        <v>564</v>
      </c>
      <c r="F86" s="14" t="s">
        <v>565</v>
      </c>
      <c r="G86" s="2">
        <v>2016</v>
      </c>
      <c r="H86" s="2">
        <v>2018</v>
      </c>
      <c r="I86" s="2">
        <v>0</v>
      </c>
      <c r="J86" s="2">
        <v>0</v>
      </c>
      <c r="K86" s="2">
        <v>0</v>
      </c>
      <c r="L86" s="2">
        <v>0</v>
      </c>
      <c r="M86" s="2">
        <v>0</v>
      </c>
      <c r="N86" s="2">
        <v>0</v>
      </c>
      <c r="O86" s="4">
        <v>16</v>
      </c>
      <c r="P86" s="4">
        <f t="shared" si="8"/>
        <v>132</v>
      </c>
      <c r="Q86" s="4">
        <v>1600</v>
      </c>
      <c r="R86" s="4">
        <v>0</v>
      </c>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V86" s="4"/>
      <c r="AW86" s="4">
        <f>340.466*2+2272.763</f>
        <v>2953.6949999999997</v>
      </c>
      <c r="AX86" s="4">
        <v>10.1</v>
      </c>
      <c r="AY86" s="4"/>
      <c r="AZ86" s="4">
        <f t="shared" ref="AZ86:AZ87" si="9">(AX86/2)^2*PI()*AW86/10000</f>
        <v>23.664551434637737</v>
      </c>
      <c r="BA86" s="4"/>
      <c r="BB86" s="4"/>
      <c r="BC86" s="4"/>
      <c r="BD86" s="4"/>
      <c r="BE86" s="4"/>
      <c r="BF86" s="4"/>
      <c r="BG86" s="4"/>
      <c r="BH86" s="4"/>
      <c r="BI86" s="4"/>
      <c r="BJ86" s="4"/>
      <c r="BK86" s="4"/>
      <c r="BL86" s="4"/>
      <c r="BM86" s="4"/>
      <c r="BN86" s="4"/>
      <c r="BO86" s="4"/>
      <c r="BP86" s="4">
        <f t="shared" ref="BP86:BP88" si="10">BV86/1.36</f>
        <v>23.882352941176467</v>
      </c>
      <c r="BQ86" s="4">
        <v>0.36159999999999998</v>
      </c>
      <c r="BR86" s="4"/>
      <c r="BS86" s="4"/>
      <c r="BT86" s="4"/>
      <c r="BU86" s="4">
        <f t="shared" ref="BU86:BU88" si="11">BV86-BP86</f>
        <v>8.5976470588235294</v>
      </c>
      <c r="BV86" s="4">
        <v>32.479999999999997</v>
      </c>
      <c r="BW86" s="4">
        <v>1.43</v>
      </c>
      <c r="BX86" s="4">
        <f>56.29+46.49</f>
        <v>102.78</v>
      </c>
      <c r="BY86" s="4">
        <f>0.3+0.47</f>
        <v>0.77</v>
      </c>
      <c r="BZ86" s="4">
        <f t="shared" ref="BZ86:BZ88" si="12">SUM(BV86:BY86)</f>
        <v>137.46</v>
      </c>
      <c r="CA86" s="4"/>
      <c r="CB86" s="4"/>
      <c r="CC86" s="4"/>
      <c r="CD86" s="4"/>
      <c r="CE86" s="4"/>
      <c r="CF86" s="4"/>
      <c r="CG86" s="4"/>
      <c r="CH86" s="4"/>
      <c r="CI86" s="4"/>
      <c r="CJ86" s="4"/>
      <c r="CK86" s="4"/>
      <c r="CL86" s="4"/>
      <c r="CM86" s="4"/>
      <c r="CN86" s="4"/>
      <c r="CO86" s="4"/>
      <c r="CP86" s="2" t="s">
        <v>562</v>
      </c>
      <c r="CQ86" s="2" t="s">
        <v>254</v>
      </c>
      <c r="CR86" s="10" t="s">
        <v>563</v>
      </c>
      <c r="CS86" s="9" t="s">
        <v>256</v>
      </c>
    </row>
    <row r="87" spans="1:97" s="2" customFormat="1" ht="12.75">
      <c r="A87" s="2">
        <v>84</v>
      </c>
      <c r="B87" s="2" t="s">
        <v>558</v>
      </c>
      <c r="C87" s="2" t="s">
        <v>559</v>
      </c>
      <c r="D87" s="4" t="s">
        <v>250</v>
      </c>
      <c r="E87" s="2" t="s">
        <v>566</v>
      </c>
      <c r="F87" s="14" t="s">
        <v>567</v>
      </c>
      <c r="G87" s="2">
        <v>2008</v>
      </c>
      <c r="H87" s="2">
        <v>2018</v>
      </c>
      <c r="I87" s="2">
        <v>0</v>
      </c>
      <c r="J87" s="2">
        <v>0</v>
      </c>
      <c r="K87" s="2">
        <v>0</v>
      </c>
      <c r="L87" s="2">
        <v>0</v>
      </c>
      <c r="M87" s="2">
        <v>0</v>
      </c>
      <c r="N87" s="2">
        <v>0</v>
      </c>
      <c r="O87" s="4">
        <v>16</v>
      </c>
      <c r="P87" s="4">
        <f t="shared" si="8"/>
        <v>132</v>
      </c>
      <c r="Q87" s="4">
        <v>1600</v>
      </c>
      <c r="R87" s="4">
        <v>0</v>
      </c>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V87" s="4"/>
      <c r="AW87" s="4">
        <f>340.466*(7+10)/2+2272.763</f>
        <v>5166.7240000000002</v>
      </c>
      <c r="AX87" s="4">
        <v>9.6</v>
      </c>
      <c r="AY87" s="4"/>
      <c r="AZ87" s="4">
        <f t="shared" si="9"/>
        <v>37.397933940156065</v>
      </c>
      <c r="BA87" s="4"/>
      <c r="BB87" s="4"/>
      <c r="BC87" s="4"/>
      <c r="BD87" s="4"/>
      <c r="BE87" s="4"/>
      <c r="BF87" s="4"/>
      <c r="BG87" s="4"/>
      <c r="BH87" s="4"/>
      <c r="BI87" s="4"/>
      <c r="BJ87" s="4"/>
      <c r="BK87" s="4"/>
      <c r="BL87" s="4"/>
      <c r="BM87" s="4"/>
      <c r="BN87" s="4"/>
      <c r="BO87" s="4"/>
      <c r="BP87" s="4">
        <f t="shared" si="10"/>
        <v>36.772058823529406</v>
      </c>
      <c r="BQ87" s="4">
        <v>0.36159999999999998</v>
      </c>
      <c r="BR87" s="4"/>
      <c r="BS87" s="4"/>
      <c r="BT87" s="4"/>
      <c r="BU87" s="4">
        <f t="shared" si="11"/>
        <v>13.237941176470592</v>
      </c>
      <c r="BV87" s="4">
        <v>50.01</v>
      </c>
      <c r="BW87" s="4">
        <v>1.9</v>
      </c>
      <c r="BX87" s="4">
        <f>59.64+49.3</f>
        <v>108.94</v>
      </c>
      <c r="BY87" s="4">
        <f>0.31+0.43</f>
        <v>0.74</v>
      </c>
      <c r="BZ87" s="4">
        <f t="shared" si="12"/>
        <v>161.59</v>
      </c>
      <c r="CA87" s="4"/>
      <c r="CB87" s="4"/>
      <c r="CC87" s="4"/>
      <c r="CD87" s="4"/>
      <c r="CE87" s="4"/>
      <c r="CF87" s="4"/>
      <c r="CG87" s="4"/>
      <c r="CH87" s="4"/>
      <c r="CI87" s="4"/>
      <c r="CJ87" s="4"/>
      <c r="CK87" s="4"/>
      <c r="CL87" s="4"/>
      <c r="CM87" s="4"/>
      <c r="CN87" s="4"/>
      <c r="CO87" s="4"/>
      <c r="CP87" s="2" t="s">
        <v>562</v>
      </c>
      <c r="CQ87" s="2" t="s">
        <v>254</v>
      </c>
      <c r="CR87" s="10" t="s">
        <v>563</v>
      </c>
      <c r="CS87" s="9" t="s">
        <v>256</v>
      </c>
    </row>
    <row r="88" spans="1:97" s="2" customFormat="1" ht="12.75">
      <c r="A88" s="2">
        <v>85</v>
      </c>
      <c r="B88" s="2" t="s">
        <v>558</v>
      </c>
      <c r="C88" s="2" t="s">
        <v>559</v>
      </c>
      <c r="D88" s="4" t="s">
        <v>250</v>
      </c>
      <c r="E88" s="2" t="s">
        <v>568</v>
      </c>
      <c r="F88" s="14" t="s">
        <v>569</v>
      </c>
      <c r="G88" s="2">
        <v>2000</v>
      </c>
      <c r="H88" s="2">
        <v>2018</v>
      </c>
      <c r="I88" s="2">
        <v>0</v>
      </c>
      <c r="J88" s="2">
        <v>0</v>
      </c>
      <c r="K88" s="2">
        <v>0</v>
      </c>
      <c r="L88" s="2">
        <v>0</v>
      </c>
      <c r="M88" s="2">
        <v>0</v>
      </c>
      <c r="N88" s="2">
        <v>0</v>
      </c>
      <c r="O88" s="4">
        <v>16</v>
      </c>
      <c r="P88" s="4">
        <f t="shared" si="8"/>
        <v>132</v>
      </c>
      <c r="Q88" s="4">
        <v>1600</v>
      </c>
      <c r="R88" s="4">
        <v>0</v>
      </c>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V88" s="4"/>
      <c r="AW88" s="4">
        <f>340.466*(15+18)/2+2272.763</f>
        <v>7890.4520000000002</v>
      </c>
      <c r="AX88" s="4">
        <v>8.6</v>
      </c>
      <c r="AY88" s="4"/>
      <c r="AZ88" s="4">
        <f>(AX88/2)^2*PI()*AW88/10000</f>
        <v>45.834095581863643</v>
      </c>
      <c r="BA88" s="4"/>
      <c r="BB88" s="4"/>
      <c r="BC88" s="4"/>
      <c r="BD88" s="4"/>
      <c r="BE88" s="4"/>
      <c r="BF88" s="4"/>
      <c r="BG88" s="4"/>
      <c r="BH88" s="4"/>
      <c r="BI88" s="4"/>
      <c r="BJ88" s="4"/>
      <c r="BK88" s="4"/>
      <c r="BL88" s="4"/>
      <c r="BM88" s="4"/>
      <c r="BN88" s="4"/>
      <c r="BO88" s="4"/>
      <c r="BP88" s="4">
        <f t="shared" si="10"/>
        <v>47.882352941176471</v>
      </c>
      <c r="BQ88" s="4">
        <v>0.36159999999999998</v>
      </c>
      <c r="BR88" s="4"/>
      <c r="BS88" s="4"/>
      <c r="BT88" s="4"/>
      <c r="BU88" s="4">
        <f t="shared" si="11"/>
        <v>17.237647058823534</v>
      </c>
      <c r="BV88" s="4">
        <v>65.12</v>
      </c>
      <c r="BW88" s="4">
        <v>2.65</v>
      </c>
      <c r="BX88" s="4">
        <f>65.41+48.32</f>
        <v>113.72999999999999</v>
      </c>
      <c r="BY88" s="4">
        <f>0.14+0.07</f>
        <v>0.21000000000000002</v>
      </c>
      <c r="BZ88" s="4">
        <f t="shared" si="12"/>
        <v>181.71</v>
      </c>
      <c r="CA88" s="4"/>
      <c r="CB88" s="4"/>
      <c r="CC88" s="4"/>
      <c r="CD88" s="4"/>
      <c r="CE88" s="4"/>
      <c r="CF88" s="4"/>
      <c r="CG88" s="4"/>
      <c r="CH88" s="4"/>
      <c r="CI88" s="4"/>
      <c r="CJ88" s="4"/>
      <c r="CK88" s="4"/>
      <c r="CL88" s="4"/>
      <c r="CM88" s="4"/>
      <c r="CN88" s="4"/>
      <c r="CO88" s="4"/>
      <c r="CP88" s="2" t="s">
        <v>562</v>
      </c>
      <c r="CQ88" s="2" t="s">
        <v>254</v>
      </c>
      <c r="CR88" s="10" t="s">
        <v>563</v>
      </c>
      <c r="CS88" s="9" t="s">
        <v>256</v>
      </c>
    </row>
    <row r="89" spans="1:97" s="2" customFormat="1" ht="12.75">
      <c r="A89" s="2">
        <v>86</v>
      </c>
      <c r="B89" s="2" t="s">
        <v>558</v>
      </c>
      <c r="C89" s="2" t="s">
        <v>570</v>
      </c>
      <c r="D89" s="4" t="s">
        <v>250</v>
      </c>
      <c r="E89" s="2" t="s">
        <v>571</v>
      </c>
      <c r="F89" s="14" t="s">
        <v>572</v>
      </c>
      <c r="G89" s="2">
        <v>1989</v>
      </c>
      <c r="H89" s="2">
        <v>1990</v>
      </c>
      <c r="I89" s="2">
        <v>1</v>
      </c>
      <c r="J89" s="2">
        <v>0</v>
      </c>
      <c r="K89" s="2">
        <v>0</v>
      </c>
      <c r="L89" s="2">
        <v>1</v>
      </c>
      <c r="M89" s="2">
        <v>0</v>
      </c>
      <c r="N89" s="2">
        <v>0</v>
      </c>
      <c r="O89" s="4">
        <v>21.2</v>
      </c>
      <c r="P89" s="4">
        <f>(O89-5)*12</f>
        <v>194.39999999999998</v>
      </c>
      <c r="Q89" s="4">
        <v>2001.2</v>
      </c>
      <c r="R89" s="4">
        <v>0</v>
      </c>
      <c r="S89" s="4">
        <f>(320+350)/2</f>
        <v>335</v>
      </c>
      <c r="T89" s="4">
        <v>81.400000000000006</v>
      </c>
      <c r="U89" s="4">
        <v>1820</v>
      </c>
      <c r="V89" s="4"/>
      <c r="W89" s="4"/>
      <c r="X89" s="4"/>
      <c r="Y89" s="4">
        <v>5.2</v>
      </c>
      <c r="Z89" s="4"/>
      <c r="AA89" s="4"/>
      <c r="AB89" s="4"/>
      <c r="AC89" s="4"/>
      <c r="AD89" s="4"/>
      <c r="AE89" s="4"/>
      <c r="AF89" s="4"/>
      <c r="AG89" s="4"/>
      <c r="AH89" s="4"/>
      <c r="AI89" s="4"/>
      <c r="AJ89" s="4"/>
      <c r="AK89" s="4"/>
      <c r="AL89" s="4"/>
      <c r="AM89" s="4"/>
      <c r="AN89" s="4"/>
      <c r="AO89" s="4"/>
      <c r="AP89" s="4"/>
      <c r="AQ89" s="4"/>
      <c r="AR89" s="4"/>
      <c r="AS89" s="4"/>
      <c r="AT89" s="4"/>
      <c r="AV89" s="4"/>
      <c r="AW89" s="4"/>
      <c r="AX89" s="4"/>
      <c r="AY89" s="4">
        <v>16</v>
      </c>
      <c r="AZ89" s="4"/>
      <c r="BA89" s="4"/>
      <c r="BB89" s="4"/>
      <c r="BC89" s="4"/>
      <c r="BD89" s="4"/>
      <c r="BE89" s="4"/>
      <c r="BF89" s="4"/>
      <c r="BG89" s="4"/>
      <c r="BH89" s="4"/>
      <c r="BI89" s="4"/>
      <c r="BJ89" s="4"/>
      <c r="BK89" s="4"/>
      <c r="BL89" s="4"/>
      <c r="BM89" s="4">
        <f>3.23%*BV89</f>
        <v>1.258731</v>
      </c>
      <c r="BN89" s="4">
        <f>10.7%*BV89</f>
        <v>4.1697899999999999</v>
      </c>
      <c r="BO89" s="4">
        <f>58.67%*BV89</f>
        <v>22.863699</v>
      </c>
      <c r="BP89" s="4">
        <f>56.58*0.5</f>
        <v>28.29</v>
      </c>
      <c r="BQ89" s="4">
        <f t="shared" ref="BQ89" si="13">BU89/BP89</f>
        <v>0.37751855779427362</v>
      </c>
      <c r="BR89" s="4">
        <f>17.25%*BV89</f>
        <v>6.7223249999999997</v>
      </c>
      <c r="BS89" s="4">
        <f>10.16%*BV89</f>
        <v>3.9593519999999995</v>
      </c>
      <c r="BT89" s="4"/>
      <c r="BU89" s="4">
        <f>21.36*0.5</f>
        <v>10.68</v>
      </c>
      <c r="BV89" s="4">
        <f>BP89+BU89</f>
        <v>38.97</v>
      </c>
      <c r="BW89" s="4"/>
      <c r="BX89" s="4"/>
      <c r="BY89" s="4">
        <f>0.495*0.5</f>
        <v>0.2475</v>
      </c>
      <c r="BZ89" s="4"/>
      <c r="CA89" s="4"/>
      <c r="CB89" s="4"/>
      <c r="CC89" s="4"/>
      <c r="CD89" s="4">
        <f>2.475*0.5</f>
        <v>1.2375</v>
      </c>
      <c r="CE89" s="4"/>
      <c r="CF89" s="4">
        <f>(10.77+0.054+0.326)*0.5+CD89</f>
        <v>6.8125</v>
      </c>
      <c r="CG89" s="4"/>
      <c r="CH89" s="4"/>
      <c r="CI89" s="4"/>
      <c r="CJ89" s="4">
        <v>4.2720000000000002</v>
      </c>
      <c r="CK89" s="4">
        <f>CF89+CJ89</f>
        <v>11.0845</v>
      </c>
      <c r="CL89" s="4"/>
      <c r="CM89" s="4"/>
      <c r="CN89" s="4"/>
      <c r="CO89" s="4"/>
      <c r="CP89" s="2" t="s">
        <v>573</v>
      </c>
      <c r="CQ89" s="2" t="s">
        <v>254</v>
      </c>
      <c r="CR89" s="10" t="s">
        <v>574</v>
      </c>
      <c r="CS89" s="9" t="s">
        <v>256</v>
      </c>
    </row>
    <row r="90" spans="1:97" s="2" customFormat="1" ht="12.75">
      <c r="A90" s="2">
        <v>87</v>
      </c>
      <c r="B90" s="2" t="s">
        <v>558</v>
      </c>
      <c r="C90" s="2" t="s">
        <v>575</v>
      </c>
      <c r="D90" s="4" t="s">
        <v>116</v>
      </c>
      <c r="E90" s="2" t="s">
        <v>576</v>
      </c>
      <c r="F90" s="14" t="s">
        <v>577</v>
      </c>
      <c r="G90" s="2">
        <v>2010</v>
      </c>
      <c r="H90" s="2">
        <v>2011</v>
      </c>
      <c r="I90" s="2">
        <v>1</v>
      </c>
      <c r="J90" s="2">
        <v>0</v>
      </c>
      <c r="K90" s="2">
        <v>0</v>
      </c>
      <c r="L90" s="2">
        <v>1</v>
      </c>
      <c r="M90" s="2">
        <v>0</v>
      </c>
      <c r="N90" s="2">
        <v>0</v>
      </c>
      <c r="O90" s="4">
        <v>16.600000000000001</v>
      </c>
      <c r="P90" s="4">
        <f>(O90-5)*12</f>
        <v>139.20000000000002</v>
      </c>
      <c r="Q90" s="4">
        <v>1270</v>
      </c>
      <c r="R90" s="4">
        <v>0</v>
      </c>
      <c r="S90" s="4">
        <v>380</v>
      </c>
      <c r="T90" s="4">
        <v>70.2</v>
      </c>
      <c r="U90" s="4">
        <v>2021</v>
      </c>
      <c r="V90" s="4"/>
      <c r="W90" s="4"/>
      <c r="X90" s="4"/>
      <c r="Y90" s="4"/>
      <c r="Z90" s="4"/>
      <c r="AA90" s="4"/>
      <c r="AB90" s="4"/>
      <c r="AC90" s="4"/>
      <c r="AD90" s="4"/>
      <c r="AE90" s="4"/>
      <c r="AF90" s="4"/>
      <c r="AG90" s="4"/>
      <c r="AH90" s="4"/>
      <c r="AI90" s="4"/>
      <c r="AJ90" s="4"/>
      <c r="AK90" s="4"/>
      <c r="AL90" s="4"/>
      <c r="AM90" s="4"/>
      <c r="AN90" s="4"/>
      <c r="AO90" s="4"/>
      <c r="AP90" s="4"/>
      <c r="AQ90" s="4"/>
      <c r="AR90" s="4"/>
      <c r="AS90" s="4"/>
      <c r="AT90" s="4"/>
      <c r="AV90" s="4"/>
      <c r="AW90" s="4"/>
      <c r="AX90" s="4">
        <f>(12+18)/2</f>
        <v>15</v>
      </c>
      <c r="AY90" s="4">
        <f>(13+20)/2</f>
        <v>16.5</v>
      </c>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v>6.68</v>
      </c>
      <c r="CP90" s="2" t="s">
        <v>578</v>
      </c>
      <c r="CQ90" s="2" t="s">
        <v>254</v>
      </c>
      <c r="CR90" s="10" t="s">
        <v>579</v>
      </c>
      <c r="CS90" s="9" t="s">
        <v>256</v>
      </c>
    </row>
    <row r="91" spans="1:97" s="2" customFormat="1" ht="12.75">
      <c r="A91" s="2">
        <v>88</v>
      </c>
      <c r="B91" s="2" t="s">
        <v>558</v>
      </c>
      <c r="C91" s="2" t="s">
        <v>580</v>
      </c>
      <c r="D91" s="4" t="s">
        <v>116</v>
      </c>
      <c r="E91" s="2" t="s">
        <v>581</v>
      </c>
      <c r="F91" s="14" t="s">
        <v>582</v>
      </c>
      <c r="G91" s="2">
        <v>2014</v>
      </c>
      <c r="H91" s="2">
        <v>2016</v>
      </c>
      <c r="I91" s="2">
        <v>1</v>
      </c>
      <c r="J91" s="2">
        <v>0</v>
      </c>
      <c r="K91" s="2">
        <v>1</v>
      </c>
      <c r="L91" s="2">
        <v>0</v>
      </c>
      <c r="M91" s="2">
        <v>0</v>
      </c>
      <c r="N91" s="2">
        <v>0</v>
      </c>
      <c r="O91" s="4">
        <v>15.8</v>
      </c>
      <c r="P91" s="4">
        <f t="shared" si="8"/>
        <v>129.60000000000002</v>
      </c>
      <c r="Q91" s="4">
        <v>1450</v>
      </c>
      <c r="R91" s="4">
        <v>0</v>
      </c>
      <c r="S91" s="4">
        <f>(150+200)/2</f>
        <v>175</v>
      </c>
      <c r="T91" s="4"/>
      <c r="U91" s="4">
        <v>1847</v>
      </c>
      <c r="V91" s="4"/>
      <c r="W91" s="4"/>
      <c r="X91" s="4"/>
      <c r="Y91" s="4">
        <f>(4.96+4.96)/2</f>
        <v>4.96</v>
      </c>
      <c r="Z91" s="4">
        <v>1.76</v>
      </c>
      <c r="AA91" s="4"/>
      <c r="AB91" s="4"/>
      <c r="AC91" s="4">
        <v>7.52</v>
      </c>
      <c r="AD91" s="4"/>
      <c r="AE91" s="4"/>
      <c r="AF91" s="4"/>
      <c r="AG91" s="4"/>
      <c r="AH91" s="4"/>
      <c r="AI91" s="4">
        <f>(498/(498+321+181)*100)</f>
        <v>49.8</v>
      </c>
      <c r="AJ91" s="4">
        <f>(321/(498+321+181)*100)</f>
        <v>32.1</v>
      </c>
      <c r="AK91" s="4">
        <f>(181/(498+321+181)*100)</f>
        <v>18.099999999999998</v>
      </c>
      <c r="AL91" s="4"/>
      <c r="AM91" s="4"/>
      <c r="AN91" s="4"/>
      <c r="AO91" s="4"/>
      <c r="AP91" s="4"/>
      <c r="AQ91" s="4"/>
      <c r="AR91" s="4"/>
      <c r="AS91" s="4"/>
      <c r="AT91" s="4"/>
      <c r="AV91" s="4"/>
      <c r="AW91" s="4">
        <v>3000</v>
      </c>
      <c r="AX91" s="4">
        <v>9.8000000000000007</v>
      </c>
      <c r="AY91" s="4"/>
      <c r="AZ91" s="4">
        <f t="shared" ref="AZ91:AZ101" si="14">(AX91/2)^2*PI()*AW91/10000</f>
        <v>22.628891883807285</v>
      </c>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f>31.66*12/44</f>
        <v>8.6345454545454547</v>
      </c>
      <c r="CM91" s="4">
        <f>20.11*12/44</f>
        <v>5.4845454545454544</v>
      </c>
      <c r="CN91" s="4">
        <f>CL91-CM91</f>
        <v>3.1500000000000004</v>
      </c>
      <c r="CO91" s="4"/>
      <c r="CP91" s="2" t="s">
        <v>583</v>
      </c>
      <c r="CQ91" s="2" t="s">
        <v>254</v>
      </c>
      <c r="CR91" s="10" t="s">
        <v>584</v>
      </c>
      <c r="CS91" s="9" t="s">
        <v>256</v>
      </c>
    </row>
    <row r="92" spans="1:97" s="2" customFormat="1" ht="12.75">
      <c r="A92" s="2">
        <v>89</v>
      </c>
      <c r="B92" s="2" t="s">
        <v>558</v>
      </c>
      <c r="C92" s="2" t="s">
        <v>580</v>
      </c>
      <c r="D92" s="4" t="s">
        <v>116</v>
      </c>
      <c r="E92" s="2" t="s">
        <v>585</v>
      </c>
      <c r="F92" s="14" t="s">
        <v>586</v>
      </c>
      <c r="G92" s="2">
        <v>2014</v>
      </c>
      <c r="H92" s="2">
        <v>2016</v>
      </c>
      <c r="I92" s="2">
        <v>1</v>
      </c>
      <c r="J92" s="2">
        <v>1</v>
      </c>
      <c r="K92" s="2">
        <v>1</v>
      </c>
      <c r="L92" s="2">
        <v>0</v>
      </c>
      <c r="M92" s="2">
        <v>0</v>
      </c>
      <c r="N92" s="2">
        <v>0</v>
      </c>
      <c r="O92" s="4">
        <v>15.8</v>
      </c>
      <c r="P92" s="4">
        <f t="shared" si="8"/>
        <v>129.60000000000002</v>
      </c>
      <c r="Q92" s="4">
        <v>1450</v>
      </c>
      <c r="R92" s="4">
        <v>0</v>
      </c>
      <c r="S92" s="4">
        <f>(150+200)/2</f>
        <v>175</v>
      </c>
      <c r="T92" s="4"/>
      <c r="U92" s="4">
        <v>1847</v>
      </c>
      <c r="V92" s="4"/>
      <c r="W92" s="4"/>
      <c r="X92" s="4"/>
      <c r="Y92" s="4">
        <v>5.18</v>
      </c>
      <c r="Z92" s="4">
        <v>2.15</v>
      </c>
      <c r="AA92" s="4"/>
      <c r="AB92" s="4"/>
      <c r="AC92" s="4">
        <v>9.1</v>
      </c>
      <c r="AD92" s="4"/>
      <c r="AE92" s="4"/>
      <c r="AF92" s="4"/>
      <c r="AG92" s="4"/>
      <c r="AH92" s="4"/>
      <c r="AI92" s="4">
        <f>(498/(498+321+181)*100)</f>
        <v>49.8</v>
      </c>
      <c r="AJ92" s="4">
        <f>(321/(498+321+181)*100)</f>
        <v>32.1</v>
      </c>
      <c r="AK92" s="4">
        <f>(181/(498+321+181)*100)</f>
        <v>18.099999999999998</v>
      </c>
      <c r="AL92" s="4"/>
      <c r="AM92" s="4"/>
      <c r="AN92" s="4"/>
      <c r="AO92" s="4"/>
      <c r="AP92" s="4"/>
      <c r="AQ92" s="4"/>
      <c r="AR92" s="4"/>
      <c r="AS92" s="4"/>
      <c r="AT92" s="4"/>
      <c r="AV92" s="4"/>
      <c r="AW92" s="4">
        <v>3000</v>
      </c>
      <c r="AX92" s="4">
        <v>9.8000000000000007</v>
      </c>
      <c r="AY92" s="4"/>
      <c r="AZ92" s="4">
        <f t="shared" si="14"/>
        <v>22.628891883807285</v>
      </c>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f>32.32*12/44</f>
        <v>8.8145454545454545</v>
      </c>
      <c r="CM92" s="4">
        <f>17.71*12/44</f>
        <v>4.83</v>
      </c>
      <c r="CN92" s="4">
        <f>CL92-CM92</f>
        <v>3.9845454545454544</v>
      </c>
      <c r="CO92" s="4"/>
      <c r="CP92" s="2" t="s">
        <v>583</v>
      </c>
      <c r="CQ92" s="2" t="s">
        <v>254</v>
      </c>
      <c r="CR92" s="10" t="s">
        <v>584</v>
      </c>
      <c r="CS92" s="9" t="s">
        <v>256</v>
      </c>
    </row>
    <row r="93" spans="1:97" s="2" customFormat="1" ht="12.75">
      <c r="A93" s="2">
        <v>90</v>
      </c>
      <c r="B93" s="2" t="s">
        <v>558</v>
      </c>
      <c r="C93" s="2" t="s">
        <v>580</v>
      </c>
      <c r="D93" s="4" t="s">
        <v>116</v>
      </c>
      <c r="E93" s="2" t="s">
        <v>587</v>
      </c>
      <c r="F93" s="14" t="s">
        <v>588</v>
      </c>
      <c r="G93" s="2">
        <v>2014</v>
      </c>
      <c r="H93" s="2">
        <v>2016</v>
      </c>
      <c r="I93" s="2">
        <v>1</v>
      </c>
      <c r="J93" s="2">
        <v>1</v>
      </c>
      <c r="K93" s="2">
        <v>1</v>
      </c>
      <c r="L93" s="2">
        <v>0</v>
      </c>
      <c r="M93" s="2">
        <v>0</v>
      </c>
      <c r="N93" s="2">
        <v>0</v>
      </c>
      <c r="O93" s="4">
        <v>15.8</v>
      </c>
      <c r="P93" s="4">
        <f t="shared" si="8"/>
        <v>129.60000000000002</v>
      </c>
      <c r="Q93" s="4">
        <v>1450</v>
      </c>
      <c r="R93" s="4">
        <v>0</v>
      </c>
      <c r="S93" s="4">
        <f>(150+200)/2</f>
        <v>175</v>
      </c>
      <c r="T93" s="4"/>
      <c r="U93" s="4">
        <v>1847</v>
      </c>
      <c r="V93" s="4"/>
      <c r="W93" s="4"/>
      <c r="X93" s="4"/>
      <c r="Y93" s="4">
        <v>4.62</v>
      </c>
      <c r="Z93" s="4">
        <v>2.02</v>
      </c>
      <c r="AA93" s="4"/>
      <c r="AB93" s="4"/>
      <c r="AC93" s="4">
        <v>8.7899999999999991</v>
      </c>
      <c r="AD93" s="4"/>
      <c r="AE93" s="4"/>
      <c r="AF93" s="4"/>
      <c r="AG93" s="4"/>
      <c r="AH93" s="4"/>
      <c r="AI93" s="4">
        <f>(498/(498+321+181)*100)</f>
        <v>49.8</v>
      </c>
      <c r="AJ93" s="4">
        <f>(321/(498+321+181)*100)</f>
        <v>32.1</v>
      </c>
      <c r="AK93" s="4">
        <f>(181/(498+321+181)*100)</f>
        <v>18.099999999999998</v>
      </c>
      <c r="AL93" s="4"/>
      <c r="AM93" s="4"/>
      <c r="AN93" s="4"/>
      <c r="AO93" s="4"/>
      <c r="AP93" s="4"/>
      <c r="AQ93" s="4"/>
      <c r="AR93" s="4"/>
      <c r="AS93" s="4"/>
      <c r="AT93" s="4"/>
      <c r="AV93" s="4"/>
      <c r="AW93" s="4">
        <v>3000</v>
      </c>
      <c r="AX93" s="4">
        <v>9.8000000000000007</v>
      </c>
      <c r="AY93" s="4"/>
      <c r="AZ93" s="4">
        <f t="shared" si="14"/>
        <v>22.628891883807285</v>
      </c>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f>37.65*12/44</f>
        <v>10.268181818181818</v>
      </c>
      <c r="CM93" s="4">
        <f>22.06*12/44</f>
        <v>6.0163636363636357</v>
      </c>
      <c r="CN93" s="4">
        <f>CL93-CM93</f>
        <v>4.2518181818181819</v>
      </c>
      <c r="CO93" s="4"/>
      <c r="CP93" s="2" t="s">
        <v>583</v>
      </c>
      <c r="CQ93" s="2" t="s">
        <v>254</v>
      </c>
      <c r="CR93" s="10" t="s">
        <v>584</v>
      </c>
      <c r="CS93" s="9" t="s">
        <v>256</v>
      </c>
    </row>
    <row r="94" spans="1:97" s="2" customFormat="1" ht="12.75">
      <c r="A94" s="2">
        <v>91</v>
      </c>
      <c r="B94" s="2" t="s">
        <v>558</v>
      </c>
      <c r="C94" s="2" t="s">
        <v>580</v>
      </c>
      <c r="D94" s="4" t="s">
        <v>116</v>
      </c>
      <c r="E94" s="2" t="s">
        <v>589</v>
      </c>
      <c r="F94" s="14" t="s">
        <v>590</v>
      </c>
      <c r="G94" s="2">
        <v>2014</v>
      </c>
      <c r="H94" s="2">
        <v>2016</v>
      </c>
      <c r="I94" s="2">
        <v>1</v>
      </c>
      <c r="J94" s="2">
        <v>1</v>
      </c>
      <c r="K94" s="2">
        <v>1</v>
      </c>
      <c r="L94" s="2">
        <v>0</v>
      </c>
      <c r="M94" s="2">
        <v>0</v>
      </c>
      <c r="N94" s="2">
        <v>0</v>
      </c>
      <c r="O94" s="4">
        <v>15.8</v>
      </c>
      <c r="P94" s="4">
        <f t="shared" si="8"/>
        <v>129.60000000000002</v>
      </c>
      <c r="Q94" s="4">
        <v>1450</v>
      </c>
      <c r="R94" s="4">
        <v>0</v>
      </c>
      <c r="S94" s="4">
        <f>(150+200)/2</f>
        <v>175</v>
      </c>
      <c r="T94" s="4"/>
      <c r="U94" s="4">
        <v>1847</v>
      </c>
      <c r="V94" s="4"/>
      <c r="W94" s="4"/>
      <c r="X94" s="4"/>
      <c r="Y94" s="4">
        <v>4.8499999999999996</v>
      </c>
      <c r="Z94" s="4">
        <v>2.09</v>
      </c>
      <c r="AA94" s="4"/>
      <c r="AB94" s="4"/>
      <c r="AC94" s="4">
        <v>8.81</v>
      </c>
      <c r="AD94" s="4"/>
      <c r="AE94" s="4"/>
      <c r="AF94" s="4"/>
      <c r="AG94" s="4"/>
      <c r="AH94" s="4"/>
      <c r="AI94" s="4">
        <f>(498/(498+321+181)*100)</f>
        <v>49.8</v>
      </c>
      <c r="AJ94" s="4">
        <f>(321/(498+321+181)*100)</f>
        <v>32.1</v>
      </c>
      <c r="AK94" s="4">
        <f>(181/(498+321+181)*100)</f>
        <v>18.099999999999998</v>
      </c>
      <c r="AL94" s="4"/>
      <c r="AM94" s="4"/>
      <c r="AN94" s="4"/>
      <c r="AO94" s="4"/>
      <c r="AP94" s="4"/>
      <c r="AQ94" s="4"/>
      <c r="AR94" s="4"/>
      <c r="AS94" s="4"/>
      <c r="AT94" s="4"/>
      <c r="AV94" s="4"/>
      <c r="AW94" s="4">
        <v>3000</v>
      </c>
      <c r="AX94" s="4">
        <v>9.8000000000000007</v>
      </c>
      <c r="AY94" s="4"/>
      <c r="AZ94" s="4">
        <f t="shared" si="14"/>
        <v>22.628891883807285</v>
      </c>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f>36.53*12/44</f>
        <v>9.9627272727272729</v>
      </c>
      <c r="CM94" s="4">
        <f>21.47*12/44</f>
        <v>5.8554545454545455</v>
      </c>
      <c r="CN94" s="4">
        <f>CL94-CM94</f>
        <v>4.1072727272727274</v>
      </c>
      <c r="CO94" s="4"/>
      <c r="CP94" s="2" t="s">
        <v>583</v>
      </c>
      <c r="CQ94" s="2" t="s">
        <v>254</v>
      </c>
      <c r="CR94" s="10" t="s">
        <v>584</v>
      </c>
      <c r="CS94" s="9" t="s">
        <v>256</v>
      </c>
    </row>
    <row r="95" spans="1:97" s="2" customFormat="1" ht="12.75">
      <c r="A95" s="2">
        <v>92</v>
      </c>
      <c r="B95" s="2" t="s">
        <v>558</v>
      </c>
      <c r="C95" s="2" t="s">
        <v>591</v>
      </c>
      <c r="D95" s="4" t="s">
        <v>250</v>
      </c>
      <c r="E95" s="2" t="s">
        <v>592</v>
      </c>
      <c r="F95" s="14" t="s">
        <v>593</v>
      </c>
      <c r="G95" s="2">
        <v>2013</v>
      </c>
      <c r="H95" s="2">
        <v>2013</v>
      </c>
      <c r="I95" s="2">
        <v>1</v>
      </c>
      <c r="J95" s="2">
        <v>0</v>
      </c>
      <c r="K95" s="2">
        <v>1</v>
      </c>
      <c r="L95" s="2">
        <v>1</v>
      </c>
      <c r="M95" s="2">
        <v>0</v>
      </c>
      <c r="N95" s="2">
        <v>0</v>
      </c>
      <c r="O95" s="4">
        <v>16.399999999999999</v>
      </c>
      <c r="P95" s="4">
        <f t="shared" si="8"/>
        <v>136.79999999999998</v>
      </c>
      <c r="Q95" s="4">
        <v>1628</v>
      </c>
      <c r="R95" s="4">
        <v>0</v>
      </c>
      <c r="S95" s="4">
        <f>(165+220)/2</f>
        <v>192.5</v>
      </c>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V95" s="4"/>
      <c r="AW95" s="4">
        <v>3400</v>
      </c>
      <c r="AX95" s="4">
        <v>10.1</v>
      </c>
      <c r="AY95" s="4"/>
      <c r="AZ95" s="4">
        <f t="shared" si="14"/>
        <v>27.240278660379055</v>
      </c>
      <c r="BA95" s="4"/>
      <c r="BB95" s="4"/>
      <c r="BC95" s="4"/>
      <c r="BD95" s="4"/>
      <c r="BE95" s="4"/>
      <c r="BF95" s="4"/>
      <c r="BG95" s="4"/>
      <c r="BH95" s="4"/>
      <c r="BI95" s="4"/>
      <c r="BJ95" s="4"/>
      <c r="BK95" s="4"/>
      <c r="BL95" s="4"/>
      <c r="BM95" s="4"/>
      <c r="BN95" s="4">
        <v>7.0030480000000006</v>
      </c>
      <c r="BO95" s="4">
        <v>27.351870000000002</v>
      </c>
      <c r="BP95" s="4">
        <f>SUM(BM95:BO95)</f>
        <v>34.354918000000005</v>
      </c>
      <c r="BQ95" s="4">
        <f>BU95/BP95</f>
        <v>0.7056956445071414</v>
      </c>
      <c r="BR95" s="4">
        <v>8.317634</v>
      </c>
      <c r="BS95" s="4">
        <v>4.955444</v>
      </c>
      <c r="BT95" s="4">
        <v>10.971037999999998</v>
      </c>
      <c r="BU95" s="4">
        <f>SUM(BR95:BT95)</f>
        <v>24.244115999999998</v>
      </c>
      <c r="BV95" s="4">
        <f>BP95+BU95</f>
        <v>58.599034000000003</v>
      </c>
      <c r="BW95" s="4">
        <v>1.799226</v>
      </c>
      <c r="BX95" s="4">
        <v>119.5</v>
      </c>
      <c r="BY95" s="4"/>
      <c r="BZ95" s="4">
        <f>SUM(BV95:BY95)</f>
        <v>179.89825999999999</v>
      </c>
      <c r="CA95" s="4"/>
      <c r="CB95" s="4"/>
      <c r="CC95" s="4"/>
      <c r="CD95" s="4"/>
      <c r="CE95" s="4"/>
      <c r="CF95" s="4">
        <f>BP95/5</f>
        <v>6.8709836000000006</v>
      </c>
      <c r="CG95" s="4"/>
      <c r="CH95" s="4"/>
      <c r="CI95" s="4"/>
      <c r="CJ95" s="4"/>
      <c r="CK95" s="4"/>
      <c r="CL95" s="4"/>
      <c r="CM95" s="4"/>
      <c r="CN95" s="4"/>
      <c r="CO95" s="4"/>
      <c r="CP95" s="2" t="s">
        <v>594</v>
      </c>
      <c r="CQ95" s="2" t="s">
        <v>254</v>
      </c>
      <c r="CR95" s="10" t="s">
        <v>595</v>
      </c>
      <c r="CS95" s="9" t="s">
        <v>256</v>
      </c>
    </row>
    <row r="96" spans="1:97" s="2" customFormat="1" ht="12.75">
      <c r="A96" s="2">
        <v>93</v>
      </c>
      <c r="B96" s="2" t="s">
        <v>558</v>
      </c>
      <c r="C96" s="2" t="s">
        <v>596</v>
      </c>
      <c r="D96" s="4" t="s">
        <v>250</v>
      </c>
      <c r="E96" s="2" t="s">
        <v>592</v>
      </c>
      <c r="F96" s="14" t="s">
        <v>597</v>
      </c>
      <c r="G96" s="2">
        <v>2013</v>
      </c>
      <c r="H96" s="2">
        <v>2013</v>
      </c>
      <c r="I96" s="2">
        <v>1</v>
      </c>
      <c r="J96" s="2">
        <v>0</v>
      </c>
      <c r="K96" s="2">
        <v>1</v>
      </c>
      <c r="L96" s="2">
        <v>1</v>
      </c>
      <c r="M96" s="2">
        <v>0</v>
      </c>
      <c r="N96" s="2">
        <v>0</v>
      </c>
      <c r="O96" s="4">
        <v>17.100000000000001</v>
      </c>
      <c r="P96" s="4">
        <f t="shared" si="8"/>
        <v>145.20000000000002</v>
      </c>
      <c r="Q96" s="4">
        <v>1602</v>
      </c>
      <c r="R96" s="4">
        <v>0</v>
      </c>
      <c r="S96" s="4">
        <f>(248+265)/2</f>
        <v>256.5</v>
      </c>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V96" s="4"/>
      <c r="AW96" s="4">
        <v>3378</v>
      </c>
      <c r="AX96" s="4">
        <v>10.119999999999999</v>
      </c>
      <c r="AY96" s="4"/>
      <c r="AZ96" s="4">
        <f t="shared" si="14"/>
        <v>27.171308386589551</v>
      </c>
      <c r="BA96" s="4"/>
      <c r="BB96" s="4"/>
      <c r="BC96" s="4"/>
      <c r="BD96" s="4"/>
      <c r="BE96" s="4"/>
      <c r="BF96" s="4"/>
      <c r="BG96" s="4"/>
      <c r="BH96" s="4"/>
      <c r="BI96" s="4"/>
      <c r="BJ96" s="4"/>
      <c r="BK96" s="4"/>
      <c r="BL96" s="4"/>
      <c r="BM96" s="4"/>
      <c r="BN96" s="4">
        <v>8.3222719999999999</v>
      </c>
      <c r="BO96" s="4">
        <v>23.906903999999997</v>
      </c>
      <c r="BP96" s="4">
        <f t="shared" ref="BP96:BP98" si="15">SUM(BM96:BO96)</f>
        <v>32.229175999999995</v>
      </c>
      <c r="BQ96" s="4">
        <f>BU96/BP96</f>
        <v>0.49375761266747886</v>
      </c>
      <c r="BR96" s="4">
        <v>5.5105610000000009</v>
      </c>
      <c r="BS96" s="4">
        <v>3.7931110000000006</v>
      </c>
      <c r="BT96" s="4">
        <v>6.6097290000000006</v>
      </c>
      <c r="BU96" s="4">
        <f t="shared" ref="BU96:BU98" si="16">SUM(BR96:BT96)</f>
        <v>15.913401000000004</v>
      </c>
      <c r="BV96" s="4">
        <f t="shared" ref="BV96:BV98" si="17">BP96+BU96</f>
        <v>48.142577000000003</v>
      </c>
      <c r="BW96" s="4">
        <v>0.90779500000000013</v>
      </c>
      <c r="BX96" s="4">
        <v>114.7</v>
      </c>
      <c r="BY96" s="4"/>
      <c r="BZ96" s="4">
        <f>SUM(BV96:BY96)</f>
        <v>163.750372</v>
      </c>
      <c r="CA96" s="4"/>
      <c r="CB96" s="4"/>
      <c r="CC96" s="4"/>
      <c r="CD96" s="4"/>
      <c r="CE96" s="4"/>
      <c r="CF96" s="4">
        <f t="shared" ref="CF96:CF98" si="18">BP96/5</f>
        <v>6.4458351999999994</v>
      </c>
      <c r="CG96" s="4"/>
      <c r="CH96" s="4"/>
      <c r="CI96" s="4"/>
      <c r="CJ96" s="4"/>
      <c r="CK96" s="4"/>
      <c r="CL96" s="4"/>
      <c r="CM96" s="4"/>
      <c r="CN96" s="4"/>
      <c r="CO96" s="4"/>
      <c r="CP96" s="2" t="s">
        <v>594</v>
      </c>
      <c r="CQ96" s="2" t="s">
        <v>254</v>
      </c>
      <c r="CR96" s="10" t="s">
        <v>595</v>
      </c>
      <c r="CS96" s="9" t="s">
        <v>256</v>
      </c>
    </row>
    <row r="97" spans="1:97" s="2" customFormat="1" ht="12.75">
      <c r="A97" s="2">
        <v>94</v>
      </c>
      <c r="B97" s="2" t="s">
        <v>558</v>
      </c>
      <c r="C97" s="2" t="s">
        <v>598</v>
      </c>
      <c r="D97" s="4" t="s">
        <v>250</v>
      </c>
      <c r="E97" s="2" t="s">
        <v>592</v>
      </c>
      <c r="F97" s="14" t="s">
        <v>599</v>
      </c>
      <c r="G97" s="2">
        <v>2013</v>
      </c>
      <c r="H97" s="2">
        <v>2013</v>
      </c>
      <c r="I97" s="2">
        <v>1</v>
      </c>
      <c r="J97" s="2">
        <v>0</v>
      </c>
      <c r="K97" s="2">
        <v>1</v>
      </c>
      <c r="L97" s="2">
        <v>1</v>
      </c>
      <c r="M97" s="2">
        <v>0</v>
      </c>
      <c r="N97" s="2">
        <v>0</v>
      </c>
      <c r="O97" s="4">
        <v>19.3</v>
      </c>
      <c r="P97" s="4">
        <f t="shared" si="8"/>
        <v>171.60000000000002</v>
      </c>
      <c r="Q97" s="4">
        <v>1670</v>
      </c>
      <c r="R97" s="4">
        <v>0</v>
      </c>
      <c r="S97" s="4">
        <f>(250+278)/2</f>
        <v>264</v>
      </c>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V97" s="4"/>
      <c r="AW97" s="4">
        <v>3667</v>
      </c>
      <c r="AX97" s="4">
        <v>9.99</v>
      </c>
      <c r="AY97" s="4"/>
      <c r="AZ97" s="4">
        <f t="shared" si="14"/>
        <v>28.74297835103151</v>
      </c>
      <c r="BA97" s="4"/>
      <c r="BB97" s="4"/>
      <c r="BC97" s="4"/>
      <c r="BD97" s="4"/>
      <c r="BE97" s="4"/>
      <c r="BF97" s="4"/>
      <c r="BG97" s="4"/>
      <c r="BH97" s="4"/>
      <c r="BI97" s="4"/>
      <c r="BJ97" s="4"/>
      <c r="BK97" s="4"/>
      <c r="BL97" s="4"/>
      <c r="BM97" s="4"/>
      <c r="BN97" s="4">
        <v>7.2895279999999998</v>
      </c>
      <c r="BO97" s="4">
        <v>30.685542000000002</v>
      </c>
      <c r="BP97" s="4">
        <f t="shared" si="15"/>
        <v>37.975070000000002</v>
      </c>
      <c r="BQ97" s="4">
        <f>BU97/BP97</f>
        <v>0.35880721220527045</v>
      </c>
      <c r="BR97" s="4">
        <v>4.8877759999999997</v>
      </c>
      <c r="BS97" s="4">
        <v>2.7125050000000002</v>
      </c>
      <c r="BT97" s="4">
        <v>6.0254479999999999</v>
      </c>
      <c r="BU97" s="4">
        <f t="shared" si="16"/>
        <v>13.625729</v>
      </c>
      <c r="BV97" s="4">
        <f t="shared" si="17"/>
        <v>51.600799000000002</v>
      </c>
      <c r="BW97" s="4">
        <v>1.0955360000000001</v>
      </c>
      <c r="BX97" s="4">
        <v>98.2</v>
      </c>
      <c r="BY97" s="4"/>
      <c r="BZ97" s="4">
        <f>SUM(BV97:BY97)</f>
        <v>150.89633500000002</v>
      </c>
      <c r="CA97" s="4"/>
      <c r="CB97" s="4"/>
      <c r="CC97" s="4"/>
      <c r="CD97" s="4"/>
      <c r="CE97" s="4"/>
      <c r="CF97" s="4">
        <f t="shared" si="18"/>
        <v>7.5950140000000008</v>
      </c>
      <c r="CG97" s="4"/>
      <c r="CH97" s="4"/>
      <c r="CI97" s="4"/>
      <c r="CJ97" s="4"/>
      <c r="CK97" s="4"/>
      <c r="CL97" s="4"/>
      <c r="CM97" s="4"/>
      <c r="CN97" s="4"/>
      <c r="CO97" s="4"/>
      <c r="CP97" s="2" t="s">
        <v>594</v>
      </c>
      <c r="CQ97" s="2" t="s">
        <v>254</v>
      </c>
      <c r="CR97" s="10" t="s">
        <v>595</v>
      </c>
      <c r="CS97" s="9" t="s">
        <v>256</v>
      </c>
    </row>
    <row r="98" spans="1:97" s="2" customFormat="1" ht="12.75">
      <c r="A98" s="2">
        <v>95</v>
      </c>
      <c r="B98" s="2" t="s">
        <v>558</v>
      </c>
      <c r="C98" s="2" t="s">
        <v>600</v>
      </c>
      <c r="D98" s="4" t="s">
        <v>250</v>
      </c>
      <c r="E98" s="2" t="s">
        <v>592</v>
      </c>
      <c r="F98" s="14" t="s">
        <v>601</v>
      </c>
      <c r="G98" s="2">
        <v>2013</v>
      </c>
      <c r="H98" s="2">
        <v>2013</v>
      </c>
      <c r="I98" s="2">
        <v>1</v>
      </c>
      <c r="J98" s="2">
        <v>0</v>
      </c>
      <c r="K98" s="2">
        <v>1</v>
      </c>
      <c r="L98" s="2">
        <v>1</v>
      </c>
      <c r="M98" s="2">
        <v>0</v>
      </c>
      <c r="N98" s="2">
        <v>0</v>
      </c>
      <c r="O98" s="4">
        <v>21</v>
      </c>
      <c r="P98" s="4">
        <f t="shared" si="8"/>
        <v>192</v>
      </c>
      <c r="Q98" s="4">
        <v>1618</v>
      </c>
      <c r="R98" s="4">
        <v>0</v>
      </c>
      <c r="S98" s="4">
        <f>(204+268)/2</f>
        <v>236</v>
      </c>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V98" s="4"/>
      <c r="AW98" s="4">
        <v>4722</v>
      </c>
      <c r="AX98" s="4">
        <v>8.3699999999999992</v>
      </c>
      <c r="AY98" s="4"/>
      <c r="AZ98" s="4">
        <f t="shared" si="14"/>
        <v>25.98165311216508</v>
      </c>
      <c r="BA98" s="4"/>
      <c r="BB98" s="4"/>
      <c r="BC98" s="4"/>
      <c r="BD98" s="4"/>
      <c r="BE98" s="4"/>
      <c r="BF98" s="4"/>
      <c r="BG98" s="4"/>
      <c r="BH98" s="4"/>
      <c r="BI98" s="4"/>
      <c r="BJ98" s="4"/>
      <c r="BK98" s="4"/>
      <c r="BL98" s="4"/>
      <c r="BM98" s="4"/>
      <c r="BN98" s="4">
        <v>6.956640000000001</v>
      </c>
      <c r="BO98" s="4">
        <v>24.367563999999998</v>
      </c>
      <c r="BP98" s="4">
        <f t="shared" si="15"/>
        <v>31.324203999999998</v>
      </c>
      <c r="BQ98" s="4">
        <f>BU98/BP98</f>
        <v>0.49275138803207896</v>
      </c>
      <c r="BR98" s="4">
        <v>7.1595420000000001</v>
      </c>
      <c r="BS98" s="4">
        <v>3.5266299999999999</v>
      </c>
      <c r="BT98" s="4">
        <v>4.7488730000000006</v>
      </c>
      <c r="BU98" s="4">
        <f t="shared" si="16"/>
        <v>15.435044999999999</v>
      </c>
      <c r="BV98" s="4">
        <f t="shared" si="17"/>
        <v>46.759248999999997</v>
      </c>
      <c r="BW98" s="4">
        <v>1.5749059999999999</v>
      </c>
      <c r="BX98" s="4">
        <v>87.83</v>
      </c>
      <c r="BY98" s="4"/>
      <c r="BZ98" s="4">
        <f>SUM(BV98:BY98)</f>
        <v>136.16415499999999</v>
      </c>
      <c r="CA98" s="4"/>
      <c r="CB98" s="4"/>
      <c r="CC98" s="4"/>
      <c r="CD98" s="4"/>
      <c r="CE98" s="4"/>
      <c r="CF98" s="4">
        <f t="shared" si="18"/>
        <v>6.2648408</v>
      </c>
      <c r="CG98" s="4"/>
      <c r="CH98" s="4"/>
      <c r="CI98" s="4"/>
      <c r="CJ98" s="4"/>
      <c r="CK98" s="4"/>
      <c r="CL98" s="4"/>
      <c r="CM98" s="4"/>
      <c r="CN98" s="4"/>
      <c r="CO98" s="4"/>
      <c r="CP98" s="2" t="s">
        <v>594</v>
      </c>
      <c r="CQ98" s="2" t="s">
        <v>254</v>
      </c>
      <c r="CR98" s="10" t="s">
        <v>595</v>
      </c>
      <c r="CS98" s="9" t="s">
        <v>256</v>
      </c>
    </row>
    <row r="99" spans="1:97" s="2" customFormat="1" ht="12.75">
      <c r="A99" s="2">
        <v>96</v>
      </c>
      <c r="B99" s="2" t="s">
        <v>558</v>
      </c>
      <c r="C99" s="2" t="s">
        <v>602</v>
      </c>
      <c r="D99" s="4" t="s">
        <v>116</v>
      </c>
      <c r="E99" s="2" t="s">
        <v>603</v>
      </c>
      <c r="F99" s="14" t="s">
        <v>604</v>
      </c>
      <c r="G99" s="2">
        <v>2017</v>
      </c>
      <c r="H99" s="2">
        <v>2017</v>
      </c>
      <c r="I99" s="2">
        <v>0</v>
      </c>
      <c r="J99" s="2">
        <v>0</v>
      </c>
      <c r="K99" s="2">
        <v>0</v>
      </c>
      <c r="L99" s="2">
        <v>0</v>
      </c>
      <c r="M99" s="2">
        <v>0</v>
      </c>
      <c r="N99" s="2">
        <v>1</v>
      </c>
      <c r="O99" s="4">
        <v>17.489999999999998</v>
      </c>
      <c r="P99" s="4">
        <f t="shared" si="8"/>
        <v>149.88</v>
      </c>
      <c r="Q99" s="4">
        <v>1420</v>
      </c>
      <c r="R99" s="4">
        <v>0</v>
      </c>
      <c r="S99" s="4">
        <f>(100+300)/2</f>
        <v>200</v>
      </c>
      <c r="T99" s="4"/>
      <c r="U99" s="4">
        <v>1774</v>
      </c>
      <c r="V99" s="4"/>
      <c r="W99" s="4"/>
      <c r="X99" s="4"/>
      <c r="Y99" s="4">
        <v>5.21</v>
      </c>
      <c r="Z99" s="4"/>
      <c r="AA99" s="4"/>
      <c r="AB99" s="4"/>
      <c r="AC99" s="4"/>
      <c r="AD99" s="4"/>
      <c r="AE99" s="4"/>
      <c r="AF99" s="4"/>
      <c r="AG99" s="4"/>
      <c r="AH99" s="4"/>
      <c r="AI99" s="4"/>
      <c r="AJ99" s="4"/>
      <c r="AK99" s="4"/>
      <c r="AL99" s="4"/>
      <c r="AM99" s="4"/>
      <c r="AN99" s="4"/>
      <c r="AO99" s="4"/>
      <c r="AP99" s="4"/>
      <c r="AQ99" s="4"/>
      <c r="AR99" s="4"/>
      <c r="AS99" s="4"/>
      <c r="AT99" s="4"/>
      <c r="AV99" s="4"/>
      <c r="AW99" s="4">
        <v>2500</v>
      </c>
      <c r="AX99" s="4">
        <v>8.9700000000000006</v>
      </c>
      <c r="AY99" s="4">
        <v>10.5</v>
      </c>
      <c r="AZ99" s="4">
        <f t="shared" si="14"/>
        <v>15.798460771326438</v>
      </c>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f>28.16*12/44</f>
        <v>7.6800000000000006</v>
      </c>
      <c r="CG99" s="4"/>
      <c r="CH99" s="4"/>
      <c r="CI99" s="4"/>
      <c r="CJ99" s="4"/>
      <c r="CK99" s="4"/>
      <c r="CL99" s="4">
        <f>72.04*12/44</f>
        <v>19.647272727272728</v>
      </c>
      <c r="CM99" s="4"/>
      <c r="CN99" s="4"/>
      <c r="CO99" s="4">
        <f>4.71*12/44</f>
        <v>1.2845454545454544</v>
      </c>
      <c r="CP99" s="2" t="s">
        <v>605</v>
      </c>
      <c r="CQ99" s="2" t="s">
        <v>254</v>
      </c>
      <c r="CR99" s="10" t="s">
        <v>606</v>
      </c>
      <c r="CS99" s="9" t="s">
        <v>256</v>
      </c>
    </row>
    <row r="100" spans="1:97" s="2" customFormat="1" ht="12.75">
      <c r="A100" s="2">
        <v>97</v>
      </c>
      <c r="B100" s="2" t="s">
        <v>558</v>
      </c>
      <c r="C100" s="2" t="s">
        <v>591</v>
      </c>
      <c r="D100" s="4" t="s">
        <v>116</v>
      </c>
      <c r="E100" s="2" t="s">
        <v>607</v>
      </c>
      <c r="F100" s="14" t="s">
        <v>608</v>
      </c>
      <c r="G100" s="2">
        <v>2013</v>
      </c>
      <c r="H100" s="2">
        <v>2015</v>
      </c>
      <c r="I100" s="2">
        <v>1</v>
      </c>
      <c r="J100" s="2">
        <v>0</v>
      </c>
      <c r="K100" s="2">
        <v>1</v>
      </c>
      <c r="L100" s="2">
        <v>1</v>
      </c>
      <c r="M100" s="2">
        <v>0</v>
      </c>
      <c r="N100" s="2">
        <v>1</v>
      </c>
      <c r="O100" s="4">
        <v>15.6</v>
      </c>
      <c r="P100" s="4">
        <f t="shared" si="8"/>
        <v>127.19999999999999</v>
      </c>
      <c r="Q100" s="4">
        <v>1420</v>
      </c>
      <c r="R100" s="4">
        <v>0</v>
      </c>
      <c r="S100" s="4">
        <f>(100+300)/2</f>
        <v>200</v>
      </c>
      <c r="T100" s="4"/>
      <c r="U100" s="4"/>
      <c r="V100" s="4"/>
      <c r="W100" s="4"/>
      <c r="X100" s="4"/>
      <c r="Y100" s="4">
        <v>4.22</v>
      </c>
      <c r="Z100" s="4">
        <v>2.27</v>
      </c>
      <c r="AA100" s="4">
        <v>0.69</v>
      </c>
      <c r="AB100" s="4"/>
      <c r="AC100" s="4">
        <v>2</v>
      </c>
      <c r="AD100" s="4"/>
      <c r="AE100" s="4"/>
      <c r="AF100" s="4"/>
      <c r="AG100" s="4"/>
      <c r="AH100" s="4"/>
      <c r="AI100" s="4"/>
      <c r="AJ100" s="4"/>
      <c r="AK100" s="4"/>
      <c r="AL100" s="4"/>
      <c r="AM100" s="4"/>
      <c r="AN100" s="4"/>
      <c r="AO100" s="4"/>
      <c r="AP100" s="4"/>
      <c r="AQ100" s="4"/>
      <c r="AR100" s="4"/>
      <c r="AS100" s="4"/>
      <c r="AT100" s="4"/>
      <c r="AV100" s="4"/>
      <c r="AW100" s="4">
        <v>3106</v>
      </c>
      <c r="AX100" s="4">
        <v>10.08</v>
      </c>
      <c r="AY100" s="4"/>
      <c r="AZ100" s="4">
        <f t="shared" si="14"/>
        <v>24.78633967229187</v>
      </c>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f>((34.44867+32.37182+33.44647)/3)*12/44</f>
        <v>9.1151781818181821</v>
      </c>
      <c r="CM100" s="4"/>
      <c r="CN100" s="4"/>
      <c r="CO100" s="4"/>
      <c r="CP100" s="2" t="s">
        <v>609</v>
      </c>
      <c r="CQ100" s="2" t="s">
        <v>254</v>
      </c>
      <c r="CR100" s="10" t="s">
        <v>610</v>
      </c>
      <c r="CS100" s="9" t="s">
        <v>256</v>
      </c>
    </row>
    <row r="101" spans="1:97" s="2" customFormat="1" ht="12.75">
      <c r="A101" s="2">
        <v>98</v>
      </c>
      <c r="B101" s="2" t="s">
        <v>558</v>
      </c>
      <c r="C101" s="2" t="s">
        <v>591</v>
      </c>
      <c r="D101" s="4" t="s">
        <v>116</v>
      </c>
      <c r="E101" s="2" t="s">
        <v>611</v>
      </c>
      <c r="F101" s="14" t="s">
        <v>612</v>
      </c>
      <c r="G101" s="2">
        <v>2013</v>
      </c>
      <c r="H101" s="2">
        <v>2015</v>
      </c>
      <c r="I101" s="2">
        <v>1</v>
      </c>
      <c r="J101" s="2">
        <v>1</v>
      </c>
      <c r="K101" s="2">
        <v>1</v>
      </c>
      <c r="L101" s="2">
        <v>1</v>
      </c>
      <c r="M101" s="2">
        <v>0</v>
      </c>
      <c r="N101" s="2">
        <v>1</v>
      </c>
      <c r="O101" s="4">
        <v>15.6</v>
      </c>
      <c r="P101" s="4">
        <f t="shared" si="8"/>
        <v>127.19999999999999</v>
      </c>
      <c r="Q101" s="4">
        <v>1420</v>
      </c>
      <c r="R101" s="4">
        <v>0</v>
      </c>
      <c r="S101" s="4">
        <f>(100+300)/2</f>
        <v>200</v>
      </c>
      <c r="T101" s="4"/>
      <c r="U101" s="4"/>
      <c r="V101" s="4"/>
      <c r="W101" s="4"/>
      <c r="X101" s="4"/>
      <c r="Y101" s="4">
        <v>3.82</v>
      </c>
      <c r="Z101" s="4">
        <v>2.29</v>
      </c>
      <c r="AA101" s="4">
        <v>0.9</v>
      </c>
      <c r="AB101" s="4"/>
      <c r="AC101" s="4">
        <v>2</v>
      </c>
      <c r="AD101" s="4"/>
      <c r="AE101" s="4"/>
      <c r="AF101" s="4"/>
      <c r="AG101" s="4"/>
      <c r="AH101" s="4"/>
      <c r="AI101" s="4"/>
      <c r="AJ101" s="4"/>
      <c r="AK101" s="4"/>
      <c r="AL101" s="4"/>
      <c r="AM101" s="4"/>
      <c r="AN101" s="4"/>
      <c r="AO101" s="4"/>
      <c r="AP101" s="4"/>
      <c r="AQ101" s="4"/>
      <c r="AR101" s="4"/>
      <c r="AS101" s="4"/>
      <c r="AT101" s="4"/>
      <c r="AV101" s="4"/>
      <c r="AW101" s="4">
        <v>3362</v>
      </c>
      <c r="AX101" s="4">
        <v>10.16</v>
      </c>
      <c r="AY101" s="4"/>
      <c r="AZ101" s="4">
        <f t="shared" si="14"/>
        <v>27.2568087156126</v>
      </c>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f>((36.29459+35.16678+36.20264)/3)*12/44</f>
        <v>9.7876372727272738</v>
      </c>
      <c r="CM101" s="4"/>
      <c r="CN101" s="4"/>
      <c r="CO101" s="4"/>
      <c r="CP101" s="2" t="s">
        <v>609</v>
      </c>
      <c r="CQ101" s="2" t="s">
        <v>254</v>
      </c>
      <c r="CR101" s="10" t="s">
        <v>610</v>
      </c>
      <c r="CS101" s="9" t="s">
        <v>256</v>
      </c>
    </row>
    <row r="102" spans="1:97" s="2" customFormat="1" ht="25.5">
      <c r="A102" s="2">
        <v>99</v>
      </c>
      <c r="B102" s="2" t="s">
        <v>363</v>
      </c>
      <c r="C102" s="2" t="s">
        <v>613</v>
      </c>
      <c r="D102" s="4" t="s">
        <v>365</v>
      </c>
      <c r="E102" s="2" t="s">
        <v>614</v>
      </c>
      <c r="F102" s="2" t="s">
        <v>615</v>
      </c>
      <c r="G102" s="2">
        <v>2007</v>
      </c>
      <c r="H102" s="2">
        <v>2007</v>
      </c>
      <c r="I102" s="2">
        <v>0</v>
      </c>
      <c r="J102" s="2">
        <v>0</v>
      </c>
      <c r="K102" s="2">
        <v>0</v>
      </c>
      <c r="L102" s="2">
        <v>0</v>
      </c>
      <c r="M102" s="2">
        <v>0</v>
      </c>
      <c r="N102" s="2">
        <v>0</v>
      </c>
      <c r="O102" s="4">
        <v>16.55833333333333</v>
      </c>
      <c r="P102" s="4">
        <v>138.69999999999996</v>
      </c>
      <c r="Q102" s="4">
        <v>1258</v>
      </c>
      <c r="R102" s="4">
        <v>0</v>
      </c>
      <c r="S102" s="4">
        <v>3</v>
      </c>
      <c r="T102" s="4">
        <v>67.5</v>
      </c>
      <c r="U102" s="4">
        <v>2240.1166666666668</v>
      </c>
      <c r="V102" s="4">
        <v>2.3083330000000002</v>
      </c>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V102" s="4"/>
      <c r="AW102" s="4">
        <v>8800</v>
      </c>
      <c r="AX102" s="4">
        <v>11.5</v>
      </c>
      <c r="AY102" s="4"/>
      <c r="AZ102" s="4">
        <f>91.4</f>
        <v>91.4</v>
      </c>
      <c r="BA102" s="4"/>
      <c r="BB102" s="4"/>
      <c r="BC102" s="4"/>
      <c r="BD102" s="4"/>
      <c r="BE102" s="4"/>
      <c r="BF102" s="4"/>
      <c r="BG102" s="4"/>
      <c r="BH102" s="4"/>
      <c r="BI102" s="4"/>
      <c r="BJ102" s="4"/>
      <c r="BK102" s="4"/>
      <c r="BL102" s="4"/>
      <c r="BM102" s="4">
        <f>7.1*0.5</f>
        <v>3.55</v>
      </c>
      <c r="BN102" s="4">
        <f>21.8*0.5</f>
        <v>10.9</v>
      </c>
      <c r="BO102" s="4">
        <f>159.7*0.5</f>
        <v>79.849999999999994</v>
      </c>
      <c r="BP102" s="4">
        <f>188.5*0.5</f>
        <v>94.25</v>
      </c>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2" t="s">
        <v>616</v>
      </c>
      <c r="CQ102" s="2" t="s">
        <v>254</v>
      </c>
      <c r="CR102" s="20" t="s">
        <v>617</v>
      </c>
      <c r="CS102" s="9" t="s">
        <v>256</v>
      </c>
    </row>
    <row r="103" spans="1:97" s="2" customFormat="1" ht="25.5">
      <c r="A103" s="2">
        <v>100</v>
      </c>
      <c r="B103" s="2" t="s">
        <v>363</v>
      </c>
      <c r="C103" s="2" t="s">
        <v>618</v>
      </c>
      <c r="D103" s="4" t="s">
        <v>365</v>
      </c>
      <c r="E103" s="2" t="s">
        <v>614</v>
      </c>
      <c r="F103" s="2" t="s">
        <v>619</v>
      </c>
      <c r="G103" s="2">
        <v>2007</v>
      </c>
      <c r="H103" s="2">
        <v>2007</v>
      </c>
      <c r="I103" s="2">
        <v>0</v>
      </c>
      <c r="J103" s="2">
        <v>0</v>
      </c>
      <c r="K103" s="2">
        <v>0</v>
      </c>
      <c r="L103" s="2">
        <v>0</v>
      </c>
      <c r="M103" s="2">
        <v>0</v>
      </c>
      <c r="N103" s="2">
        <v>0</v>
      </c>
      <c r="O103" s="4">
        <v>16.158333333333335</v>
      </c>
      <c r="P103" s="4">
        <v>133.90000000000003</v>
      </c>
      <c r="Q103" s="4">
        <v>1367</v>
      </c>
      <c r="R103" s="4">
        <v>0</v>
      </c>
      <c r="S103" s="4">
        <v>4</v>
      </c>
      <c r="T103" s="4">
        <v>67.5</v>
      </c>
      <c r="U103" s="4">
        <v>2241.85</v>
      </c>
      <c r="V103" s="4">
        <v>1.95</v>
      </c>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V103" s="4"/>
      <c r="AW103" s="4">
        <v>8100</v>
      </c>
      <c r="AX103" s="4">
        <v>13.1</v>
      </c>
      <c r="AY103" s="4"/>
      <c r="AZ103" s="4">
        <v>109.2</v>
      </c>
      <c r="BA103" s="4"/>
      <c r="BB103" s="4"/>
      <c r="BC103" s="4"/>
      <c r="BD103" s="4"/>
      <c r="BE103" s="4"/>
      <c r="BF103" s="4"/>
      <c r="BG103" s="4"/>
      <c r="BH103" s="4"/>
      <c r="BI103" s="4"/>
      <c r="BJ103" s="4"/>
      <c r="BK103" s="4"/>
      <c r="BL103" s="4"/>
      <c r="BM103" s="4">
        <f>6.1*0.5</f>
        <v>3.05</v>
      </c>
      <c r="BN103" s="4">
        <f>19.2*0.5</f>
        <v>9.6</v>
      </c>
      <c r="BO103" s="4">
        <f>187.5*0.5</f>
        <v>93.75</v>
      </c>
      <c r="BP103" s="4">
        <f>212.8*0.5</f>
        <v>106.4</v>
      </c>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2" t="s">
        <v>616</v>
      </c>
      <c r="CQ103" s="2" t="s">
        <v>254</v>
      </c>
      <c r="CR103" s="20" t="s">
        <v>617</v>
      </c>
      <c r="CS103" s="9" t="s">
        <v>256</v>
      </c>
    </row>
    <row r="104" spans="1:97" s="2" customFormat="1" ht="25.5">
      <c r="A104" s="2">
        <v>101</v>
      </c>
      <c r="B104" s="2" t="s">
        <v>363</v>
      </c>
      <c r="C104" s="2" t="s">
        <v>620</v>
      </c>
      <c r="D104" s="4" t="s">
        <v>365</v>
      </c>
      <c r="E104" s="2" t="s">
        <v>614</v>
      </c>
      <c r="F104" s="2" t="s">
        <v>621</v>
      </c>
      <c r="G104" s="2">
        <v>2007</v>
      </c>
      <c r="H104" s="2">
        <v>2007</v>
      </c>
      <c r="I104" s="2">
        <v>0</v>
      </c>
      <c r="J104" s="2">
        <v>0</v>
      </c>
      <c r="K104" s="2">
        <v>0</v>
      </c>
      <c r="L104" s="2">
        <v>0</v>
      </c>
      <c r="M104" s="2">
        <v>0</v>
      </c>
      <c r="N104" s="2">
        <v>0</v>
      </c>
      <c r="O104" s="4">
        <v>14.699999999999998</v>
      </c>
      <c r="P104" s="4">
        <v>116.39999999999998</v>
      </c>
      <c r="Q104" s="4">
        <v>1384</v>
      </c>
      <c r="R104" s="4">
        <v>0</v>
      </c>
      <c r="S104" s="4">
        <v>40</v>
      </c>
      <c r="T104" s="4">
        <v>67.5</v>
      </c>
      <c r="U104" s="4">
        <v>1928.1166666666666</v>
      </c>
      <c r="V104" s="4">
        <v>1.8416666666666668</v>
      </c>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V104" s="4"/>
      <c r="AW104" s="4">
        <v>3978</v>
      </c>
      <c r="AX104" s="4">
        <v>14</v>
      </c>
      <c r="AY104" s="4"/>
      <c r="AZ104" s="4">
        <v>61.2</v>
      </c>
      <c r="BA104" s="4"/>
      <c r="BB104" s="4"/>
      <c r="BC104" s="4"/>
      <c r="BD104" s="4"/>
      <c r="BE104" s="4"/>
      <c r="BF104" s="4"/>
      <c r="BG104" s="4"/>
      <c r="BH104" s="4"/>
      <c r="BI104" s="4"/>
      <c r="BJ104" s="4"/>
      <c r="BK104" s="4"/>
      <c r="BL104" s="4"/>
      <c r="BM104" s="4">
        <f>3.9*0.5</f>
        <v>1.95</v>
      </c>
      <c r="BN104" s="4">
        <f>11*0.5</f>
        <v>5.5</v>
      </c>
      <c r="BO104" s="4">
        <f>102.3*0.5</f>
        <v>51.15</v>
      </c>
      <c r="BP104" s="4">
        <f>117.2*0.5</f>
        <v>58.6</v>
      </c>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2" t="s">
        <v>616</v>
      </c>
      <c r="CQ104" s="2" t="s">
        <v>254</v>
      </c>
      <c r="CR104" s="20" t="s">
        <v>617</v>
      </c>
      <c r="CS104" s="9" t="s">
        <v>256</v>
      </c>
    </row>
    <row r="105" spans="1:97" s="2" customFormat="1" ht="14.25">
      <c r="A105" s="2">
        <v>102</v>
      </c>
      <c r="B105" s="2" t="s">
        <v>486</v>
      </c>
      <c r="C105" s="2" t="s">
        <v>622</v>
      </c>
      <c r="D105" s="4" t="s">
        <v>488</v>
      </c>
      <c r="E105" s="2" t="s">
        <v>623</v>
      </c>
      <c r="F105" s="2" t="s">
        <v>624</v>
      </c>
      <c r="G105" s="2">
        <v>2016</v>
      </c>
      <c r="H105" s="2">
        <v>2016</v>
      </c>
      <c r="I105" s="2">
        <v>1</v>
      </c>
      <c r="J105" s="2">
        <v>1</v>
      </c>
      <c r="K105" s="2">
        <v>1</v>
      </c>
      <c r="L105" s="2">
        <v>1</v>
      </c>
      <c r="M105" s="2">
        <v>0</v>
      </c>
      <c r="N105" s="2">
        <v>0</v>
      </c>
      <c r="O105" s="4">
        <v>13.1</v>
      </c>
      <c r="P105" s="4">
        <f>(O105-5)*12</f>
        <v>97.199999999999989</v>
      </c>
      <c r="Q105" s="4">
        <v>1512</v>
      </c>
      <c r="R105" s="4"/>
      <c r="S105" s="4">
        <v>50</v>
      </c>
      <c r="T105" s="4"/>
      <c r="U105" s="4"/>
      <c r="V105" s="4"/>
      <c r="W105" s="4"/>
      <c r="X105" s="4"/>
      <c r="Y105" s="4">
        <f>(4.59+4.45)/2</f>
        <v>4.5199999999999996</v>
      </c>
      <c r="Z105" s="4">
        <f>(0.23+0.2)/2</f>
        <v>0.21500000000000002</v>
      </c>
      <c r="AA105" s="4"/>
      <c r="AB105" s="4"/>
      <c r="AC105" s="4">
        <f>(174.5+132.2)/2</f>
        <v>153.35</v>
      </c>
      <c r="AD105" s="4"/>
      <c r="AE105" s="4"/>
      <c r="AF105" s="4">
        <f>(3.84+3.74)/2</f>
        <v>3.79</v>
      </c>
      <c r="AG105" s="4">
        <f>(3.49+2.49)/2</f>
        <v>2.99</v>
      </c>
      <c r="AH105" s="4">
        <f>(0.07+0.06)/2</f>
        <v>6.5000000000000002E-2</v>
      </c>
      <c r="AI105" s="4">
        <f>(53+47)/2</f>
        <v>50</v>
      </c>
      <c r="AJ105" s="4">
        <f>(37+40)/2</f>
        <v>38.5</v>
      </c>
      <c r="AK105" s="4">
        <f>(10+13)/2</f>
        <v>11.5</v>
      </c>
      <c r="AL105" s="4"/>
      <c r="AM105" s="4"/>
      <c r="AN105" s="4"/>
      <c r="AO105" s="4"/>
      <c r="AP105" s="4"/>
      <c r="AQ105" s="4"/>
      <c r="AR105" s="4"/>
      <c r="AS105" s="4"/>
      <c r="AT105" s="4"/>
      <c r="AV105" s="4"/>
      <c r="AW105" s="4">
        <v>4633</v>
      </c>
      <c r="AX105" s="4">
        <v>10.8</v>
      </c>
      <c r="AY105" s="4"/>
      <c r="AZ105" s="4">
        <f>(AX105/2)^2*PI()*AW105/10000</f>
        <v>42.442376396061697</v>
      </c>
      <c r="BA105" s="4"/>
      <c r="BB105" s="4"/>
      <c r="BC105" s="4"/>
      <c r="BD105" s="4"/>
      <c r="BE105" s="4"/>
      <c r="BF105" s="4"/>
      <c r="BG105" s="4">
        <v>42.9</v>
      </c>
      <c r="BH105" s="4"/>
      <c r="BI105" s="4">
        <v>45</v>
      </c>
      <c r="BJ105" s="4"/>
      <c r="BK105" s="4">
        <v>2.48</v>
      </c>
      <c r="BL105" s="4">
        <v>2.0299999999999998</v>
      </c>
      <c r="BM105" s="4">
        <v>1.738</v>
      </c>
      <c r="BN105" s="4">
        <v>3.7831000000000001</v>
      </c>
      <c r="BO105" s="4">
        <v>20.810500000000001</v>
      </c>
      <c r="BP105" s="4">
        <v>26.331600000000002</v>
      </c>
      <c r="BQ105" s="4">
        <f>BU105/BP105</f>
        <v>9.2235185100791442E-2</v>
      </c>
      <c r="BR105" s="4">
        <v>1.0106999999999999</v>
      </c>
      <c r="BS105" s="4">
        <v>1.4179999999999999</v>
      </c>
      <c r="BT105" s="4"/>
      <c r="BU105" s="4">
        <f>BR105+BS105</f>
        <v>2.4287000000000001</v>
      </c>
      <c r="BV105" s="4">
        <f>BU105+BP105</f>
        <v>28.760300000000001</v>
      </c>
      <c r="BW105" s="4"/>
      <c r="BX105" s="4"/>
      <c r="BY105" s="4"/>
      <c r="BZ105" s="4"/>
      <c r="CA105" s="4"/>
      <c r="CB105" s="4"/>
      <c r="CC105" s="4"/>
      <c r="CD105" s="4"/>
      <c r="CE105" s="4"/>
      <c r="CF105" s="4"/>
      <c r="CG105" s="4"/>
      <c r="CH105" s="4"/>
      <c r="CI105" s="4"/>
      <c r="CJ105" s="4"/>
      <c r="CK105" s="4"/>
      <c r="CL105" s="4"/>
      <c r="CM105" s="4"/>
      <c r="CN105" s="4"/>
      <c r="CO105" s="4"/>
      <c r="CP105" s="2" t="s">
        <v>625</v>
      </c>
      <c r="CQ105" s="2" t="s">
        <v>254</v>
      </c>
      <c r="CR105" s="10" t="s">
        <v>626</v>
      </c>
      <c r="CS105" s="9" t="s">
        <v>256</v>
      </c>
    </row>
    <row r="106" spans="1:97" s="2" customFormat="1" ht="12.75">
      <c r="A106" s="2">
        <v>103</v>
      </c>
      <c r="B106" s="2" t="s">
        <v>627</v>
      </c>
      <c r="C106" s="2" t="s">
        <v>628</v>
      </c>
      <c r="D106" s="4" t="s">
        <v>629</v>
      </c>
      <c r="E106" s="2" t="s">
        <v>630</v>
      </c>
      <c r="F106" s="2" t="s">
        <v>631</v>
      </c>
      <c r="G106" s="2">
        <v>2016</v>
      </c>
      <c r="H106" s="2">
        <v>2016</v>
      </c>
      <c r="I106" s="2">
        <v>1</v>
      </c>
      <c r="J106" s="2">
        <v>0</v>
      </c>
      <c r="K106" s="2">
        <v>1</v>
      </c>
      <c r="L106" s="2">
        <v>0</v>
      </c>
      <c r="M106" s="2">
        <v>0</v>
      </c>
      <c r="N106" s="2">
        <v>0</v>
      </c>
      <c r="O106" s="4">
        <v>13.1</v>
      </c>
      <c r="P106" s="4">
        <v>97.199999999999989</v>
      </c>
      <c r="Q106" s="4">
        <v>1512</v>
      </c>
      <c r="R106" s="4"/>
      <c r="S106" s="4">
        <v>67</v>
      </c>
      <c r="T106" s="4"/>
      <c r="U106" s="4"/>
      <c r="V106" s="4"/>
      <c r="W106" s="4"/>
      <c r="X106" s="4"/>
      <c r="Y106" s="4">
        <v>4.625</v>
      </c>
      <c r="Z106" s="4">
        <v>0.2</v>
      </c>
      <c r="AA106" s="4"/>
      <c r="AB106" s="4"/>
      <c r="AC106" s="4">
        <v>5.71</v>
      </c>
      <c r="AD106" s="4"/>
      <c r="AE106" s="4"/>
      <c r="AF106" s="4">
        <v>2.7250000000000001</v>
      </c>
      <c r="AG106" s="4">
        <v>1.3149999999999999</v>
      </c>
      <c r="AH106" s="4">
        <v>0.03</v>
      </c>
      <c r="AI106" s="4">
        <v>59.5</v>
      </c>
      <c r="AJ106" s="4">
        <v>30</v>
      </c>
      <c r="AK106" s="4">
        <v>10</v>
      </c>
      <c r="AL106" s="4"/>
      <c r="AM106" s="4"/>
      <c r="AN106" s="4"/>
      <c r="AO106" s="4"/>
      <c r="AP106" s="4"/>
      <c r="AQ106" s="4"/>
      <c r="AR106" s="4"/>
      <c r="AS106" s="4"/>
      <c r="AT106" s="4"/>
      <c r="AV106" s="4"/>
      <c r="AW106" s="4">
        <v>6833</v>
      </c>
      <c r="AX106" s="4">
        <v>10.7</v>
      </c>
      <c r="AY106" s="4"/>
      <c r="AZ106" s="4">
        <v>61.442497072514541</v>
      </c>
      <c r="BA106" s="4"/>
      <c r="BB106" s="4"/>
      <c r="BC106" s="4"/>
      <c r="BD106" s="4"/>
      <c r="BE106" s="4"/>
      <c r="BF106" s="4"/>
      <c r="BG106" s="4">
        <v>36.4</v>
      </c>
      <c r="BH106" s="4"/>
      <c r="BI106" s="4">
        <v>45.6</v>
      </c>
      <c r="BJ106" s="4"/>
      <c r="BK106" s="4">
        <v>2.46</v>
      </c>
      <c r="BL106" s="4">
        <v>2.31</v>
      </c>
      <c r="BM106" s="4">
        <v>2.9476</v>
      </c>
      <c r="BN106" s="4">
        <v>6.3715999999999999</v>
      </c>
      <c r="BO106" s="4">
        <v>39.851300000000002</v>
      </c>
      <c r="BP106" s="4">
        <v>48.900399999999998</v>
      </c>
      <c r="BQ106" s="4">
        <v>0.15130142084727324</v>
      </c>
      <c r="BR106" s="4">
        <v>4.1403999999999996</v>
      </c>
      <c r="BS106" s="4">
        <v>3.2583000000000002</v>
      </c>
      <c r="BT106" s="4"/>
      <c r="BU106" s="4">
        <v>7.3986999999999998</v>
      </c>
      <c r="BV106" s="4">
        <v>56.299099999999996</v>
      </c>
      <c r="BW106" s="4"/>
      <c r="BX106" s="4"/>
      <c r="BY106" s="4"/>
      <c r="BZ106" s="4"/>
      <c r="CA106" s="4"/>
      <c r="CB106" s="4"/>
      <c r="CC106" s="4"/>
      <c r="CD106" s="4"/>
      <c r="CE106" s="4"/>
      <c r="CF106" s="4"/>
      <c r="CG106" s="4"/>
      <c r="CH106" s="4"/>
      <c r="CI106" s="4"/>
      <c r="CJ106" s="4"/>
      <c r="CK106" s="4"/>
      <c r="CL106" s="4"/>
      <c r="CM106" s="4"/>
      <c r="CN106" s="4"/>
      <c r="CO106" s="4"/>
      <c r="CP106" s="2" t="s">
        <v>632</v>
      </c>
      <c r="CQ106" s="2" t="s">
        <v>120</v>
      </c>
      <c r="CR106" s="10" t="s">
        <v>626</v>
      </c>
      <c r="CS106" s="9" t="s">
        <v>122</v>
      </c>
    </row>
    <row r="107" spans="1:97" s="2" customFormat="1" ht="12.75">
      <c r="A107" s="2">
        <v>104</v>
      </c>
      <c r="B107" s="2" t="s">
        <v>633</v>
      </c>
      <c r="C107" s="2" t="s">
        <v>634</v>
      </c>
      <c r="D107" s="4" t="s">
        <v>635</v>
      </c>
      <c r="E107" s="2" t="s">
        <v>636</v>
      </c>
      <c r="F107" s="2" t="s">
        <v>637</v>
      </c>
      <c r="G107" s="2">
        <v>1971</v>
      </c>
      <c r="H107" s="2">
        <v>2019</v>
      </c>
      <c r="I107" s="2">
        <v>0.5</v>
      </c>
      <c r="J107" s="2">
        <v>0.5</v>
      </c>
      <c r="K107" s="2">
        <v>0.5</v>
      </c>
      <c r="L107" s="2">
        <v>0.5</v>
      </c>
      <c r="M107" s="2">
        <v>0.5</v>
      </c>
      <c r="N107" s="2">
        <v>0.5</v>
      </c>
      <c r="O107" s="2">
        <v>20.12</v>
      </c>
      <c r="P107" s="4">
        <f>(O107-5)*12</f>
        <v>181.44</v>
      </c>
      <c r="Q107" s="4">
        <v>2795.4</v>
      </c>
      <c r="R107" s="4">
        <v>0</v>
      </c>
      <c r="S107" s="4">
        <v>688.57</v>
      </c>
      <c r="T107" s="4">
        <v>78.907999999999987</v>
      </c>
      <c r="U107" s="4">
        <v>1733.4720000000002</v>
      </c>
      <c r="V107" s="4">
        <v>3.2319999999999998</v>
      </c>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V107" s="4"/>
      <c r="AW107" s="4">
        <f>AVERAGE(AW68:AW84)</f>
        <v>6986.2352941176468</v>
      </c>
      <c r="AX107" s="4">
        <f>AVERAGE(AX68:AX84)</f>
        <v>7.8537499999999998</v>
      </c>
      <c r="AY107" s="4"/>
      <c r="AZ107" s="4">
        <f>AVERAGE(AZ68:AZ84)</f>
        <v>33.15015231975017</v>
      </c>
      <c r="BA107" s="4"/>
      <c r="BB107" s="4"/>
      <c r="BC107" s="4"/>
      <c r="BD107" s="4"/>
      <c r="BE107" s="4"/>
      <c r="BF107" s="4"/>
      <c r="BG107" s="4"/>
      <c r="BH107" s="4"/>
      <c r="BI107" s="4"/>
      <c r="BJ107" s="4"/>
      <c r="BK107" s="4"/>
      <c r="BL107" s="4"/>
      <c r="BM107" s="4"/>
      <c r="BN107" s="4"/>
      <c r="BO107" s="4"/>
      <c r="BP107" s="4">
        <v>33.18</v>
      </c>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2" t="s">
        <v>638</v>
      </c>
      <c r="CQ107" s="2" t="s">
        <v>120</v>
      </c>
      <c r="CR107" s="10" t="s">
        <v>639</v>
      </c>
      <c r="CS107" s="9" t="s">
        <v>256</v>
      </c>
    </row>
    <row r="108" spans="1:97" s="2" customFormat="1" ht="13.5" thickBot="1">
      <c r="A108" s="1">
        <v>105</v>
      </c>
      <c r="B108" s="1" t="s">
        <v>633</v>
      </c>
      <c r="C108" s="1" t="s">
        <v>640</v>
      </c>
      <c r="D108" s="21" t="s">
        <v>261</v>
      </c>
      <c r="E108" s="1" t="s">
        <v>641</v>
      </c>
      <c r="F108" s="1" t="s">
        <v>642</v>
      </c>
      <c r="G108" s="1">
        <v>2004</v>
      </c>
      <c r="H108" s="1">
        <v>2007</v>
      </c>
      <c r="I108" s="1">
        <v>1</v>
      </c>
      <c r="J108" s="1">
        <v>1</v>
      </c>
      <c r="K108" s="1">
        <v>1</v>
      </c>
      <c r="L108" s="1">
        <v>1</v>
      </c>
      <c r="M108" s="1">
        <v>0</v>
      </c>
      <c r="N108" s="1">
        <v>0</v>
      </c>
      <c r="O108" s="21">
        <v>16.5</v>
      </c>
      <c r="P108" s="21">
        <v>138</v>
      </c>
      <c r="Q108" s="21">
        <v>2200</v>
      </c>
      <c r="R108" s="21">
        <v>0</v>
      </c>
      <c r="S108" s="21">
        <v>1050</v>
      </c>
      <c r="T108" s="21">
        <v>82.666669999999996</v>
      </c>
      <c r="U108" s="21">
        <v>1561.7</v>
      </c>
      <c r="V108" s="21">
        <v>1.2250000000000001</v>
      </c>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1"/>
      <c r="AV108" s="21"/>
      <c r="AW108" s="21">
        <f>(AW72+AW77+AW78)/3</f>
        <v>7078</v>
      </c>
      <c r="AX108" s="21">
        <f>(AX72+AX77+AX78)/3</f>
        <v>8.7533333333333321</v>
      </c>
      <c r="AY108" s="21"/>
      <c r="AZ108" s="21">
        <f>(AZ72+AZ77+AZ78)/3</f>
        <v>42.606122111360975</v>
      </c>
      <c r="BA108" s="21"/>
      <c r="BB108" s="21"/>
      <c r="BC108" s="21"/>
      <c r="BD108" s="21">
        <f>(BD72+BD77+BD78)/3</f>
        <v>45.44</v>
      </c>
      <c r="BE108" s="21">
        <f>(BE72+BE77+BE78)/3</f>
        <v>48.15</v>
      </c>
      <c r="BF108" s="21">
        <f>(BF72+BF77+BF78)/3</f>
        <v>46.28</v>
      </c>
      <c r="BG108" s="21"/>
      <c r="BH108" s="21"/>
      <c r="BI108" s="21"/>
      <c r="BJ108" s="21"/>
      <c r="BK108" s="21"/>
      <c r="BL108" s="21"/>
      <c r="BM108" s="21"/>
      <c r="BN108" s="21"/>
      <c r="BO108" s="21"/>
      <c r="BP108" s="21">
        <v>40.6</v>
      </c>
      <c r="BQ108" s="21"/>
      <c r="BR108" s="21"/>
      <c r="BS108" s="21"/>
      <c r="BT108" s="21"/>
      <c r="BU108" s="21"/>
      <c r="BV108" s="21"/>
      <c r="BW108" s="21"/>
      <c r="BX108" s="21"/>
      <c r="BY108" s="21"/>
      <c r="BZ108" s="21"/>
      <c r="CA108" s="21"/>
      <c r="CB108" s="21"/>
      <c r="CC108" s="21"/>
      <c r="CD108" s="21"/>
      <c r="CE108" s="21"/>
      <c r="CF108" s="21">
        <v>8.1300000000000008</v>
      </c>
      <c r="CG108" s="21"/>
      <c r="CH108" s="21"/>
      <c r="CI108" s="21"/>
      <c r="CJ108" s="21"/>
      <c r="CK108" s="21"/>
      <c r="CL108" s="21"/>
      <c r="CM108" s="21"/>
      <c r="CN108" s="21"/>
      <c r="CO108" s="21"/>
      <c r="CP108" s="1" t="s">
        <v>643</v>
      </c>
      <c r="CQ108" s="1" t="s">
        <v>120</v>
      </c>
      <c r="CR108" s="22" t="s">
        <v>644</v>
      </c>
      <c r="CS108" s="23" t="s">
        <v>122</v>
      </c>
    </row>
    <row r="109" spans="1:97" ht="18">
      <c r="A109" s="24" t="s">
        <v>645</v>
      </c>
      <c r="B109" s="25"/>
      <c r="C109" s="25"/>
      <c r="D109" s="26"/>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row>
    <row r="110" spans="1:97" ht="18">
      <c r="A110" s="24" t="s">
        <v>646</v>
      </c>
      <c r="B110" s="25"/>
      <c r="C110" s="25"/>
      <c r="D110" s="26"/>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row>
    <row r="111" spans="1:97">
      <c r="A111" s="24" t="s">
        <v>647</v>
      </c>
      <c r="B111" s="25"/>
      <c r="C111" s="25"/>
      <c r="D111" s="26"/>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row>
    <row r="112" spans="1:97" ht="18">
      <c r="A112" s="24" t="s">
        <v>648</v>
      </c>
      <c r="B112" s="25"/>
      <c r="C112" s="25"/>
      <c r="D112" s="26"/>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row>
    <row r="113" spans="1:97" ht="18">
      <c r="A113" s="24" t="s">
        <v>649</v>
      </c>
      <c r="B113" s="25"/>
      <c r="C113" s="25"/>
      <c r="D113" s="26"/>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row>
    <row r="114" spans="1:97" ht="18">
      <c r="A114" s="24" t="s">
        <v>650</v>
      </c>
      <c r="B114" s="25"/>
      <c r="C114" s="25"/>
      <c r="D114" s="26"/>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row>
    <row r="115" spans="1:97" ht="18">
      <c r="A115" s="24" t="s">
        <v>651</v>
      </c>
      <c r="B115" s="25"/>
      <c r="C115" s="25"/>
      <c r="D115" s="26"/>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row>
    <row r="116" spans="1:97" ht="18">
      <c r="A116" s="24" t="s">
        <v>652</v>
      </c>
      <c r="B116" s="25"/>
      <c r="C116" s="25"/>
      <c r="D116" s="26"/>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row>
    <row r="117" spans="1:97">
      <c r="B117" s="25"/>
      <c r="C117" s="25"/>
      <c r="D117" s="26"/>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row>
    <row r="118" spans="1:97">
      <c r="B118" s="25"/>
      <c r="C118" s="25"/>
      <c r="D118" s="26"/>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row>
    <row r="119" spans="1:97">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row>
    <row r="120" spans="1:97">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row>
    <row r="121" spans="1:97">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row>
    <row r="122" spans="1:97">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row>
    <row r="123" spans="1:97">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row>
    <row r="124" spans="1:97">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c r="BB124" s="25"/>
      <c r="BC124" s="25"/>
      <c r="BD124" s="25"/>
      <c r="BE124" s="25"/>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row>
    <row r="125" spans="1:97">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row>
    <row r="126" spans="1:97">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row>
    <row r="127" spans="1:97">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c r="BF127" s="25"/>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row>
    <row r="128" spans="1:97">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row>
    <row r="129" spans="2:97">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row>
    <row r="130" spans="2:97">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row>
    <row r="131" spans="2:97">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c r="AY131" s="25"/>
      <c r="AZ131" s="25"/>
      <c r="BA131" s="25"/>
      <c r="BB131" s="25"/>
      <c r="BC131" s="25"/>
      <c r="BD131" s="25"/>
      <c r="BE131" s="25"/>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row>
    <row r="132" spans="2:97">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row>
    <row r="133" spans="2:97">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row>
    <row r="134" spans="2:97">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row>
    <row r="135" spans="2:97">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row>
    <row r="136" spans="2:97">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row>
    <row r="137" spans="2:97">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row>
    <row r="138" spans="2:97">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row>
    <row r="139" spans="2:97">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5"/>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row>
    <row r="140" spans="2:97">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c r="AY140" s="25"/>
      <c r="AZ140" s="25"/>
      <c r="BA140" s="25"/>
      <c r="BB140" s="25"/>
      <c r="BC140" s="25"/>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row>
    <row r="141" spans="2:97">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row>
    <row r="142" spans="2:97">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row>
    <row r="143" spans="2:97">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c r="BB143" s="25"/>
      <c r="BC143" s="25"/>
      <c r="BD143" s="25"/>
      <c r="BE143" s="25"/>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row>
    <row r="144" spans="2:97">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c r="AV144" s="25"/>
      <c r="AW144" s="25"/>
      <c r="AX144" s="25"/>
      <c r="AY144" s="25"/>
      <c r="AZ144" s="25"/>
      <c r="BA144" s="25"/>
      <c r="BB144" s="25"/>
      <c r="BC144" s="25"/>
      <c r="BD144" s="25"/>
      <c r="BE144" s="25"/>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row>
    <row r="145" spans="2:97">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c r="AV145" s="25"/>
      <c r="AW145" s="25"/>
      <c r="AX145" s="25"/>
      <c r="AY145" s="25"/>
      <c r="AZ145" s="25"/>
      <c r="BA145" s="25"/>
      <c r="BB145" s="25"/>
      <c r="BC145" s="25"/>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row>
    <row r="146" spans="2:97">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c r="AV146" s="25"/>
      <c r="AW146" s="25"/>
      <c r="AX146" s="25"/>
      <c r="AY146" s="25"/>
      <c r="AZ146" s="25"/>
      <c r="BA146" s="25"/>
      <c r="BB146" s="25"/>
      <c r="BC146" s="25"/>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row>
    <row r="147" spans="2:97">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c r="AV147" s="25"/>
      <c r="AW147" s="25"/>
      <c r="AX147" s="25"/>
      <c r="AY147" s="25"/>
      <c r="AZ147" s="25"/>
      <c r="BA147" s="25"/>
      <c r="BB147" s="25"/>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row>
    <row r="148" spans="2:97">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c r="AV148" s="25"/>
      <c r="AW148" s="25"/>
      <c r="AX148" s="25"/>
      <c r="AY148" s="25"/>
      <c r="AZ148" s="25"/>
      <c r="BA148" s="25"/>
      <c r="BB148" s="25"/>
      <c r="BC148" s="25"/>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row>
    <row r="149" spans="2:97">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c r="AV149" s="25"/>
      <c r="AW149" s="25"/>
      <c r="AX149" s="25"/>
      <c r="AY149" s="25"/>
      <c r="AZ149" s="25"/>
      <c r="BA149" s="25"/>
      <c r="BB149" s="25"/>
      <c r="BC149" s="25"/>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row>
    <row r="150" spans="2:97">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c r="AV150" s="25"/>
      <c r="AW150" s="25"/>
      <c r="AX150" s="25"/>
      <c r="AY150" s="25"/>
      <c r="AZ150" s="25"/>
      <c r="BA150" s="25"/>
      <c r="BB150" s="25"/>
      <c r="BC150" s="25"/>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row>
    <row r="151" spans="2:97">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c r="AV151" s="25"/>
      <c r="AW151" s="25"/>
      <c r="AX151" s="25"/>
      <c r="AY151" s="25"/>
      <c r="AZ151" s="25"/>
      <c r="BA151" s="25"/>
      <c r="BB151" s="25"/>
      <c r="BC151" s="25"/>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row>
    <row r="152" spans="2:97">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c r="AV152" s="25"/>
      <c r="AW152" s="25"/>
      <c r="AX152" s="25"/>
      <c r="AY152" s="25"/>
      <c r="AZ152" s="25"/>
      <c r="BA152" s="25"/>
      <c r="BB152" s="25"/>
      <c r="BC152" s="25"/>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row>
    <row r="153" spans="2:97">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c r="AV153" s="25"/>
      <c r="AW153" s="25"/>
      <c r="AX153" s="25"/>
      <c r="AY153" s="25"/>
      <c r="AZ153" s="25"/>
      <c r="BA153" s="25"/>
      <c r="BB153" s="25"/>
      <c r="BC153" s="25"/>
      <c r="BD153" s="25"/>
      <c r="BE153" s="25"/>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c r="CC153" s="25"/>
      <c r="CD153" s="25"/>
      <c r="CE153" s="25"/>
      <c r="CF153" s="25"/>
      <c r="CG153" s="25"/>
      <c r="CH153" s="25"/>
      <c r="CI153" s="25"/>
      <c r="CJ153" s="25"/>
      <c r="CK153" s="25"/>
      <c r="CL153" s="25"/>
      <c r="CM153" s="25"/>
      <c r="CN153" s="25"/>
      <c r="CO153" s="25"/>
      <c r="CP153" s="25"/>
      <c r="CQ153" s="25"/>
      <c r="CR153" s="25"/>
      <c r="CS153" s="25"/>
    </row>
    <row r="154" spans="2:97">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row>
    <row r="155" spans="2:97">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c r="AV155" s="25"/>
      <c r="AW155" s="25"/>
      <c r="AX155" s="25"/>
      <c r="AY155" s="25"/>
      <c r="AZ155" s="25"/>
      <c r="BA155" s="25"/>
      <c r="BB155" s="25"/>
      <c r="BC155" s="25"/>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row>
    <row r="156" spans="2:97">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5"/>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row>
    <row r="157" spans="2:97">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c r="AV157" s="25"/>
      <c r="AW157" s="25"/>
      <c r="AX157" s="25"/>
      <c r="AY157" s="25"/>
      <c r="AZ157" s="25"/>
      <c r="BA157" s="25"/>
      <c r="BB157" s="25"/>
      <c r="BC157" s="25"/>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row>
    <row r="158" spans="2:97">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5"/>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row>
    <row r="159" spans="2:97">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c r="AV159" s="25"/>
      <c r="AW159" s="25"/>
      <c r="AX159" s="25"/>
      <c r="AY159" s="25"/>
      <c r="AZ159" s="25"/>
      <c r="BA159" s="25"/>
      <c r="BB159" s="25"/>
      <c r="BC159" s="25"/>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row>
    <row r="160" spans="2:97">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c r="AV160" s="25"/>
      <c r="AW160" s="25"/>
      <c r="AX160" s="25"/>
      <c r="AY160" s="25"/>
      <c r="AZ160" s="25"/>
      <c r="BA160" s="25"/>
      <c r="BB160" s="25"/>
      <c r="BC160" s="25"/>
      <c r="BD160" s="25"/>
      <c r="BE160" s="25"/>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row>
    <row r="161" spans="2:97">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c r="AV161" s="25"/>
      <c r="AW161" s="25"/>
      <c r="AX161" s="25"/>
      <c r="AY161" s="25"/>
      <c r="AZ161" s="25"/>
      <c r="BA161" s="25"/>
      <c r="BB161" s="25"/>
      <c r="BC161" s="25"/>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row>
    <row r="162" spans="2:97">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c r="AV162" s="25"/>
      <c r="AW162" s="25"/>
      <c r="AX162" s="25"/>
      <c r="AY162" s="25"/>
      <c r="AZ162" s="25"/>
      <c r="BA162" s="25"/>
      <c r="BB162" s="25"/>
      <c r="BC162" s="25"/>
      <c r="BD162" s="25"/>
      <c r="BE162" s="25"/>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row>
    <row r="163" spans="2:97">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c r="AV163" s="25"/>
      <c r="AW163" s="25"/>
      <c r="AX163" s="25"/>
      <c r="AY163" s="25"/>
      <c r="AZ163" s="25"/>
      <c r="BA163" s="25"/>
      <c r="BB163" s="25"/>
      <c r="BC163" s="25"/>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row>
    <row r="164" spans="2:97">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5"/>
      <c r="BC164" s="25"/>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row>
    <row r="165" spans="2:97">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c r="AV165" s="25"/>
      <c r="AW165" s="25"/>
      <c r="AX165" s="25"/>
      <c r="AY165" s="25"/>
      <c r="AZ165" s="25"/>
      <c r="BA165" s="25"/>
      <c r="BB165" s="25"/>
      <c r="BC165" s="25"/>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row>
    <row r="166" spans="2:97">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row>
    <row r="167" spans="2:97">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c r="BB167" s="25"/>
      <c r="BC167" s="25"/>
      <c r="BD167" s="25"/>
      <c r="BE167" s="25"/>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row>
    <row r="168" spans="2:97">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row>
    <row r="169" spans="2:97">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c r="AV169" s="25"/>
      <c r="AW169" s="25"/>
      <c r="AX169" s="25"/>
      <c r="AY169" s="25"/>
      <c r="AZ169" s="25"/>
      <c r="BA169" s="25"/>
      <c r="BB169" s="25"/>
      <c r="BC169" s="25"/>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row>
    <row r="170" spans="2:97">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row>
    <row r="171" spans="2:97">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c r="AV171" s="25"/>
      <c r="AW171" s="25"/>
      <c r="AX171" s="25"/>
      <c r="AY171" s="25"/>
      <c r="AZ171" s="25"/>
      <c r="BA171" s="25"/>
      <c r="BB171" s="25"/>
      <c r="BC171" s="25"/>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row>
    <row r="172" spans="2:97">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c r="AV172" s="25"/>
      <c r="AW172" s="25"/>
      <c r="AX172" s="25"/>
      <c r="AY172" s="25"/>
      <c r="AZ172" s="25"/>
      <c r="BA172" s="25"/>
      <c r="BB172" s="25"/>
      <c r="BC172" s="25"/>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row>
    <row r="173" spans="2:97">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row>
    <row r="174" spans="2:97">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c r="AV174" s="25"/>
      <c r="AW174" s="25"/>
      <c r="AX174" s="25"/>
      <c r="AY174" s="25"/>
      <c r="AZ174" s="25"/>
      <c r="BA174" s="25"/>
      <c r="BB174" s="25"/>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row>
    <row r="175" spans="2:97">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c r="AV175" s="25"/>
      <c r="AW175" s="25"/>
      <c r="AX175" s="25"/>
      <c r="AY175" s="25"/>
      <c r="AZ175" s="25"/>
      <c r="BA175" s="25"/>
      <c r="BB175" s="25"/>
      <c r="BC175" s="25"/>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row>
    <row r="176" spans="2:97">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c r="AV176" s="25"/>
      <c r="AW176" s="25"/>
      <c r="AX176" s="25"/>
      <c r="AY176" s="25"/>
      <c r="AZ176" s="25"/>
      <c r="BA176" s="25"/>
      <c r="BB176" s="25"/>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row>
    <row r="177" spans="2:97">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5"/>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row>
    <row r="178" spans="2:97">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c r="AV178" s="25"/>
      <c r="AW178" s="25"/>
      <c r="AX178" s="25"/>
      <c r="AY178" s="25"/>
      <c r="AZ178" s="25"/>
      <c r="BA178" s="25"/>
      <c r="BB178" s="25"/>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row>
    <row r="179" spans="2:97">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c r="AV179" s="25"/>
      <c r="AW179" s="25"/>
      <c r="AX179" s="25"/>
      <c r="AY179" s="25"/>
      <c r="AZ179" s="25"/>
      <c r="BA179" s="25"/>
      <c r="BB179" s="25"/>
      <c r="BC179" s="25"/>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row>
    <row r="180" spans="2:97">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c r="BB180" s="25"/>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row>
    <row r="181" spans="2:97">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c r="AV181" s="25"/>
      <c r="AW181" s="25"/>
      <c r="AX181" s="25"/>
      <c r="AY181" s="25"/>
      <c r="AZ181" s="25"/>
      <c r="BA181" s="25"/>
      <c r="BB181" s="25"/>
      <c r="BC181" s="25"/>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row>
    <row r="182" spans="2:97">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c r="AV182" s="25"/>
      <c r="AW182" s="25"/>
      <c r="AX182" s="25"/>
      <c r="AY182" s="25"/>
      <c r="AZ182" s="25"/>
      <c r="BA182" s="25"/>
      <c r="BB182" s="25"/>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row>
    <row r="183" spans="2:97">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row>
    <row r="184" spans="2:97">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row>
    <row r="185" spans="2:97">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c r="AV185" s="25"/>
      <c r="AW185" s="25"/>
      <c r="AX185" s="25"/>
      <c r="AY185" s="25"/>
      <c r="AZ185" s="25"/>
      <c r="BA185" s="25"/>
      <c r="BB185" s="25"/>
      <c r="BC185" s="25"/>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row>
    <row r="186" spans="2:97">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row>
    <row r="187" spans="2:97">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c r="AV187" s="25"/>
      <c r="AW187" s="25"/>
      <c r="AX187" s="25"/>
      <c r="AY187" s="25"/>
      <c r="AZ187" s="25"/>
      <c r="BA187" s="25"/>
      <c r="BB187" s="25"/>
      <c r="BC187" s="25"/>
      <c r="BD187" s="25"/>
      <c r="BE187" s="25"/>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row>
    <row r="188" spans="2:97">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row>
    <row r="189" spans="2:97">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c r="AV189" s="25"/>
      <c r="AW189" s="25"/>
      <c r="AX189" s="25"/>
      <c r="AY189" s="25"/>
      <c r="AZ189" s="25"/>
      <c r="BA189" s="25"/>
      <c r="BB189" s="25"/>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row>
    <row r="190" spans="2:97">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row>
    <row r="191" spans="2:97">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c r="AV191" s="25"/>
      <c r="AW191" s="25"/>
      <c r="AX191" s="25"/>
      <c r="AY191" s="25"/>
      <c r="AZ191" s="25"/>
      <c r="BA191" s="25"/>
      <c r="BB191" s="25"/>
      <c r="BC191" s="25"/>
      <c r="BD191" s="25"/>
      <c r="BE191" s="25"/>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row>
    <row r="192" spans="2:97">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row>
    <row r="193" spans="2:97">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c r="AY193" s="25"/>
      <c r="AZ193" s="25"/>
      <c r="BA193" s="25"/>
      <c r="BB193" s="25"/>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row>
    <row r="194" spans="2:97">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row>
    <row r="195" spans="2:97">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c r="AV195" s="25"/>
      <c r="AW195" s="25"/>
      <c r="AX195" s="25"/>
      <c r="AY195" s="25"/>
      <c r="AZ195" s="25"/>
      <c r="BA195" s="25"/>
      <c r="BB195" s="25"/>
      <c r="BC195" s="25"/>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row>
    <row r="196" spans="2:97">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row>
    <row r="197" spans="2:97">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row>
    <row r="198" spans="2:97">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row>
    <row r="199" spans="2:97">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row>
    <row r="200" spans="2:97">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row>
    <row r="201" spans="2:97">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5"/>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row>
    <row r="202" spans="2:97">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row>
    <row r="203" spans="2:97">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row>
    <row r="204" spans="2:97">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c r="AV204" s="25"/>
      <c r="AW204" s="25"/>
      <c r="AX204" s="25"/>
      <c r="AY204" s="25"/>
      <c r="AZ204" s="25"/>
      <c r="BA204" s="25"/>
      <c r="BB204" s="25"/>
      <c r="BC204" s="25"/>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row>
    <row r="205" spans="2:97">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c r="AV205" s="25"/>
      <c r="AW205" s="25"/>
      <c r="AX205" s="25"/>
      <c r="AY205" s="25"/>
      <c r="AZ205" s="25"/>
      <c r="BA205" s="25"/>
      <c r="BB205" s="25"/>
      <c r="BC205" s="25"/>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row>
    <row r="206" spans="2:97">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row>
    <row r="207" spans="2:97">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c r="AV207" s="25"/>
      <c r="AW207" s="25"/>
      <c r="AX207" s="25"/>
      <c r="AY207" s="25"/>
      <c r="AZ207" s="25"/>
      <c r="BA207" s="25"/>
      <c r="BB207" s="25"/>
      <c r="BC207" s="25"/>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row>
    <row r="208" spans="2:97">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c r="AY208" s="25"/>
      <c r="AZ208" s="25"/>
      <c r="BA208" s="25"/>
      <c r="BB208" s="25"/>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row>
    <row r="209" spans="2:97">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c r="AV209" s="25"/>
      <c r="AW209" s="25"/>
      <c r="AX209" s="25"/>
      <c r="AY209" s="25"/>
      <c r="AZ209" s="25"/>
      <c r="BA209" s="25"/>
      <c r="BB209" s="25"/>
      <c r="BC209" s="25"/>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row>
    <row r="210" spans="2:97">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c r="AV210" s="25"/>
      <c r="AW210" s="25"/>
      <c r="AX210" s="25"/>
      <c r="AY210" s="25"/>
      <c r="AZ210" s="25"/>
      <c r="BA210" s="25"/>
      <c r="BB210" s="25"/>
      <c r="BC210" s="25"/>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row>
    <row r="211" spans="2:97">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c r="AV211" s="25"/>
      <c r="AW211" s="25"/>
      <c r="AX211" s="25"/>
      <c r="AY211" s="25"/>
      <c r="AZ211" s="25"/>
      <c r="BA211" s="25"/>
      <c r="BB211" s="25"/>
      <c r="BC211" s="25"/>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row>
    <row r="212" spans="2:97">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c r="AV212" s="25"/>
      <c r="AW212" s="25"/>
      <c r="AX212" s="25"/>
      <c r="AY212" s="25"/>
      <c r="AZ212" s="25"/>
      <c r="BA212" s="25"/>
      <c r="BB212" s="25"/>
      <c r="BC212" s="25"/>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row>
    <row r="213" spans="2:97">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c r="AV213" s="25"/>
      <c r="AW213" s="25"/>
      <c r="AX213" s="25"/>
      <c r="AY213" s="25"/>
      <c r="AZ213" s="25"/>
      <c r="BA213" s="25"/>
      <c r="BB213" s="25"/>
      <c r="BC213" s="25"/>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c r="CD213" s="25"/>
      <c r="CE213" s="25"/>
      <c r="CF213" s="25"/>
      <c r="CG213" s="25"/>
      <c r="CH213" s="25"/>
      <c r="CI213" s="25"/>
      <c r="CJ213" s="25"/>
      <c r="CK213" s="25"/>
      <c r="CL213" s="25"/>
      <c r="CM213" s="25"/>
      <c r="CN213" s="25"/>
      <c r="CO213" s="25"/>
      <c r="CP213" s="25"/>
      <c r="CQ213" s="25"/>
      <c r="CR213" s="25"/>
      <c r="CS213" s="25"/>
    </row>
    <row r="214" spans="2:97">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c r="AV214" s="25"/>
      <c r="AW214" s="25"/>
      <c r="AX214" s="25"/>
      <c r="AY214" s="25"/>
      <c r="AZ214" s="25"/>
      <c r="BA214" s="25"/>
      <c r="BB214" s="25"/>
      <c r="BC214" s="25"/>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row>
    <row r="215" spans="2:97">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c r="AV215" s="25"/>
      <c r="AW215" s="25"/>
      <c r="AX215" s="25"/>
      <c r="AY215" s="25"/>
      <c r="AZ215" s="25"/>
      <c r="BA215" s="25"/>
      <c r="BB215" s="25"/>
      <c r="BC215" s="25"/>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row>
    <row r="216" spans="2:97">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c r="AV216" s="25"/>
      <c r="AW216" s="25"/>
      <c r="AX216" s="25"/>
      <c r="AY216" s="25"/>
      <c r="AZ216" s="25"/>
      <c r="BA216" s="25"/>
      <c r="BB216" s="25"/>
      <c r="BC216" s="25"/>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row>
    <row r="217" spans="2:97">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c r="AV217" s="25"/>
      <c r="AW217" s="25"/>
      <c r="AX217" s="25"/>
      <c r="AY217" s="25"/>
      <c r="AZ217" s="25"/>
      <c r="BA217" s="25"/>
      <c r="BB217" s="25"/>
      <c r="BC217" s="25"/>
      <c r="BD217" s="25"/>
      <c r="BE217" s="25"/>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row>
    <row r="218" spans="2:97">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25"/>
      <c r="AW218" s="25"/>
      <c r="AX218" s="25"/>
      <c r="AY218" s="25"/>
      <c r="AZ218" s="25"/>
      <c r="BA218" s="25"/>
      <c r="BB218" s="25"/>
      <c r="BC218" s="25"/>
      <c r="BD218" s="25"/>
      <c r="BE218" s="25"/>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row>
    <row r="219" spans="2:97">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25"/>
      <c r="AW219" s="25"/>
      <c r="AX219" s="25"/>
      <c r="AY219" s="25"/>
      <c r="AZ219" s="25"/>
      <c r="BA219" s="25"/>
      <c r="BB219" s="25"/>
      <c r="BC219" s="25"/>
      <c r="BD219" s="25"/>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row>
    <row r="220" spans="2:97">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c r="AV220" s="25"/>
      <c r="AW220" s="25"/>
      <c r="AX220" s="25"/>
      <c r="AY220" s="25"/>
      <c r="AZ220" s="25"/>
      <c r="BA220" s="25"/>
      <c r="BB220" s="25"/>
      <c r="BC220" s="25"/>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row>
    <row r="221" spans="2:97">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c r="AV221" s="25"/>
      <c r="AW221" s="25"/>
      <c r="AX221" s="25"/>
      <c r="AY221" s="25"/>
      <c r="AZ221" s="25"/>
      <c r="BA221" s="25"/>
      <c r="BB221" s="25"/>
      <c r="BC221" s="25"/>
      <c r="BD221" s="25"/>
      <c r="BE221" s="25"/>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row>
    <row r="222" spans="2:97">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c r="AV222" s="25"/>
      <c r="AW222" s="25"/>
      <c r="AX222" s="25"/>
      <c r="AY222" s="25"/>
      <c r="AZ222" s="25"/>
      <c r="BA222" s="25"/>
      <c r="BB222" s="25"/>
      <c r="BC222" s="25"/>
      <c r="BD222" s="25"/>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c r="CD222" s="25"/>
      <c r="CE222" s="25"/>
      <c r="CF222" s="25"/>
      <c r="CG222" s="25"/>
      <c r="CH222" s="25"/>
      <c r="CI222" s="25"/>
      <c r="CJ222" s="25"/>
      <c r="CK222" s="25"/>
      <c r="CL222" s="25"/>
      <c r="CM222" s="25"/>
      <c r="CN222" s="25"/>
      <c r="CO222" s="25"/>
      <c r="CP222" s="25"/>
      <c r="CQ222" s="25"/>
      <c r="CR222" s="25"/>
      <c r="CS222" s="25"/>
    </row>
    <row r="223" spans="2:97">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c r="AV223" s="25"/>
      <c r="AW223" s="25"/>
      <c r="AX223" s="25"/>
      <c r="AY223" s="25"/>
      <c r="AZ223" s="25"/>
      <c r="BA223" s="25"/>
      <c r="BB223" s="25"/>
      <c r="BC223" s="25"/>
      <c r="BD223" s="25"/>
      <c r="BE223" s="25"/>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row>
    <row r="224" spans="2:97">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row>
    <row r="225" spans="2:97">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c r="AV225" s="25"/>
      <c r="AW225" s="25"/>
      <c r="AX225" s="25"/>
      <c r="AY225" s="25"/>
      <c r="AZ225" s="25"/>
      <c r="BA225" s="25"/>
      <c r="BB225" s="25"/>
      <c r="BC225" s="25"/>
      <c r="BD225" s="25"/>
      <c r="BE225" s="25"/>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row>
    <row r="226" spans="2:97">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c r="AV226" s="25"/>
      <c r="AW226" s="25"/>
      <c r="AX226" s="25"/>
      <c r="AY226" s="25"/>
      <c r="AZ226" s="25"/>
      <c r="BA226" s="25"/>
      <c r="BB226" s="25"/>
      <c r="BC226" s="25"/>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row>
    <row r="227" spans="2:97">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25"/>
      <c r="BE227" s="25"/>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row>
    <row r="228" spans="2:97">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c r="AV228" s="25"/>
      <c r="AW228" s="25"/>
      <c r="AX228" s="25"/>
      <c r="AY228" s="25"/>
      <c r="AZ228" s="25"/>
      <c r="BA228" s="25"/>
      <c r="BB228" s="25"/>
      <c r="BC228" s="25"/>
      <c r="BD228" s="25"/>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row>
    <row r="229" spans="2:97">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c r="AV229" s="25"/>
      <c r="AW229" s="25"/>
      <c r="AX229" s="25"/>
      <c r="AY229" s="25"/>
      <c r="AZ229" s="25"/>
      <c r="BA229" s="25"/>
      <c r="BB229" s="25"/>
      <c r="BC229" s="25"/>
      <c r="BD229" s="25"/>
      <c r="BE229" s="25"/>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row>
    <row r="230" spans="2:97">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5"/>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row>
    <row r="231" spans="2:97">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c r="AV231" s="25"/>
      <c r="AW231" s="25"/>
      <c r="AX231" s="25"/>
      <c r="AY231" s="25"/>
      <c r="AZ231" s="25"/>
      <c r="BA231" s="25"/>
      <c r="BB231" s="25"/>
      <c r="BC231" s="25"/>
      <c r="BD231" s="25"/>
      <c r="BE231" s="25"/>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row>
    <row r="232" spans="2:97">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25"/>
      <c r="AW232" s="25"/>
      <c r="AX232" s="25"/>
      <c r="AY232" s="25"/>
      <c r="AZ232" s="25"/>
      <c r="BA232" s="25"/>
      <c r="BB232" s="25"/>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row>
    <row r="233" spans="2:97">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c r="AV233" s="25"/>
      <c r="AW233" s="25"/>
      <c r="AX233" s="25"/>
      <c r="AY233" s="25"/>
      <c r="AZ233" s="25"/>
      <c r="BA233" s="25"/>
      <c r="BB233" s="25"/>
      <c r="BC233" s="25"/>
      <c r="BD233" s="25"/>
      <c r="BE233" s="25"/>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row>
    <row r="234" spans="2:97">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c r="AV234" s="25"/>
      <c r="AW234" s="25"/>
      <c r="AX234" s="25"/>
      <c r="AY234" s="25"/>
      <c r="AZ234" s="25"/>
      <c r="BA234" s="25"/>
      <c r="BB234" s="25"/>
      <c r="BC234" s="25"/>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row>
    <row r="235" spans="2:97">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c r="AV235" s="25"/>
      <c r="AW235" s="25"/>
      <c r="AX235" s="25"/>
      <c r="AY235" s="25"/>
      <c r="AZ235" s="25"/>
      <c r="BA235" s="25"/>
      <c r="BB235" s="25"/>
      <c r="BC235" s="25"/>
      <c r="BD235" s="25"/>
      <c r="BE235" s="25"/>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row>
    <row r="236" spans="2:97">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c r="AV236" s="25"/>
      <c r="AW236" s="25"/>
      <c r="AX236" s="25"/>
      <c r="AY236" s="25"/>
      <c r="AZ236" s="25"/>
      <c r="BA236" s="25"/>
      <c r="BB236" s="25"/>
      <c r="BC236" s="25"/>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row>
    <row r="237" spans="2:97">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c r="AV237" s="25"/>
      <c r="AW237" s="25"/>
      <c r="AX237" s="25"/>
      <c r="AY237" s="25"/>
      <c r="AZ237" s="25"/>
      <c r="BA237" s="25"/>
      <c r="BB237" s="25"/>
      <c r="BC237" s="25"/>
      <c r="BD237" s="25"/>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row>
    <row r="238" spans="2:97">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c r="AV238" s="25"/>
      <c r="AW238" s="25"/>
      <c r="AX238" s="25"/>
      <c r="AY238" s="25"/>
      <c r="AZ238" s="25"/>
      <c r="BA238" s="25"/>
      <c r="BB238" s="25"/>
      <c r="BC238" s="25"/>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row>
    <row r="239" spans="2:97">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c r="AV239" s="25"/>
      <c r="AW239" s="25"/>
      <c r="AX239" s="25"/>
      <c r="AY239" s="25"/>
      <c r="AZ239" s="25"/>
      <c r="BA239" s="25"/>
      <c r="BB239" s="25"/>
      <c r="BC239" s="25"/>
      <c r="BD239" s="25"/>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row>
    <row r="240" spans="2:97">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25"/>
      <c r="BE240" s="25"/>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row>
    <row r="241" spans="2:97">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c r="AV241" s="25"/>
      <c r="AW241" s="25"/>
      <c r="AX241" s="25"/>
      <c r="AY241" s="25"/>
      <c r="AZ241" s="25"/>
      <c r="BA241" s="25"/>
      <c r="BB241" s="25"/>
      <c r="BC241" s="25"/>
      <c r="BD241" s="25"/>
      <c r="BE241" s="25"/>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row>
    <row r="242" spans="2:97">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c r="AV242" s="25"/>
      <c r="AW242" s="25"/>
      <c r="AX242" s="25"/>
      <c r="AY242" s="25"/>
      <c r="AZ242" s="25"/>
      <c r="BA242" s="25"/>
      <c r="BB242" s="25"/>
      <c r="BC242" s="25"/>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row>
    <row r="243" spans="2:97">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c r="AV243" s="25"/>
      <c r="AW243" s="25"/>
      <c r="AX243" s="25"/>
      <c r="AY243" s="25"/>
      <c r="AZ243" s="25"/>
      <c r="BA243" s="25"/>
      <c r="BB243" s="25"/>
      <c r="BC243" s="25"/>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row>
    <row r="244" spans="2:97">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c r="AV244" s="25"/>
      <c r="AW244" s="25"/>
      <c r="AX244" s="25"/>
      <c r="AY244" s="25"/>
      <c r="AZ244" s="25"/>
      <c r="BA244" s="25"/>
      <c r="BB244" s="25"/>
      <c r="BC244" s="25"/>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row>
    <row r="245" spans="2:97">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c r="AV245" s="25"/>
      <c r="AW245" s="25"/>
      <c r="AX245" s="25"/>
      <c r="AY245" s="25"/>
      <c r="AZ245" s="25"/>
      <c r="BA245" s="25"/>
      <c r="BB245" s="25"/>
      <c r="BC245" s="25"/>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c r="CC245" s="25"/>
      <c r="CD245" s="25"/>
      <c r="CE245" s="25"/>
      <c r="CF245" s="25"/>
      <c r="CG245" s="25"/>
      <c r="CH245" s="25"/>
      <c r="CI245" s="25"/>
      <c r="CJ245" s="25"/>
      <c r="CK245" s="25"/>
      <c r="CL245" s="25"/>
      <c r="CM245" s="25"/>
      <c r="CN245" s="25"/>
      <c r="CO245" s="25"/>
      <c r="CP245" s="25"/>
      <c r="CQ245" s="25"/>
      <c r="CR245" s="25"/>
      <c r="CS245" s="25"/>
    </row>
    <row r="246" spans="2:97">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c r="AV246" s="25"/>
      <c r="AW246" s="25"/>
      <c r="AX246" s="25"/>
      <c r="AY246" s="25"/>
      <c r="AZ246" s="25"/>
      <c r="BA246" s="25"/>
      <c r="BB246" s="25"/>
      <c r="BC246" s="25"/>
      <c r="BD246" s="25"/>
      <c r="BE246" s="25"/>
      <c r="BF246" s="25"/>
      <c r="BG246" s="25"/>
      <c r="BH246" s="25"/>
      <c r="BI246" s="25"/>
      <c r="BJ246" s="25"/>
      <c r="BK246" s="25"/>
      <c r="BL246" s="25"/>
      <c r="BM246" s="25"/>
      <c r="BN246" s="25"/>
      <c r="BO246" s="25"/>
      <c r="BP246" s="25"/>
      <c r="BQ246" s="25"/>
      <c r="BR246" s="25"/>
      <c r="BS246" s="25"/>
      <c r="BT246" s="25"/>
      <c r="BU246" s="25"/>
      <c r="BV246" s="25"/>
      <c r="BW246" s="25"/>
      <c r="BX246" s="25"/>
      <c r="BY246" s="25"/>
      <c r="BZ246" s="25"/>
      <c r="CA246" s="25"/>
      <c r="CB246" s="25"/>
      <c r="CC246" s="25"/>
      <c r="CD246" s="25"/>
      <c r="CE246" s="25"/>
      <c r="CF246" s="25"/>
      <c r="CG246" s="25"/>
      <c r="CH246" s="25"/>
      <c r="CI246" s="25"/>
      <c r="CJ246" s="25"/>
      <c r="CK246" s="25"/>
      <c r="CL246" s="25"/>
      <c r="CM246" s="25"/>
      <c r="CN246" s="25"/>
      <c r="CO246" s="25"/>
      <c r="CP246" s="25"/>
      <c r="CQ246" s="25"/>
      <c r="CR246" s="25"/>
      <c r="CS246" s="25"/>
    </row>
    <row r="247" spans="2:97">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c r="AV247" s="25"/>
      <c r="AW247" s="25"/>
      <c r="AX247" s="25"/>
      <c r="AY247" s="25"/>
      <c r="AZ247" s="25"/>
      <c r="BA247" s="25"/>
      <c r="BB247" s="25"/>
      <c r="BC247" s="25"/>
      <c r="BD247" s="25"/>
      <c r="BE247" s="25"/>
      <c r="BF247" s="25"/>
      <c r="BG247" s="25"/>
      <c r="BH247" s="25"/>
      <c r="BI247" s="25"/>
      <c r="BJ247" s="25"/>
      <c r="BK247" s="25"/>
      <c r="BL247" s="25"/>
      <c r="BM247" s="25"/>
      <c r="BN247" s="25"/>
      <c r="BO247" s="25"/>
      <c r="BP247" s="25"/>
      <c r="BQ247" s="25"/>
      <c r="BR247" s="25"/>
      <c r="BS247" s="25"/>
      <c r="BT247" s="25"/>
      <c r="BU247" s="25"/>
      <c r="BV247" s="25"/>
      <c r="BW247" s="25"/>
      <c r="BX247" s="25"/>
      <c r="BY247" s="25"/>
      <c r="BZ247" s="25"/>
      <c r="CA247" s="25"/>
      <c r="CB247" s="25"/>
      <c r="CC247" s="25"/>
      <c r="CD247" s="25"/>
      <c r="CE247" s="25"/>
      <c r="CF247" s="25"/>
      <c r="CG247" s="25"/>
      <c r="CH247" s="25"/>
      <c r="CI247" s="25"/>
      <c r="CJ247" s="25"/>
      <c r="CK247" s="25"/>
      <c r="CL247" s="25"/>
      <c r="CM247" s="25"/>
      <c r="CN247" s="25"/>
      <c r="CO247" s="25"/>
      <c r="CP247" s="25"/>
      <c r="CQ247" s="25"/>
      <c r="CR247" s="25"/>
      <c r="CS247" s="25"/>
    </row>
    <row r="248" spans="2:97">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c r="AV248" s="25"/>
      <c r="AW248" s="25"/>
      <c r="AX248" s="25"/>
      <c r="AY248" s="25"/>
      <c r="AZ248" s="25"/>
      <c r="BA248" s="25"/>
      <c r="BB248" s="25"/>
      <c r="BC248" s="25"/>
      <c r="BD248" s="25"/>
      <c r="BE248" s="25"/>
      <c r="BF248" s="25"/>
      <c r="BG248" s="25"/>
      <c r="BH248" s="25"/>
      <c r="BI248" s="25"/>
      <c r="BJ248" s="25"/>
      <c r="BK248" s="25"/>
      <c r="BL248" s="25"/>
      <c r="BM248" s="25"/>
      <c r="BN248" s="25"/>
      <c r="BO248" s="25"/>
      <c r="BP248" s="25"/>
      <c r="BQ248" s="25"/>
      <c r="BR248" s="25"/>
      <c r="BS248" s="25"/>
      <c r="BT248" s="25"/>
      <c r="BU248" s="25"/>
      <c r="BV248" s="25"/>
      <c r="BW248" s="25"/>
      <c r="BX248" s="25"/>
      <c r="BY248" s="25"/>
      <c r="BZ248" s="25"/>
      <c r="CA248" s="25"/>
      <c r="CB248" s="25"/>
      <c r="CC248" s="25"/>
      <c r="CD248" s="25"/>
      <c r="CE248" s="25"/>
      <c r="CF248" s="25"/>
      <c r="CG248" s="25"/>
      <c r="CH248" s="25"/>
      <c r="CI248" s="25"/>
      <c r="CJ248" s="25"/>
      <c r="CK248" s="25"/>
      <c r="CL248" s="25"/>
      <c r="CM248" s="25"/>
      <c r="CN248" s="25"/>
      <c r="CO248" s="25"/>
      <c r="CP248" s="25"/>
      <c r="CQ248" s="25"/>
      <c r="CR248" s="25"/>
      <c r="CS248" s="25"/>
    </row>
    <row r="249" spans="2:97">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c r="AV249" s="25"/>
      <c r="AW249" s="25"/>
      <c r="AX249" s="25"/>
      <c r="AY249" s="25"/>
      <c r="AZ249" s="25"/>
      <c r="BA249" s="25"/>
      <c r="BB249" s="25"/>
      <c r="BC249" s="25"/>
      <c r="BD249" s="25"/>
      <c r="BE249" s="25"/>
      <c r="BF249" s="25"/>
      <c r="BG249" s="25"/>
      <c r="BH249" s="25"/>
      <c r="BI249" s="25"/>
      <c r="BJ249" s="25"/>
      <c r="BK249" s="25"/>
      <c r="BL249" s="25"/>
      <c r="BM249" s="25"/>
      <c r="BN249" s="25"/>
      <c r="BO249" s="25"/>
      <c r="BP249" s="25"/>
      <c r="BQ249" s="25"/>
      <c r="BR249" s="25"/>
      <c r="BS249" s="25"/>
      <c r="BT249" s="25"/>
      <c r="BU249" s="25"/>
      <c r="BV249" s="25"/>
      <c r="BW249" s="25"/>
      <c r="BX249" s="25"/>
      <c r="BY249" s="25"/>
      <c r="BZ249" s="25"/>
      <c r="CA249" s="25"/>
      <c r="CB249" s="25"/>
      <c r="CC249" s="25"/>
      <c r="CD249" s="25"/>
      <c r="CE249" s="25"/>
      <c r="CF249" s="25"/>
      <c r="CG249" s="25"/>
      <c r="CH249" s="25"/>
      <c r="CI249" s="25"/>
      <c r="CJ249" s="25"/>
      <c r="CK249" s="25"/>
      <c r="CL249" s="25"/>
      <c r="CM249" s="25"/>
      <c r="CN249" s="25"/>
      <c r="CO249" s="25"/>
      <c r="CP249" s="25"/>
      <c r="CQ249" s="25"/>
      <c r="CR249" s="25"/>
      <c r="CS249" s="25"/>
    </row>
    <row r="250" spans="2:97">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c r="AV250" s="25"/>
      <c r="AW250" s="25"/>
      <c r="AX250" s="25"/>
      <c r="AY250" s="25"/>
      <c r="AZ250" s="25"/>
      <c r="BA250" s="25"/>
      <c r="BB250" s="25"/>
      <c r="BC250" s="25"/>
      <c r="BD250" s="25"/>
      <c r="BE250" s="25"/>
      <c r="BF250" s="25"/>
      <c r="BG250" s="25"/>
      <c r="BH250" s="25"/>
      <c r="BI250" s="25"/>
      <c r="BJ250" s="25"/>
      <c r="BK250" s="25"/>
      <c r="BL250" s="25"/>
      <c r="BM250" s="25"/>
      <c r="BN250" s="25"/>
      <c r="BO250" s="25"/>
      <c r="BP250" s="25"/>
      <c r="BQ250" s="25"/>
      <c r="BR250" s="25"/>
      <c r="BS250" s="25"/>
      <c r="BT250" s="25"/>
      <c r="BU250" s="25"/>
      <c r="BV250" s="25"/>
      <c r="BW250" s="25"/>
      <c r="BX250" s="25"/>
      <c r="BY250" s="25"/>
      <c r="BZ250" s="25"/>
      <c r="CA250" s="25"/>
      <c r="CB250" s="25"/>
      <c r="CC250" s="25"/>
      <c r="CD250" s="25"/>
      <c r="CE250" s="25"/>
      <c r="CF250" s="25"/>
      <c r="CG250" s="25"/>
      <c r="CH250" s="25"/>
      <c r="CI250" s="25"/>
      <c r="CJ250" s="25"/>
      <c r="CK250" s="25"/>
      <c r="CL250" s="25"/>
      <c r="CM250" s="25"/>
      <c r="CN250" s="25"/>
      <c r="CO250" s="25"/>
      <c r="CP250" s="25"/>
      <c r="CQ250" s="25"/>
      <c r="CR250" s="25"/>
      <c r="CS250" s="25"/>
    </row>
    <row r="251" spans="2:97">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c r="AY251" s="25"/>
      <c r="AZ251" s="25"/>
      <c r="BA251" s="25"/>
      <c r="BB251" s="25"/>
      <c r="BC251" s="25"/>
      <c r="BD251" s="25"/>
      <c r="BE251" s="25"/>
      <c r="BF251" s="25"/>
      <c r="BG251" s="25"/>
      <c r="BH251" s="25"/>
      <c r="BI251" s="25"/>
      <c r="BJ251" s="25"/>
      <c r="BK251" s="25"/>
      <c r="BL251" s="25"/>
      <c r="BM251" s="25"/>
      <c r="BN251" s="25"/>
      <c r="BO251" s="25"/>
      <c r="BP251" s="25"/>
      <c r="BQ251" s="25"/>
      <c r="BR251" s="25"/>
      <c r="BS251" s="25"/>
      <c r="BT251" s="25"/>
      <c r="BU251" s="25"/>
      <c r="BV251" s="25"/>
      <c r="BW251" s="25"/>
      <c r="BX251" s="25"/>
      <c r="BY251" s="25"/>
      <c r="BZ251" s="25"/>
      <c r="CA251" s="25"/>
      <c r="CB251" s="25"/>
      <c r="CC251" s="25"/>
      <c r="CD251" s="25"/>
      <c r="CE251" s="25"/>
      <c r="CF251" s="25"/>
      <c r="CG251" s="25"/>
      <c r="CH251" s="25"/>
      <c r="CI251" s="25"/>
      <c r="CJ251" s="25"/>
      <c r="CK251" s="25"/>
      <c r="CL251" s="25"/>
      <c r="CM251" s="25"/>
      <c r="CN251" s="25"/>
      <c r="CO251" s="25"/>
      <c r="CP251" s="25"/>
      <c r="CQ251" s="25"/>
      <c r="CR251" s="25"/>
      <c r="CS251" s="25"/>
    </row>
    <row r="252" spans="2:97">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c r="AV252" s="25"/>
      <c r="AW252" s="25"/>
      <c r="AX252" s="25"/>
      <c r="AY252" s="25"/>
      <c r="AZ252" s="25"/>
      <c r="BA252" s="25"/>
      <c r="BB252" s="25"/>
      <c r="BC252" s="25"/>
      <c r="BD252" s="25"/>
      <c r="BE252" s="25"/>
      <c r="BF252" s="25"/>
      <c r="BG252" s="25"/>
      <c r="BH252" s="25"/>
      <c r="BI252" s="25"/>
      <c r="BJ252" s="25"/>
      <c r="BK252" s="25"/>
      <c r="BL252" s="25"/>
      <c r="BM252" s="25"/>
      <c r="BN252" s="25"/>
      <c r="BO252" s="25"/>
      <c r="BP252" s="25"/>
      <c r="BQ252" s="25"/>
      <c r="BR252" s="25"/>
      <c r="BS252" s="25"/>
      <c r="BT252" s="25"/>
      <c r="BU252" s="25"/>
      <c r="BV252" s="25"/>
      <c r="BW252" s="25"/>
      <c r="BX252" s="25"/>
      <c r="BY252" s="25"/>
      <c r="BZ252" s="25"/>
      <c r="CA252" s="25"/>
      <c r="CB252" s="25"/>
      <c r="CC252" s="25"/>
      <c r="CD252" s="25"/>
      <c r="CE252" s="25"/>
      <c r="CF252" s="25"/>
      <c r="CG252" s="25"/>
      <c r="CH252" s="25"/>
      <c r="CI252" s="25"/>
      <c r="CJ252" s="25"/>
      <c r="CK252" s="25"/>
      <c r="CL252" s="25"/>
      <c r="CM252" s="25"/>
      <c r="CN252" s="25"/>
      <c r="CO252" s="25"/>
      <c r="CP252" s="25"/>
      <c r="CQ252" s="25"/>
      <c r="CR252" s="25"/>
      <c r="CS252" s="25"/>
    </row>
    <row r="253" spans="2:97">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c r="AV253" s="25"/>
      <c r="AW253" s="25"/>
      <c r="AX253" s="25"/>
      <c r="AY253" s="25"/>
      <c r="AZ253" s="25"/>
      <c r="BA253" s="25"/>
      <c r="BB253" s="25"/>
      <c r="BC253" s="25"/>
      <c r="BD253" s="25"/>
      <c r="BE253" s="25"/>
      <c r="BF253" s="25"/>
      <c r="BG253" s="25"/>
      <c r="BH253" s="25"/>
      <c r="BI253" s="25"/>
      <c r="BJ253" s="25"/>
      <c r="BK253" s="25"/>
      <c r="BL253" s="25"/>
      <c r="BM253" s="25"/>
      <c r="BN253" s="25"/>
      <c r="BO253" s="25"/>
      <c r="BP253" s="25"/>
      <c r="BQ253" s="25"/>
      <c r="BR253" s="25"/>
      <c r="BS253" s="25"/>
      <c r="BT253" s="25"/>
      <c r="BU253" s="25"/>
      <c r="BV253" s="25"/>
      <c r="BW253" s="25"/>
      <c r="BX253" s="25"/>
      <c r="BY253" s="25"/>
      <c r="BZ253" s="25"/>
      <c r="CA253" s="25"/>
      <c r="CB253" s="25"/>
      <c r="CC253" s="25"/>
      <c r="CD253" s="25"/>
      <c r="CE253" s="25"/>
      <c r="CF253" s="25"/>
      <c r="CG253" s="25"/>
      <c r="CH253" s="25"/>
      <c r="CI253" s="25"/>
      <c r="CJ253" s="25"/>
      <c r="CK253" s="25"/>
      <c r="CL253" s="25"/>
      <c r="CM253" s="25"/>
      <c r="CN253" s="25"/>
      <c r="CO253" s="25"/>
      <c r="CP253" s="25"/>
      <c r="CQ253" s="25"/>
      <c r="CR253" s="25"/>
      <c r="CS253" s="25"/>
    </row>
    <row r="254" spans="2:97">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c r="AV254" s="25"/>
      <c r="AW254" s="25"/>
      <c r="AX254" s="25"/>
      <c r="AY254" s="25"/>
      <c r="AZ254" s="25"/>
      <c r="BA254" s="25"/>
      <c r="BB254" s="25"/>
      <c r="BC254" s="25"/>
      <c r="BD254" s="25"/>
      <c r="BE254" s="25"/>
      <c r="BF254" s="25"/>
      <c r="BG254" s="25"/>
      <c r="BH254" s="25"/>
      <c r="BI254" s="25"/>
      <c r="BJ254" s="25"/>
      <c r="BK254" s="25"/>
      <c r="BL254" s="25"/>
      <c r="BM254" s="25"/>
      <c r="BN254" s="25"/>
      <c r="BO254" s="25"/>
      <c r="BP254" s="25"/>
      <c r="BQ254" s="25"/>
      <c r="BR254" s="25"/>
      <c r="BS254" s="25"/>
      <c r="BT254" s="25"/>
      <c r="BU254" s="25"/>
      <c r="BV254" s="25"/>
      <c r="BW254" s="25"/>
      <c r="BX254" s="25"/>
      <c r="BY254" s="25"/>
      <c r="BZ254" s="25"/>
      <c r="CA254" s="25"/>
      <c r="CB254" s="25"/>
      <c r="CC254" s="25"/>
      <c r="CD254" s="25"/>
      <c r="CE254" s="25"/>
      <c r="CF254" s="25"/>
      <c r="CG254" s="25"/>
      <c r="CH254" s="25"/>
      <c r="CI254" s="25"/>
      <c r="CJ254" s="25"/>
      <c r="CK254" s="25"/>
      <c r="CL254" s="25"/>
      <c r="CM254" s="25"/>
      <c r="CN254" s="25"/>
      <c r="CO254" s="25"/>
      <c r="CP254" s="25"/>
      <c r="CQ254" s="25"/>
      <c r="CR254" s="25"/>
      <c r="CS254" s="25"/>
    </row>
    <row r="255" spans="2:97">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c r="AV255" s="25"/>
      <c r="AW255" s="25"/>
      <c r="AX255" s="25"/>
      <c r="AY255" s="25"/>
      <c r="AZ255" s="25"/>
      <c r="BA255" s="25"/>
      <c r="BB255" s="25"/>
      <c r="BC255" s="25"/>
      <c r="BD255" s="25"/>
      <c r="BE255" s="25"/>
      <c r="BF255" s="25"/>
      <c r="BG255" s="25"/>
      <c r="BH255" s="25"/>
      <c r="BI255" s="25"/>
      <c r="BJ255" s="25"/>
      <c r="BK255" s="25"/>
      <c r="BL255" s="25"/>
      <c r="BM255" s="25"/>
      <c r="BN255" s="25"/>
      <c r="BO255" s="25"/>
      <c r="BP255" s="25"/>
      <c r="BQ255" s="25"/>
      <c r="BR255" s="25"/>
      <c r="BS255" s="25"/>
      <c r="BT255" s="25"/>
      <c r="BU255" s="25"/>
      <c r="BV255" s="25"/>
      <c r="BW255" s="25"/>
      <c r="BX255" s="25"/>
      <c r="BY255" s="25"/>
      <c r="BZ255" s="25"/>
      <c r="CA255" s="25"/>
      <c r="CB255" s="25"/>
      <c r="CC255" s="25"/>
      <c r="CD255" s="25"/>
      <c r="CE255" s="25"/>
      <c r="CF255" s="25"/>
      <c r="CG255" s="25"/>
      <c r="CH255" s="25"/>
      <c r="CI255" s="25"/>
      <c r="CJ255" s="25"/>
      <c r="CK255" s="25"/>
      <c r="CL255" s="25"/>
      <c r="CM255" s="25"/>
      <c r="CN255" s="25"/>
      <c r="CO255" s="25"/>
      <c r="CP255" s="25"/>
      <c r="CQ255" s="25"/>
      <c r="CR255" s="25"/>
      <c r="CS255" s="25"/>
    </row>
    <row r="256" spans="2:97">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c r="AZ256" s="25"/>
      <c r="BA256" s="25"/>
      <c r="BB256" s="25"/>
      <c r="BC256" s="25"/>
      <c r="BD256" s="25"/>
      <c r="BE256" s="25"/>
      <c r="BF256" s="25"/>
      <c r="BG256" s="25"/>
      <c r="BH256" s="25"/>
      <c r="BI256" s="25"/>
      <c r="BJ256" s="25"/>
      <c r="BK256" s="25"/>
      <c r="BL256" s="25"/>
      <c r="BM256" s="25"/>
      <c r="BN256" s="25"/>
      <c r="BO256" s="25"/>
      <c r="BP256" s="25"/>
      <c r="BQ256" s="25"/>
      <c r="BR256" s="25"/>
      <c r="BS256" s="25"/>
      <c r="BT256" s="25"/>
      <c r="BU256" s="25"/>
      <c r="BV256" s="25"/>
      <c r="BW256" s="25"/>
      <c r="BX256" s="25"/>
      <c r="BY256" s="25"/>
      <c r="BZ256" s="25"/>
      <c r="CA256" s="25"/>
      <c r="CB256" s="25"/>
      <c r="CC256" s="25"/>
      <c r="CD256" s="25"/>
      <c r="CE256" s="25"/>
      <c r="CF256" s="25"/>
      <c r="CG256" s="25"/>
      <c r="CH256" s="25"/>
      <c r="CI256" s="25"/>
      <c r="CJ256" s="25"/>
      <c r="CK256" s="25"/>
      <c r="CL256" s="25"/>
      <c r="CM256" s="25"/>
      <c r="CN256" s="25"/>
      <c r="CO256" s="25"/>
      <c r="CP256" s="25"/>
      <c r="CQ256" s="25"/>
      <c r="CR256" s="25"/>
      <c r="CS256" s="25"/>
    </row>
    <row r="257" spans="2:97">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c r="AV257" s="25"/>
      <c r="AW257" s="25"/>
      <c r="AX257" s="25"/>
      <c r="AY257" s="25"/>
      <c r="AZ257" s="25"/>
      <c r="BA257" s="25"/>
      <c r="BB257" s="25"/>
      <c r="BC257" s="25"/>
      <c r="BD257" s="25"/>
      <c r="BE257" s="25"/>
      <c r="BF257" s="25"/>
      <c r="BG257" s="25"/>
      <c r="BH257" s="25"/>
      <c r="BI257" s="25"/>
      <c r="BJ257" s="25"/>
      <c r="BK257" s="25"/>
      <c r="BL257" s="25"/>
      <c r="BM257" s="25"/>
      <c r="BN257" s="25"/>
      <c r="BO257" s="25"/>
      <c r="BP257" s="25"/>
      <c r="BQ257" s="25"/>
      <c r="BR257" s="25"/>
      <c r="BS257" s="25"/>
      <c r="BT257" s="25"/>
      <c r="BU257" s="25"/>
      <c r="BV257" s="25"/>
      <c r="BW257" s="25"/>
      <c r="BX257" s="25"/>
      <c r="BY257" s="25"/>
      <c r="BZ257" s="25"/>
      <c r="CA257" s="25"/>
      <c r="CB257" s="25"/>
      <c r="CC257" s="25"/>
      <c r="CD257" s="25"/>
      <c r="CE257" s="25"/>
      <c r="CF257" s="25"/>
      <c r="CG257" s="25"/>
      <c r="CH257" s="25"/>
      <c r="CI257" s="25"/>
      <c r="CJ257" s="25"/>
      <c r="CK257" s="25"/>
      <c r="CL257" s="25"/>
      <c r="CM257" s="25"/>
      <c r="CN257" s="25"/>
      <c r="CO257" s="25"/>
      <c r="CP257" s="25"/>
      <c r="CQ257" s="25"/>
      <c r="CR257" s="25"/>
      <c r="CS257" s="25"/>
    </row>
    <row r="258" spans="2:97">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c r="BX258" s="25"/>
      <c r="BY258" s="25"/>
      <c r="BZ258" s="25"/>
      <c r="CA258" s="25"/>
      <c r="CB258" s="25"/>
      <c r="CC258" s="25"/>
      <c r="CD258" s="25"/>
      <c r="CE258" s="25"/>
      <c r="CF258" s="25"/>
      <c r="CG258" s="25"/>
      <c r="CH258" s="25"/>
      <c r="CI258" s="25"/>
      <c r="CJ258" s="25"/>
      <c r="CK258" s="25"/>
      <c r="CL258" s="25"/>
      <c r="CM258" s="25"/>
      <c r="CN258" s="25"/>
      <c r="CO258" s="25"/>
      <c r="CP258" s="25"/>
      <c r="CQ258" s="25"/>
      <c r="CR258" s="25"/>
      <c r="CS258" s="25"/>
    </row>
    <row r="259" spans="2:97">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c r="BX259" s="25"/>
      <c r="BY259" s="25"/>
      <c r="BZ259" s="25"/>
      <c r="CA259" s="25"/>
      <c r="CB259" s="25"/>
      <c r="CC259" s="25"/>
      <c r="CD259" s="25"/>
      <c r="CE259" s="25"/>
      <c r="CF259" s="25"/>
      <c r="CG259" s="25"/>
      <c r="CH259" s="25"/>
      <c r="CI259" s="25"/>
      <c r="CJ259" s="25"/>
      <c r="CK259" s="25"/>
      <c r="CL259" s="25"/>
      <c r="CM259" s="25"/>
      <c r="CN259" s="25"/>
      <c r="CO259" s="25"/>
      <c r="CP259" s="25"/>
      <c r="CQ259" s="25"/>
      <c r="CR259" s="25"/>
      <c r="CS259" s="25"/>
    </row>
    <row r="260" spans="2:97">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c r="BX260" s="25"/>
      <c r="BY260" s="25"/>
      <c r="BZ260" s="25"/>
      <c r="CA260" s="25"/>
      <c r="CB260" s="25"/>
      <c r="CC260" s="25"/>
      <c r="CD260" s="25"/>
      <c r="CE260" s="25"/>
      <c r="CF260" s="25"/>
      <c r="CG260" s="25"/>
      <c r="CH260" s="25"/>
      <c r="CI260" s="25"/>
      <c r="CJ260" s="25"/>
      <c r="CK260" s="25"/>
      <c r="CL260" s="25"/>
      <c r="CM260" s="25"/>
      <c r="CN260" s="25"/>
      <c r="CO260" s="25"/>
      <c r="CP260" s="25"/>
      <c r="CQ260" s="25"/>
      <c r="CR260" s="25"/>
      <c r="CS260" s="25"/>
    </row>
    <row r="261" spans="2:97">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c r="BX261" s="25"/>
      <c r="BY261" s="25"/>
      <c r="BZ261" s="25"/>
      <c r="CA261" s="25"/>
      <c r="CB261" s="25"/>
      <c r="CC261" s="25"/>
      <c r="CD261" s="25"/>
      <c r="CE261" s="25"/>
      <c r="CF261" s="25"/>
      <c r="CG261" s="25"/>
      <c r="CH261" s="25"/>
      <c r="CI261" s="25"/>
      <c r="CJ261" s="25"/>
      <c r="CK261" s="25"/>
      <c r="CL261" s="25"/>
      <c r="CM261" s="25"/>
      <c r="CN261" s="25"/>
      <c r="CO261" s="25"/>
      <c r="CP261" s="25"/>
      <c r="CQ261" s="25"/>
      <c r="CR261" s="25"/>
      <c r="CS261" s="25"/>
    </row>
    <row r="262" spans="2:97">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c r="BX262" s="25"/>
      <c r="BY262" s="25"/>
      <c r="BZ262" s="25"/>
      <c r="CA262" s="25"/>
      <c r="CB262" s="25"/>
      <c r="CC262" s="25"/>
      <c r="CD262" s="25"/>
      <c r="CE262" s="25"/>
      <c r="CF262" s="25"/>
      <c r="CG262" s="25"/>
      <c r="CH262" s="25"/>
      <c r="CI262" s="25"/>
      <c r="CJ262" s="25"/>
      <c r="CK262" s="25"/>
      <c r="CL262" s="25"/>
      <c r="CM262" s="25"/>
      <c r="CN262" s="25"/>
      <c r="CO262" s="25"/>
      <c r="CP262" s="25"/>
      <c r="CQ262" s="25"/>
      <c r="CR262" s="25"/>
      <c r="CS262" s="25"/>
    </row>
    <row r="263" spans="2:97">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c r="BX263" s="25"/>
      <c r="BY263" s="25"/>
      <c r="BZ263" s="25"/>
      <c r="CA263" s="25"/>
      <c r="CB263" s="25"/>
      <c r="CC263" s="25"/>
      <c r="CD263" s="25"/>
      <c r="CE263" s="25"/>
      <c r="CF263" s="25"/>
      <c r="CG263" s="25"/>
      <c r="CH263" s="25"/>
      <c r="CI263" s="25"/>
      <c r="CJ263" s="25"/>
      <c r="CK263" s="25"/>
      <c r="CL263" s="25"/>
      <c r="CM263" s="25"/>
      <c r="CN263" s="25"/>
      <c r="CO263" s="25"/>
      <c r="CP263" s="25"/>
      <c r="CQ263" s="25"/>
      <c r="CR263" s="25"/>
      <c r="CS263" s="25"/>
    </row>
    <row r="264" spans="2:97">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c r="BX264" s="25"/>
      <c r="BY264" s="25"/>
      <c r="BZ264" s="25"/>
      <c r="CA264" s="25"/>
      <c r="CB264" s="25"/>
      <c r="CC264" s="25"/>
      <c r="CD264" s="25"/>
      <c r="CE264" s="25"/>
      <c r="CF264" s="25"/>
      <c r="CG264" s="25"/>
      <c r="CH264" s="25"/>
      <c r="CI264" s="25"/>
      <c r="CJ264" s="25"/>
      <c r="CK264" s="25"/>
      <c r="CL264" s="25"/>
      <c r="CM264" s="25"/>
      <c r="CN264" s="25"/>
      <c r="CO264" s="25"/>
      <c r="CP264" s="25"/>
      <c r="CQ264" s="25"/>
      <c r="CR264" s="25"/>
      <c r="CS264" s="25"/>
    </row>
    <row r="265" spans="2:97">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c r="BX265" s="25"/>
      <c r="BY265" s="25"/>
      <c r="BZ265" s="25"/>
      <c r="CA265" s="25"/>
      <c r="CB265" s="25"/>
      <c r="CC265" s="25"/>
      <c r="CD265" s="25"/>
      <c r="CE265" s="25"/>
      <c r="CF265" s="25"/>
      <c r="CG265" s="25"/>
      <c r="CH265" s="25"/>
      <c r="CI265" s="25"/>
      <c r="CJ265" s="25"/>
      <c r="CK265" s="25"/>
      <c r="CL265" s="25"/>
      <c r="CM265" s="25"/>
      <c r="CN265" s="25"/>
      <c r="CO265" s="25"/>
      <c r="CP265" s="25"/>
      <c r="CQ265" s="25"/>
      <c r="CR265" s="25"/>
      <c r="CS265" s="25"/>
    </row>
    <row r="266" spans="2:97">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c r="BX266" s="25"/>
      <c r="BY266" s="25"/>
      <c r="BZ266" s="25"/>
      <c r="CA266" s="25"/>
      <c r="CB266" s="25"/>
      <c r="CC266" s="25"/>
      <c r="CD266" s="25"/>
      <c r="CE266" s="25"/>
      <c r="CF266" s="25"/>
      <c r="CG266" s="25"/>
      <c r="CH266" s="25"/>
      <c r="CI266" s="25"/>
      <c r="CJ266" s="25"/>
      <c r="CK266" s="25"/>
      <c r="CL266" s="25"/>
      <c r="CM266" s="25"/>
      <c r="CN266" s="25"/>
      <c r="CO266" s="25"/>
      <c r="CP266" s="25"/>
      <c r="CQ266" s="25"/>
      <c r="CR266" s="25"/>
      <c r="CS266" s="25"/>
    </row>
    <row r="267" spans="2:97">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c r="BX267" s="25"/>
      <c r="BY267" s="25"/>
      <c r="BZ267" s="25"/>
      <c r="CA267" s="25"/>
      <c r="CB267" s="25"/>
      <c r="CC267" s="25"/>
      <c r="CD267" s="25"/>
      <c r="CE267" s="25"/>
      <c r="CF267" s="25"/>
      <c r="CG267" s="25"/>
      <c r="CH267" s="25"/>
      <c r="CI267" s="25"/>
      <c r="CJ267" s="25"/>
      <c r="CK267" s="25"/>
      <c r="CL267" s="25"/>
      <c r="CM267" s="25"/>
      <c r="CN267" s="25"/>
      <c r="CO267" s="25"/>
      <c r="CP267" s="25"/>
      <c r="CQ267" s="25"/>
      <c r="CR267" s="25"/>
      <c r="CS267" s="25"/>
    </row>
    <row r="268" spans="2:97">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c r="BX268" s="25"/>
      <c r="BY268" s="25"/>
      <c r="BZ268" s="25"/>
      <c r="CA268" s="25"/>
      <c r="CB268" s="25"/>
      <c r="CC268" s="25"/>
      <c r="CD268" s="25"/>
      <c r="CE268" s="25"/>
      <c r="CF268" s="25"/>
      <c r="CG268" s="25"/>
      <c r="CH268" s="25"/>
      <c r="CI268" s="25"/>
      <c r="CJ268" s="25"/>
      <c r="CK268" s="25"/>
      <c r="CL268" s="25"/>
      <c r="CM268" s="25"/>
      <c r="CN268" s="25"/>
      <c r="CO268" s="25"/>
      <c r="CP268" s="25"/>
      <c r="CQ268" s="25"/>
      <c r="CR268" s="25"/>
      <c r="CS268" s="25"/>
    </row>
    <row r="269" spans="2:97">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c r="BX269" s="25"/>
      <c r="BY269" s="25"/>
      <c r="BZ269" s="25"/>
      <c r="CA269" s="25"/>
      <c r="CB269" s="25"/>
      <c r="CC269" s="25"/>
      <c r="CD269" s="25"/>
      <c r="CE269" s="25"/>
      <c r="CF269" s="25"/>
      <c r="CG269" s="25"/>
      <c r="CH269" s="25"/>
      <c r="CI269" s="25"/>
      <c r="CJ269" s="25"/>
      <c r="CK269" s="25"/>
      <c r="CL269" s="25"/>
      <c r="CM269" s="25"/>
      <c r="CN269" s="25"/>
      <c r="CO269" s="25"/>
      <c r="CP269" s="25"/>
      <c r="CQ269" s="25"/>
      <c r="CR269" s="25"/>
      <c r="CS269" s="25"/>
    </row>
    <row r="270" spans="2:97">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c r="BX270" s="25"/>
      <c r="BY270" s="25"/>
      <c r="BZ270" s="25"/>
      <c r="CA270" s="25"/>
      <c r="CB270" s="25"/>
      <c r="CC270" s="25"/>
      <c r="CD270" s="25"/>
      <c r="CE270" s="25"/>
      <c r="CF270" s="25"/>
      <c r="CG270" s="25"/>
      <c r="CH270" s="25"/>
      <c r="CI270" s="25"/>
      <c r="CJ270" s="25"/>
      <c r="CK270" s="25"/>
      <c r="CL270" s="25"/>
      <c r="CM270" s="25"/>
      <c r="CN270" s="25"/>
      <c r="CO270" s="25"/>
      <c r="CP270" s="25"/>
      <c r="CQ270" s="25"/>
      <c r="CR270" s="25"/>
      <c r="CS270" s="25"/>
    </row>
    <row r="271" spans="2:97">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c r="BX271" s="25"/>
      <c r="BY271" s="25"/>
      <c r="BZ271" s="25"/>
      <c r="CA271" s="25"/>
      <c r="CB271" s="25"/>
      <c r="CC271" s="25"/>
      <c r="CD271" s="25"/>
      <c r="CE271" s="25"/>
      <c r="CF271" s="25"/>
      <c r="CG271" s="25"/>
      <c r="CH271" s="25"/>
      <c r="CI271" s="25"/>
      <c r="CJ271" s="25"/>
      <c r="CK271" s="25"/>
      <c r="CL271" s="25"/>
      <c r="CM271" s="25"/>
      <c r="CN271" s="25"/>
      <c r="CO271" s="25"/>
      <c r="CP271" s="25"/>
      <c r="CQ271" s="25"/>
      <c r="CR271" s="25"/>
      <c r="CS271" s="25"/>
    </row>
    <row r="272" spans="2:97">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c r="BX272" s="25"/>
      <c r="BY272" s="25"/>
      <c r="BZ272" s="25"/>
      <c r="CA272" s="25"/>
      <c r="CB272" s="25"/>
      <c r="CC272" s="25"/>
      <c r="CD272" s="25"/>
      <c r="CE272" s="25"/>
      <c r="CF272" s="25"/>
      <c r="CG272" s="25"/>
      <c r="CH272" s="25"/>
      <c r="CI272" s="25"/>
      <c r="CJ272" s="25"/>
      <c r="CK272" s="25"/>
      <c r="CL272" s="25"/>
      <c r="CM272" s="25"/>
      <c r="CN272" s="25"/>
      <c r="CO272" s="25"/>
      <c r="CP272" s="25"/>
      <c r="CQ272" s="25"/>
      <c r="CR272" s="25"/>
      <c r="CS272" s="25"/>
    </row>
    <row r="273" spans="2:97">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c r="BX273" s="25"/>
      <c r="BY273" s="25"/>
      <c r="BZ273" s="25"/>
      <c r="CA273" s="25"/>
      <c r="CB273" s="25"/>
      <c r="CC273" s="25"/>
      <c r="CD273" s="25"/>
      <c r="CE273" s="25"/>
      <c r="CF273" s="25"/>
      <c r="CG273" s="25"/>
      <c r="CH273" s="25"/>
      <c r="CI273" s="25"/>
      <c r="CJ273" s="25"/>
      <c r="CK273" s="25"/>
      <c r="CL273" s="25"/>
      <c r="CM273" s="25"/>
      <c r="CN273" s="25"/>
      <c r="CO273" s="25"/>
      <c r="CP273" s="25"/>
      <c r="CQ273" s="25"/>
      <c r="CR273" s="25"/>
      <c r="CS273" s="25"/>
    </row>
    <row r="274" spans="2:97">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c r="BX274" s="25"/>
      <c r="BY274" s="25"/>
      <c r="BZ274" s="25"/>
      <c r="CA274" s="25"/>
      <c r="CB274" s="25"/>
      <c r="CC274" s="25"/>
      <c r="CD274" s="25"/>
      <c r="CE274" s="25"/>
      <c r="CF274" s="25"/>
      <c r="CG274" s="25"/>
      <c r="CH274" s="25"/>
      <c r="CI274" s="25"/>
      <c r="CJ274" s="25"/>
      <c r="CK274" s="25"/>
      <c r="CL274" s="25"/>
      <c r="CM274" s="25"/>
      <c r="CN274" s="25"/>
      <c r="CO274" s="25"/>
      <c r="CP274" s="25"/>
      <c r="CQ274" s="25"/>
      <c r="CR274" s="25"/>
      <c r="CS274" s="25"/>
    </row>
    <row r="275" spans="2:97">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c r="BX275" s="25"/>
      <c r="BY275" s="25"/>
      <c r="BZ275" s="25"/>
      <c r="CA275" s="25"/>
      <c r="CB275" s="25"/>
      <c r="CC275" s="25"/>
      <c r="CD275" s="25"/>
      <c r="CE275" s="25"/>
      <c r="CF275" s="25"/>
      <c r="CG275" s="25"/>
      <c r="CH275" s="25"/>
      <c r="CI275" s="25"/>
      <c r="CJ275" s="25"/>
      <c r="CK275" s="25"/>
      <c r="CL275" s="25"/>
      <c r="CM275" s="25"/>
      <c r="CN275" s="25"/>
      <c r="CO275" s="25"/>
      <c r="CP275" s="25"/>
      <c r="CQ275" s="25"/>
      <c r="CR275" s="25"/>
      <c r="CS275" s="25"/>
    </row>
    <row r="276" spans="2:97">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c r="BX276" s="25"/>
      <c r="BY276" s="25"/>
      <c r="BZ276" s="25"/>
      <c r="CA276" s="25"/>
      <c r="CB276" s="25"/>
      <c r="CC276" s="25"/>
      <c r="CD276" s="25"/>
      <c r="CE276" s="25"/>
      <c r="CF276" s="25"/>
      <c r="CG276" s="25"/>
      <c r="CH276" s="25"/>
      <c r="CI276" s="25"/>
      <c r="CJ276" s="25"/>
      <c r="CK276" s="25"/>
      <c r="CL276" s="25"/>
      <c r="CM276" s="25"/>
      <c r="CN276" s="25"/>
      <c r="CO276" s="25"/>
      <c r="CP276" s="25"/>
      <c r="CQ276" s="25"/>
      <c r="CR276" s="25"/>
      <c r="CS276" s="25"/>
    </row>
    <row r="277" spans="2:97">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c r="BX277" s="25"/>
      <c r="BY277" s="25"/>
      <c r="BZ277" s="25"/>
      <c r="CA277" s="25"/>
      <c r="CB277" s="25"/>
      <c r="CC277" s="25"/>
      <c r="CD277" s="25"/>
      <c r="CE277" s="25"/>
      <c r="CF277" s="25"/>
      <c r="CG277" s="25"/>
      <c r="CH277" s="25"/>
      <c r="CI277" s="25"/>
      <c r="CJ277" s="25"/>
      <c r="CK277" s="25"/>
      <c r="CL277" s="25"/>
      <c r="CM277" s="25"/>
      <c r="CN277" s="25"/>
      <c r="CO277" s="25"/>
      <c r="CP277" s="25"/>
      <c r="CQ277" s="25"/>
      <c r="CR277" s="25"/>
      <c r="CS277" s="25"/>
    </row>
    <row r="278" spans="2:97">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c r="BX278" s="25"/>
      <c r="BY278" s="25"/>
      <c r="BZ278" s="25"/>
      <c r="CA278" s="25"/>
      <c r="CB278" s="25"/>
      <c r="CC278" s="25"/>
      <c r="CD278" s="25"/>
      <c r="CE278" s="25"/>
      <c r="CF278" s="25"/>
      <c r="CG278" s="25"/>
      <c r="CH278" s="25"/>
      <c r="CI278" s="25"/>
      <c r="CJ278" s="25"/>
      <c r="CK278" s="25"/>
      <c r="CL278" s="25"/>
      <c r="CM278" s="25"/>
      <c r="CN278" s="25"/>
      <c r="CO278" s="25"/>
      <c r="CP278" s="25"/>
      <c r="CQ278" s="25"/>
      <c r="CR278" s="25"/>
      <c r="CS278" s="25"/>
    </row>
    <row r="279" spans="2:97">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c r="BX279" s="25"/>
      <c r="BY279" s="25"/>
      <c r="BZ279" s="25"/>
      <c r="CA279" s="25"/>
      <c r="CB279" s="25"/>
      <c r="CC279" s="25"/>
      <c r="CD279" s="25"/>
      <c r="CE279" s="25"/>
      <c r="CF279" s="25"/>
      <c r="CG279" s="25"/>
      <c r="CH279" s="25"/>
      <c r="CI279" s="25"/>
      <c r="CJ279" s="25"/>
      <c r="CK279" s="25"/>
      <c r="CL279" s="25"/>
      <c r="CM279" s="25"/>
      <c r="CN279" s="25"/>
      <c r="CO279" s="25"/>
      <c r="CP279" s="25"/>
      <c r="CQ279" s="25"/>
      <c r="CR279" s="25"/>
      <c r="CS279" s="25"/>
    </row>
    <row r="280" spans="2:97">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c r="AV280" s="25"/>
      <c r="AW280" s="25"/>
      <c r="AX280" s="25"/>
      <c r="AY280" s="25"/>
      <c r="AZ280" s="25"/>
      <c r="BA280" s="25"/>
      <c r="BB280" s="25"/>
      <c r="BC280" s="25"/>
      <c r="BD280" s="25"/>
      <c r="BE280" s="25"/>
      <c r="BF280" s="25"/>
      <c r="BG280" s="25"/>
      <c r="BH280" s="25"/>
      <c r="BI280" s="25"/>
      <c r="BJ280" s="25"/>
      <c r="BK280" s="25"/>
      <c r="BL280" s="25"/>
      <c r="BM280" s="25"/>
      <c r="BN280" s="25"/>
      <c r="BO280" s="25"/>
      <c r="BP280" s="25"/>
      <c r="BQ280" s="25"/>
      <c r="BR280" s="25"/>
      <c r="BS280" s="25"/>
      <c r="BT280" s="25"/>
      <c r="BU280" s="25"/>
      <c r="BV280" s="25"/>
      <c r="BW280" s="25"/>
      <c r="BX280" s="25"/>
      <c r="BY280" s="25"/>
      <c r="BZ280" s="25"/>
      <c r="CA280" s="25"/>
      <c r="CB280" s="25"/>
      <c r="CC280" s="25"/>
      <c r="CD280" s="25"/>
      <c r="CE280" s="25"/>
      <c r="CF280" s="25"/>
      <c r="CG280" s="25"/>
      <c r="CH280" s="25"/>
      <c r="CI280" s="25"/>
      <c r="CJ280" s="25"/>
      <c r="CK280" s="25"/>
      <c r="CL280" s="25"/>
      <c r="CM280" s="25"/>
      <c r="CN280" s="25"/>
      <c r="CO280" s="25"/>
      <c r="CP280" s="25"/>
      <c r="CQ280" s="25"/>
      <c r="CR280" s="25"/>
      <c r="CS280" s="25"/>
    </row>
    <row r="281" spans="2:97">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c r="AV281" s="25"/>
      <c r="AW281" s="25"/>
      <c r="AX281" s="25"/>
      <c r="AY281" s="25"/>
      <c r="AZ281" s="25"/>
      <c r="BA281" s="25"/>
      <c r="BB281" s="25"/>
      <c r="BC281" s="25"/>
      <c r="BD281" s="25"/>
      <c r="BE281" s="25"/>
      <c r="BF281" s="25"/>
      <c r="BG281" s="25"/>
      <c r="BH281" s="25"/>
      <c r="BI281" s="25"/>
      <c r="BJ281" s="25"/>
      <c r="BK281" s="25"/>
      <c r="BL281" s="25"/>
      <c r="BM281" s="25"/>
      <c r="BN281" s="25"/>
      <c r="BO281" s="25"/>
      <c r="BP281" s="25"/>
      <c r="BQ281" s="25"/>
      <c r="BR281" s="25"/>
      <c r="BS281" s="25"/>
      <c r="BT281" s="25"/>
      <c r="BU281" s="25"/>
      <c r="BV281" s="25"/>
      <c r="BW281" s="25"/>
      <c r="BX281" s="25"/>
      <c r="BY281" s="25"/>
      <c r="BZ281" s="25"/>
      <c r="CA281" s="25"/>
      <c r="CB281" s="25"/>
      <c r="CC281" s="25"/>
      <c r="CD281" s="25"/>
      <c r="CE281" s="25"/>
      <c r="CF281" s="25"/>
      <c r="CG281" s="25"/>
      <c r="CH281" s="25"/>
      <c r="CI281" s="25"/>
      <c r="CJ281" s="25"/>
      <c r="CK281" s="25"/>
      <c r="CL281" s="25"/>
      <c r="CM281" s="25"/>
      <c r="CN281" s="25"/>
      <c r="CO281" s="25"/>
      <c r="CP281" s="25"/>
      <c r="CQ281" s="25"/>
      <c r="CR281" s="25"/>
      <c r="CS281" s="25"/>
    </row>
    <row r="282" spans="2:97">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c r="AV282" s="25"/>
      <c r="AW282" s="25"/>
      <c r="AX282" s="25"/>
      <c r="AY282" s="25"/>
      <c r="AZ282" s="25"/>
      <c r="BA282" s="25"/>
      <c r="BB282" s="25"/>
      <c r="BC282" s="25"/>
      <c r="BD282" s="25"/>
      <c r="BE282" s="25"/>
      <c r="BF282" s="25"/>
      <c r="BG282" s="25"/>
      <c r="BH282" s="25"/>
      <c r="BI282" s="25"/>
      <c r="BJ282" s="25"/>
      <c r="BK282" s="25"/>
      <c r="BL282" s="25"/>
      <c r="BM282" s="25"/>
      <c r="BN282" s="25"/>
      <c r="BO282" s="25"/>
      <c r="BP282" s="25"/>
      <c r="BQ282" s="25"/>
      <c r="BR282" s="25"/>
      <c r="BS282" s="25"/>
      <c r="BT282" s="25"/>
      <c r="BU282" s="25"/>
      <c r="BV282" s="25"/>
      <c r="BW282" s="25"/>
      <c r="BX282" s="25"/>
      <c r="BY282" s="25"/>
      <c r="BZ282" s="25"/>
      <c r="CA282" s="25"/>
      <c r="CB282" s="25"/>
      <c r="CC282" s="25"/>
      <c r="CD282" s="25"/>
      <c r="CE282" s="25"/>
      <c r="CF282" s="25"/>
      <c r="CG282" s="25"/>
      <c r="CH282" s="25"/>
      <c r="CI282" s="25"/>
      <c r="CJ282" s="25"/>
      <c r="CK282" s="25"/>
      <c r="CL282" s="25"/>
      <c r="CM282" s="25"/>
      <c r="CN282" s="25"/>
      <c r="CO282" s="25"/>
      <c r="CP282" s="25"/>
      <c r="CQ282" s="25"/>
      <c r="CR282" s="25"/>
      <c r="CS282" s="25"/>
    </row>
    <row r="283" spans="2:97">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c r="AV283" s="25"/>
      <c r="AW283" s="25"/>
      <c r="AX283" s="25"/>
      <c r="AY283" s="25"/>
      <c r="AZ283" s="25"/>
      <c r="BA283" s="25"/>
      <c r="BB283" s="25"/>
      <c r="BC283" s="25"/>
      <c r="BD283" s="25"/>
      <c r="BE283" s="25"/>
      <c r="BF283" s="25"/>
      <c r="BG283" s="25"/>
      <c r="BH283" s="25"/>
      <c r="BI283" s="25"/>
      <c r="BJ283" s="25"/>
      <c r="BK283" s="25"/>
      <c r="BL283" s="25"/>
      <c r="BM283" s="25"/>
      <c r="BN283" s="25"/>
      <c r="BO283" s="25"/>
      <c r="BP283" s="25"/>
      <c r="BQ283" s="25"/>
      <c r="BR283" s="25"/>
      <c r="BS283" s="25"/>
      <c r="BT283" s="25"/>
      <c r="BU283" s="25"/>
      <c r="BV283" s="25"/>
      <c r="BW283" s="25"/>
      <c r="BX283" s="25"/>
      <c r="BY283" s="25"/>
      <c r="BZ283" s="25"/>
      <c r="CA283" s="25"/>
      <c r="CB283" s="25"/>
      <c r="CC283" s="25"/>
      <c r="CD283" s="25"/>
      <c r="CE283" s="25"/>
      <c r="CF283" s="25"/>
      <c r="CG283" s="25"/>
      <c r="CH283" s="25"/>
      <c r="CI283" s="25"/>
      <c r="CJ283" s="25"/>
      <c r="CK283" s="25"/>
      <c r="CL283" s="25"/>
      <c r="CM283" s="25"/>
      <c r="CN283" s="25"/>
      <c r="CO283" s="25"/>
      <c r="CP283" s="25"/>
      <c r="CQ283" s="25"/>
      <c r="CR283" s="25"/>
      <c r="CS283" s="25"/>
    </row>
    <row r="284" spans="2:97">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c r="AV284" s="25"/>
      <c r="AW284" s="25"/>
      <c r="AX284" s="25"/>
      <c r="AY284" s="25"/>
      <c r="AZ284" s="25"/>
      <c r="BA284" s="25"/>
      <c r="BB284" s="25"/>
      <c r="BC284" s="25"/>
      <c r="BD284" s="25"/>
      <c r="BE284" s="25"/>
      <c r="BF284" s="25"/>
      <c r="BG284" s="25"/>
      <c r="BH284" s="25"/>
      <c r="BI284" s="25"/>
      <c r="BJ284" s="25"/>
      <c r="BK284" s="25"/>
      <c r="BL284" s="25"/>
      <c r="BM284" s="25"/>
      <c r="BN284" s="25"/>
      <c r="BO284" s="25"/>
      <c r="BP284" s="25"/>
      <c r="BQ284" s="25"/>
      <c r="BR284" s="25"/>
      <c r="BS284" s="25"/>
      <c r="BT284" s="25"/>
      <c r="BU284" s="25"/>
      <c r="BV284" s="25"/>
      <c r="BW284" s="25"/>
      <c r="BX284" s="25"/>
      <c r="BY284" s="25"/>
      <c r="BZ284" s="25"/>
      <c r="CA284" s="25"/>
      <c r="CB284" s="25"/>
      <c r="CC284" s="25"/>
      <c r="CD284" s="25"/>
      <c r="CE284" s="25"/>
      <c r="CF284" s="25"/>
      <c r="CG284" s="25"/>
      <c r="CH284" s="25"/>
      <c r="CI284" s="25"/>
      <c r="CJ284" s="25"/>
      <c r="CK284" s="25"/>
      <c r="CL284" s="25"/>
      <c r="CM284" s="25"/>
      <c r="CN284" s="25"/>
      <c r="CO284" s="25"/>
      <c r="CP284" s="25"/>
      <c r="CQ284" s="25"/>
      <c r="CR284" s="25"/>
      <c r="CS284" s="25"/>
    </row>
    <row r="285" spans="2:97">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c r="AV285" s="25"/>
      <c r="AW285" s="25"/>
      <c r="AX285" s="25"/>
      <c r="AY285" s="25"/>
      <c r="AZ285" s="25"/>
      <c r="BA285" s="25"/>
      <c r="BB285" s="25"/>
      <c r="BC285" s="25"/>
      <c r="BD285" s="25"/>
      <c r="BE285" s="25"/>
      <c r="BF285" s="25"/>
      <c r="BG285" s="25"/>
      <c r="BH285" s="25"/>
      <c r="BI285" s="25"/>
      <c r="BJ285" s="25"/>
      <c r="BK285" s="25"/>
      <c r="BL285" s="25"/>
      <c r="BM285" s="25"/>
      <c r="BN285" s="25"/>
      <c r="BO285" s="25"/>
      <c r="BP285" s="25"/>
      <c r="BQ285" s="25"/>
      <c r="BR285" s="25"/>
      <c r="BS285" s="25"/>
      <c r="BT285" s="25"/>
      <c r="BU285" s="25"/>
      <c r="BV285" s="25"/>
      <c r="BW285" s="25"/>
      <c r="BX285" s="25"/>
      <c r="BY285" s="25"/>
      <c r="BZ285" s="25"/>
      <c r="CA285" s="25"/>
      <c r="CB285" s="25"/>
      <c r="CC285" s="25"/>
      <c r="CD285" s="25"/>
      <c r="CE285" s="25"/>
      <c r="CF285" s="25"/>
      <c r="CG285" s="25"/>
      <c r="CH285" s="25"/>
      <c r="CI285" s="25"/>
      <c r="CJ285" s="25"/>
      <c r="CK285" s="25"/>
      <c r="CL285" s="25"/>
      <c r="CM285" s="25"/>
      <c r="CN285" s="25"/>
      <c r="CO285" s="25"/>
      <c r="CP285" s="25"/>
      <c r="CQ285" s="25"/>
      <c r="CR285" s="25"/>
      <c r="CS285" s="25"/>
    </row>
    <row r="286" spans="2:97">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c r="AV286" s="25"/>
      <c r="AW286" s="25"/>
      <c r="AX286" s="25"/>
      <c r="AY286" s="25"/>
      <c r="AZ286" s="25"/>
      <c r="BA286" s="25"/>
      <c r="BB286" s="25"/>
      <c r="BC286" s="25"/>
      <c r="BD286" s="25"/>
      <c r="BE286" s="25"/>
      <c r="BF286" s="25"/>
      <c r="BG286" s="25"/>
      <c r="BH286" s="25"/>
      <c r="BI286" s="25"/>
      <c r="BJ286" s="25"/>
      <c r="BK286" s="25"/>
      <c r="BL286" s="25"/>
      <c r="BM286" s="25"/>
      <c r="BN286" s="25"/>
      <c r="BO286" s="25"/>
      <c r="BP286" s="25"/>
      <c r="BQ286" s="25"/>
      <c r="BR286" s="25"/>
      <c r="BS286" s="25"/>
      <c r="BT286" s="25"/>
      <c r="BU286" s="25"/>
      <c r="BV286" s="25"/>
      <c r="BW286" s="25"/>
      <c r="BX286" s="25"/>
      <c r="BY286" s="25"/>
      <c r="BZ286" s="25"/>
      <c r="CA286" s="25"/>
      <c r="CB286" s="25"/>
      <c r="CC286" s="25"/>
      <c r="CD286" s="25"/>
      <c r="CE286" s="25"/>
      <c r="CF286" s="25"/>
      <c r="CG286" s="25"/>
      <c r="CH286" s="25"/>
      <c r="CI286" s="25"/>
      <c r="CJ286" s="25"/>
      <c r="CK286" s="25"/>
      <c r="CL286" s="25"/>
      <c r="CM286" s="25"/>
      <c r="CN286" s="25"/>
      <c r="CO286" s="25"/>
      <c r="CP286" s="25"/>
      <c r="CQ286" s="25"/>
      <c r="CR286" s="25"/>
      <c r="CS286" s="25"/>
    </row>
    <row r="287" spans="2:97">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c r="AV287" s="25"/>
      <c r="AW287" s="25"/>
      <c r="AX287" s="25"/>
      <c r="AY287" s="25"/>
      <c r="AZ287" s="25"/>
      <c r="BA287" s="25"/>
      <c r="BB287" s="25"/>
      <c r="BC287" s="25"/>
      <c r="BD287" s="25"/>
      <c r="BE287" s="25"/>
      <c r="BF287" s="25"/>
      <c r="BG287" s="25"/>
      <c r="BH287" s="25"/>
      <c r="BI287" s="25"/>
      <c r="BJ287" s="25"/>
      <c r="BK287" s="25"/>
      <c r="BL287" s="25"/>
      <c r="BM287" s="25"/>
      <c r="BN287" s="25"/>
      <c r="BO287" s="25"/>
      <c r="BP287" s="25"/>
      <c r="BQ287" s="25"/>
      <c r="BR287" s="25"/>
      <c r="BS287" s="25"/>
      <c r="BT287" s="25"/>
      <c r="BU287" s="25"/>
      <c r="BV287" s="25"/>
      <c r="BW287" s="25"/>
      <c r="BX287" s="25"/>
      <c r="BY287" s="25"/>
      <c r="BZ287" s="25"/>
      <c r="CA287" s="25"/>
      <c r="CB287" s="25"/>
      <c r="CC287" s="25"/>
      <c r="CD287" s="25"/>
      <c r="CE287" s="25"/>
      <c r="CF287" s="25"/>
      <c r="CG287" s="25"/>
      <c r="CH287" s="25"/>
      <c r="CI287" s="25"/>
      <c r="CJ287" s="25"/>
      <c r="CK287" s="25"/>
      <c r="CL287" s="25"/>
      <c r="CM287" s="25"/>
      <c r="CN287" s="25"/>
      <c r="CO287" s="25"/>
      <c r="CP287" s="25"/>
      <c r="CQ287" s="25"/>
      <c r="CR287" s="25"/>
      <c r="CS287" s="25"/>
    </row>
    <row r="288" spans="2:97">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c r="AV288" s="25"/>
      <c r="AW288" s="25"/>
      <c r="AX288" s="25"/>
      <c r="AY288" s="25"/>
      <c r="AZ288" s="25"/>
      <c r="BA288" s="25"/>
      <c r="BB288" s="25"/>
      <c r="BC288" s="25"/>
      <c r="BD288" s="25"/>
      <c r="BE288" s="25"/>
      <c r="BF288" s="25"/>
      <c r="BG288" s="25"/>
      <c r="BH288" s="25"/>
      <c r="BI288" s="25"/>
      <c r="BJ288" s="25"/>
      <c r="BK288" s="25"/>
      <c r="BL288" s="25"/>
      <c r="BM288" s="25"/>
      <c r="BN288" s="25"/>
      <c r="BO288" s="25"/>
      <c r="BP288" s="25"/>
      <c r="BQ288" s="25"/>
      <c r="BR288" s="25"/>
      <c r="BS288" s="25"/>
      <c r="BT288" s="25"/>
      <c r="BU288" s="25"/>
      <c r="BV288" s="25"/>
      <c r="BW288" s="25"/>
      <c r="BX288" s="25"/>
      <c r="BY288" s="25"/>
      <c r="BZ288" s="25"/>
      <c r="CA288" s="25"/>
      <c r="CB288" s="25"/>
      <c r="CC288" s="25"/>
      <c r="CD288" s="25"/>
      <c r="CE288" s="25"/>
      <c r="CF288" s="25"/>
      <c r="CG288" s="25"/>
      <c r="CH288" s="25"/>
      <c r="CI288" s="25"/>
      <c r="CJ288" s="25"/>
      <c r="CK288" s="25"/>
      <c r="CL288" s="25"/>
      <c r="CM288" s="25"/>
      <c r="CN288" s="25"/>
      <c r="CO288" s="25"/>
      <c r="CP288" s="25"/>
      <c r="CQ288" s="25"/>
      <c r="CR288" s="25"/>
      <c r="CS288" s="25"/>
    </row>
    <row r="289" spans="2:97">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c r="AV289" s="25"/>
      <c r="AW289" s="25"/>
      <c r="AX289" s="25"/>
      <c r="AY289" s="25"/>
      <c r="AZ289" s="25"/>
      <c r="BA289" s="25"/>
      <c r="BB289" s="25"/>
      <c r="BC289" s="25"/>
      <c r="BD289" s="25"/>
      <c r="BE289" s="25"/>
      <c r="BF289" s="25"/>
      <c r="BG289" s="25"/>
      <c r="BH289" s="25"/>
      <c r="BI289" s="25"/>
      <c r="BJ289" s="25"/>
      <c r="BK289" s="25"/>
      <c r="BL289" s="25"/>
      <c r="BM289" s="25"/>
      <c r="BN289" s="25"/>
      <c r="BO289" s="25"/>
      <c r="BP289" s="25"/>
      <c r="BQ289" s="25"/>
      <c r="BR289" s="25"/>
      <c r="BS289" s="25"/>
      <c r="BT289" s="25"/>
      <c r="BU289" s="25"/>
      <c r="BV289" s="25"/>
      <c r="BW289" s="25"/>
      <c r="BX289" s="25"/>
      <c r="BY289" s="25"/>
      <c r="BZ289" s="25"/>
      <c r="CA289" s="25"/>
      <c r="CB289" s="25"/>
      <c r="CC289" s="25"/>
      <c r="CD289" s="25"/>
      <c r="CE289" s="25"/>
      <c r="CF289" s="25"/>
      <c r="CG289" s="25"/>
      <c r="CH289" s="25"/>
      <c r="CI289" s="25"/>
      <c r="CJ289" s="25"/>
      <c r="CK289" s="25"/>
      <c r="CL289" s="25"/>
      <c r="CM289" s="25"/>
      <c r="CN289" s="25"/>
      <c r="CO289" s="25"/>
      <c r="CP289" s="25"/>
      <c r="CQ289" s="25"/>
      <c r="CR289" s="25"/>
      <c r="CS289" s="25"/>
    </row>
    <row r="290" spans="2:97">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c r="AV290" s="25"/>
      <c r="AW290" s="25"/>
      <c r="AX290" s="25"/>
      <c r="AY290" s="25"/>
      <c r="AZ290" s="25"/>
      <c r="BA290" s="25"/>
      <c r="BB290" s="25"/>
      <c r="BC290" s="25"/>
      <c r="BD290" s="25"/>
      <c r="BE290" s="25"/>
      <c r="BF290" s="25"/>
      <c r="BG290" s="25"/>
      <c r="BH290" s="25"/>
      <c r="BI290" s="25"/>
      <c r="BJ290" s="25"/>
      <c r="BK290" s="25"/>
      <c r="BL290" s="25"/>
      <c r="BM290" s="25"/>
      <c r="BN290" s="25"/>
      <c r="BO290" s="25"/>
      <c r="BP290" s="25"/>
      <c r="BQ290" s="25"/>
      <c r="BR290" s="25"/>
      <c r="BS290" s="25"/>
      <c r="BT290" s="25"/>
      <c r="BU290" s="25"/>
      <c r="BV290" s="25"/>
      <c r="BW290" s="25"/>
      <c r="BX290" s="25"/>
      <c r="BY290" s="25"/>
      <c r="BZ290" s="25"/>
      <c r="CA290" s="25"/>
      <c r="CB290" s="25"/>
      <c r="CC290" s="25"/>
      <c r="CD290" s="25"/>
      <c r="CE290" s="25"/>
      <c r="CF290" s="25"/>
      <c r="CG290" s="25"/>
      <c r="CH290" s="25"/>
      <c r="CI290" s="25"/>
      <c r="CJ290" s="25"/>
      <c r="CK290" s="25"/>
      <c r="CL290" s="25"/>
      <c r="CM290" s="25"/>
      <c r="CN290" s="25"/>
      <c r="CO290" s="25"/>
      <c r="CP290" s="25"/>
      <c r="CQ290" s="25"/>
      <c r="CR290" s="25"/>
      <c r="CS290" s="25"/>
    </row>
    <row r="291" spans="2:97">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c r="AV291" s="25"/>
      <c r="AW291" s="25"/>
      <c r="AX291" s="25"/>
      <c r="AY291" s="25"/>
      <c r="AZ291" s="25"/>
      <c r="BA291" s="25"/>
      <c r="BB291" s="25"/>
      <c r="BC291" s="25"/>
      <c r="BD291" s="25"/>
      <c r="BE291" s="25"/>
      <c r="BF291" s="25"/>
      <c r="BG291" s="25"/>
      <c r="BH291" s="25"/>
      <c r="BI291" s="25"/>
      <c r="BJ291" s="25"/>
      <c r="BK291" s="25"/>
      <c r="BL291" s="25"/>
      <c r="BM291" s="25"/>
      <c r="BN291" s="25"/>
      <c r="BO291" s="25"/>
      <c r="BP291" s="25"/>
      <c r="BQ291" s="25"/>
      <c r="BR291" s="25"/>
      <c r="BS291" s="25"/>
      <c r="BT291" s="25"/>
      <c r="BU291" s="25"/>
      <c r="BV291" s="25"/>
      <c r="BW291" s="25"/>
      <c r="BX291" s="25"/>
      <c r="BY291" s="25"/>
      <c r="BZ291" s="25"/>
      <c r="CA291" s="25"/>
      <c r="CB291" s="25"/>
      <c r="CC291" s="25"/>
      <c r="CD291" s="25"/>
      <c r="CE291" s="25"/>
      <c r="CF291" s="25"/>
      <c r="CG291" s="25"/>
      <c r="CH291" s="25"/>
      <c r="CI291" s="25"/>
      <c r="CJ291" s="25"/>
      <c r="CK291" s="25"/>
      <c r="CL291" s="25"/>
      <c r="CM291" s="25"/>
      <c r="CN291" s="25"/>
      <c r="CO291" s="25"/>
      <c r="CP291" s="25"/>
      <c r="CQ291" s="25"/>
      <c r="CR291" s="25"/>
      <c r="CS291" s="25"/>
    </row>
    <row r="292" spans="2:97">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c r="AV292" s="25"/>
      <c r="AW292" s="25"/>
      <c r="AX292" s="25"/>
      <c r="AY292" s="25"/>
      <c r="AZ292" s="25"/>
      <c r="BA292" s="25"/>
      <c r="BB292" s="25"/>
      <c r="BC292" s="25"/>
      <c r="BD292" s="25"/>
      <c r="BE292" s="25"/>
      <c r="BF292" s="25"/>
      <c r="BG292" s="25"/>
      <c r="BH292" s="25"/>
      <c r="BI292" s="25"/>
      <c r="BJ292" s="25"/>
      <c r="BK292" s="25"/>
      <c r="BL292" s="25"/>
      <c r="BM292" s="25"/>
      <c r="BN292" s="25"/>
      <c r="BO292" s="25"/>
      <c r="BP292" s="25"/>
      <c r="BQ292" s="25"/>
      <c r="BR292" s="25"/>
      <c r="BS292" s="25"/>
      <c r="BT292" s="25"/>
      <c r="BU292" s="25"/>
      <c r="BV292" s="25"/>
      <c r="BW292" s="25"/>
      <c r="BX292" s="25"/>
      <c r="BY292" s="25"/>
      <c r="BZ292" s="25"/>
      <c r="CA292" s="25"/>
      <c r="CB292" s="25"/>
      <c r="CC292" s="25"/>
      <c r="CD292" s="25"/>
      <c r="CE292" s="25"/>
      <c r="CF292" s="25"/>
      <c r="CG292" s="25"/>
      <c r="CH292" s="25"/>
      <c r="CI292" s="25"/>
      <c r="CJ292" s="25"/>
      <c r="CK292" s="25"/>
      <c r="CL292" s="25"/>
      <c r="CM292" s="25"/>
      <c r="CN292" s="25"/>
      <c r="CO292" s="25"/>
      <c r="CP292" s="25"/>
      <c r="CQ292" s="25"/>
      <c r="CR292" s="25"/>
      <c r="CS292" s="25"/>
    </row>
    <row r="293" spans="2:97">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c r="AV293" s="25"/>
      <c r="AW293" s="25"/>
      <c r="AX293" s="25"/>
      <c r="AY293" s="25"/>
      <c r="AZ293" s="25"/>
      <c r="BA293" s="25"/>
      <c r="BB293" s="25"/>
      <c r="BC293" s="25"/>
      <c r="BD293" s="25"/>
      <c r="BE293" s="25"/>
      <c r="BF293" s="25"/>
      <c r="BG293" s="25"/>
      <c r="BH293" s="25"/>
      <c r="BI293" s="25"/>
      <c r="BJ293" s="25"/>
      <c r="BK293" s="25"/>
      <c r="BL293" s="25"/>
      <c r="BM293" s="25"/>
      <c r="BN293" s="25"/>
      <c r="BO293" s="25"/>
      <c r="BP293" s="25"/>
      <c r="BQ293" s="25"/>
      <c r="BR293" s="25"/>
      <c r="BS293" s="25"/>
      <c r="BT293" s="25"/>
      <c r="BU293" s="25"/>
      <c r="BV293" s="25"/>
      <c r="BW293" s="25"/>
      <c r="BX293" s="25"/>
      <c r="BY293" s="25"/>
      <c r="BZ293" s="25"/>
      <c r="CA293" s="25"/>
      <c r="CB293" s="25"/>
      <c r="CC293" s="25"/>
      <c r="CD293" s="25"/>
      <c r="CE293" s="25"/>
      <c r="CF293" s="25"/>
      <c r="CG293" s="25"/>
      <c r="CH293" s="25"/>
      <c r="CI293" s="25"/>
      <c r="CJ293" s="25"/>
      <c r="CK293" s="25"/>
      <c r="CL293" s="25"/>
      <c r="CM293" s="25"/>
      <c r="CN293" s="25"/>
      <c r="CO293" s="25"/>
      <c r="CP293" s="25"/>
      <c r="CQ293" s="25"/>
      <c r="CR293" s="25"/>
      <c r="CS293" s="25"/>
    </row>
    <row r="294" spans="2:97">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c r="AV294" s="25"/>
      <c r="AW294" s="25"/>
      <c r="AX294" s="25"/>
      <c r="AY294" s="25"/>
      <c r="AZ294" s="25"/>
      <c r="BA294" s="25"/>
      <c r="BB294" s="25"/>
      <c r="BC294" s="25"/>
      <c r="BD294" s="25"/>
      <c r="BE294" s="25"/>
      <c r="BF294" s="25"/>
      <c r="BG294" s="25"/>
      <c r="BH294" s="25"/>
      <c r="BI294" s="25"/>
      <c r="BJ294" s="25"/>
      <c r="BK294" s="25"/>
      <c r="BL294" s="25"/>
      <c r="BM294" s="25"/>
      <c r="BN294" s="25"/>
      <c r="BO294" s="25"/>
      <c r="BP294" s="25"/>
      <c r="BQ294" s="25"/>
      <c r="BR294" s="25"/>
      <c r="BS294" s="25"/>
      <c r="BT294" s="25"/>
      <c r="BU294" s="25"/>
      <c r="BV294" s="25"/>
      <c r="BW294" s="25"/>
      <c r="BX294" s="25"/>
      <c r="BY294" s="25"/>
      <c r="BZ294" s="25"/>
      <c r="CA294" s="25"/>
      <c r="CB294" s="25"/>
      <c r="CC294" s="25"/>
      <c r="CD294" s="25"/>
      <c r="CE294" s="25"/>
      <c r="CF294" s="25"/>
      <c r="CG294" s="25"/>
      <c r="CH294" s="25"/>
      <c r="CI294" s="25"/>
      <c r="CJ294" s="25"/>
      <c r="CK294" s="25"/>
      <c r="CL294" s="25"/>
      <c r="CM294" s="25"/>
      <c r="CN294" s="25"/>
      <c r="CO294" s="25"/>
      <c r="CP294" s="25"/>
      <c r="CQ294" s="25"/>
      <c r="CR294" s="25"/>
      <c r="CS294" s="25"/>
    </row>
    <row r="295" spans="2:97">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c r="AV295" s="25"/>
      <c r="AW295" s="25"/>
      <c r="AX295" s="25"/>
      <c r="AY295" s="25"/>
      <c r="AZ295" s="25"/>
      <c r="BA295" s="25"/>
      <c r="BB295" s="25"/>
      <c r="BC295" s="25"/>
      <c r="BD295" s="25"/>
      <c r="BE295" s="25"/>
      <c r="BF295" s="25"/>
      <c r="BG295" s="25"/>
      <c r="BH295" s="25"/>
      <c r="BI295" s="25"/>
      <c r="BJ295" s="25"/>
      <c r="BK295" s="25"/>
      <c r="BL295" s="25"/>
      <c r="BM295" s="25"/>
      <c r="BN295" s="25"/>
      <c r="BO295" s="25"/>
      <c r="BP295" s="25"/>
      <c r="BQ295" s="25"/>
      <c r="BR295" s="25"/>
      <c r="BS295" s="25"/>
      <c r="BT295" s="25"/>
      <c r="BU295" s="25"/>
      <c r="BV295" s="25"/>
      <c r="BW295" s="25"/>
      <c r="BX295" s="25"/>
      <c r="BY295" s="25"/>
      <c r="BZ295" s="25"/>
      <c r="CA295" s="25"/>
      <c r="CB295" s="25"/>
      <c r="CC295" s="25"/>
      <c r="CD295" s="25"/>
      <c r="CE295" s="25"/>
      <c r="CF295" s="25"/>
      <c r="CG295" s="25"/>
      <c r="CH295" s="25"/>
      <c r="CI295" s="25"/>
      <c r="CJ295" s="25"/>
      <c r="CK295" s="25"/>
      <c r="CL295" s="25"/>
      <c r="CM295" s="25"/>
      <c r="CN295" s="25"/>
      <c r="CO295" s="25"/>
      <c r="CP295" s="25"/>
      <c r="CQ295" s="25"/>
      <c r="CR295" s="25"/>
      <c r="CS295" s="25"/>
    </row>
    <row r="296" spans="2:97">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c r="AV296" s="25"/>
      <c r="AW296" s="25"/>
      <c r="AX296" s="25"/>
      <c r="AY296" s="25"/>
      <c r="AZ296" s="25"/>
      <c r="BA296" s="25"/>
      <c r="BB296" s="25"/>
      <c r="BC296" s="25"/>
      <c r="BD296" s="25"/>
      <c r="BE296" s="25"/>
      <c r="BF296" s="25"/>
      <c r="BG296" s="25"/>
      <c r="BH296" s="25"/>
      <c r="BI296" s="25"/>
      <c r="BJ296" s="25"/>
      <c r="BK296" s="25"/>
      <c r="BL296" s="25"/>
      <c r="BM296" s="25"/>
      <c r="BN296" s="25"/>
      <c r="BO296" s="25"/>
      <c r="BP296" s="25"/>
      <c r="BQ296" s="25"/>
      <c r="BR296" s="25"/>
      <c r="BS296" s="25"/>
      <c r="BT296" s="25"/>
      <c r="BU296" s="25"/>
      <c r="BV296" s="25"/>
      <c r="BW296" s="25"/>
      <c r="BX296" s="25"/>
      <c r="BY296" s="25"/>
      <c r="BZ296" s="25"/>
      <c r="CA296" s="25"/>
      <c r="CB296" s="25"/>
      <c r="CC296" s="25"/>
      <c r="CD296" s="25"/>
      <c r="CE296" s="25"/>
      <c r="CF296" s="25"/>
      <c r="CG296" s="25"/>
      <c r="CH296" s="25"/>
      <c r="CI296" s="25"/>
      <c r="CJ296" s="25"/>
      <c r="CK296" s="25"/>
      <c r="CL296" s="25"/>
      <c r="CM296" s="25"/>
      <c r="CN296" s="25"/>
      <c r="CO296" s="25"/>
      <c r="CP296" s="25"/>
      <c r="CQ296" s="25"/>
      <c r="CR296" s="25"/>
      <c r="CS296" s="25"/>
    </row>
    <row r="297" spans="2:97">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c r="AV297" s="25"/>
      <c r="AW297" s="25"/>
      <c r="AX297" s="25"/>
      <c r="AY297" s="25"/>
      <c r="AZ297" s="25"/>
      <c r="BA297" s="25"/>
      <c r="BB297" s="25"/>
      <c r="BC297" s="25"/>
      <c r="BD297" s="25"/>
      <c r="BE297" s="25"/>
      <c r="BF297" s="25"/>
      <c r="BG297" s="25"/>
      <c r="BH297" s="25"/>
      <c r="BI297" s="25"/>
      <c r="BJ297" s="25"/>
      <c r="BK297" s="25"/>
      <c r="BL297" s="25"/>
      <c r="BM297" s="25"/>
      <c r="BN297" s="25"/>
      <c r="BO297" s="25"/>
      <c r="BP297" s="25"/>
      <c r="BQ297" s="25"/>
      <c r="BR297" s="25"/>
      <c r="BS297" s="25"/>
      <c r="BT297" s="25"/>
      <c r="BU297" s="25"/>
      <c r="BV297" s="25"/>
      <c r="BW297" s="25"/>
      <c r="BX297" s="25"/>
      <c r="BY297" s="25"/>
      <c r="BZ297" s="25"/>
      <c r="CA297" s="25"/>
      <c r="CB297" s="25"/>
      <c r="CC297" s="25"/>
      <c r="CD297" s="25"/>
      <c r="CE297" s="25"/>
      <c r="CF297" s="25"/>
      <c r="CG297" s="25"/>
      <c r="CH297" s="25"/>
      <c r="CI297" s="25"/>
      <c r="CJ297" s="25"/>
      <c r="CK297" s="25"/>
      <c r="CL297" s="25"/>
      <c r="CM297" s="25"/>
      <c r="CN297" s="25"/>
      <c r="CO297" s="25"/>
      <c r="CP297" s="25"/>
      <c r="CQ297" s="25"/>
      <c r="CR297" s="25"/>
      <c r="CS297" s="25"/>
    </row>
    <row r="298" spans="2:97">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c r="AV298" s="25"/>
      <c r="AW298" s="25"/>
      <c r="AX298" s="25"/>
      <c r="AY298" s="25"/>
      <c r="AZ298" s="25"/>
      <c r="BA298" s="25"/>
      <c r="BB298" s="25"/>
      <c r="BC298" s="25"/>
      <c r="BD298" s="25"/>
      <c r="BE298" s="25"/>
      <c r="BF298" s="25"/>
      <c r="BG298" s="25"/>
      <c r="BH298" s="25"/>
      <c r="BI298" s="25"/>
      <c r="BJ298" s="25"/>
      <c r="BK298" s="25"/>
      <c r="BL298" s="25"/>
      <c r="BM298" s="25"/>
      <c r="BN298" s="25"/>
      <c r="BO298" s="25"/>
      <c r="BP298" s="25"/>
      <c r="BQ298" s="25"/>
      <c r="BR298" s="25"/>
      <c r="BS298" s="25"/>
      <c r="BT298" s="25"/>
      <c r="BU298" s="25"/>
      <c r="BV298" s="25"/>
      <c r="BW298" s="25"/>
      <c r="BX298" s="25"/>
      <c r="BY298" s="25"/>
      <c r="BZ298" s="25"/>
      <c r="CA298" s="25"/>
      <c r="CB298" s="25"/>
      <c r="CC298" s="25"/>
      <c r="CD298" s="25"/>
      <c r="CE298" s="25"/>
      <c r="CF298" s="25"/>
      <c r="CG298" s="25"/>
      <c r="CH298" s="25"/>
      <c r="CI298" s="25"/>
      <c r="CJ298" s="25"/>
      <c r="CK298" s="25"/>
      <c r="CL298" s="25"/>
      <c r="CM298" s="25"/>
      <c r="CN298" s="25"/>
      <c r="CO298" s="25"/>
      <c r="CP298" s="25"/>
      <c r="CQ298" s="25"/>
      <c r="CR298" s="25"/>
      <c r="CS298" s="25"/>
    </row>
    <row r="299" spans="2:97">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c r="AV299" s="25"/>
      <c r="AW299" s="25"/>
      <c r="AX299" s="25"/>
      <c r="AY299" s="25"/>
      <c r="AZ299" s="25"/>
      <c r="BA299" s="25"/>
      <c r="BB299" s="25"/>
      <c r="BC299" s="25"/>
      <c r="BD299" s="25"/>
      <c r="BE299" s="25"/>
      <c r="BF299" s="25"/>
      <c r="BG299" s="25"/>
      <c r="BH299" s="25"/>
      <c r="BI299" s="25"/>
      <c r="BJ299" s="25"/>
      <c r="BK299" s="25"/>
      <c r="BL299" s="25"/>
      <c r="BM299" s="25"/>
      <c r="BN299" s="25"/>
      <c r="BO299" s="25"/>
      <c r="BP299" s="25"/>
      <c r="BQ299" s="25"/>
      <c r="BR299" s="25"/>
      <c r="BS299" s="25"/>
      <c r="BT299" s="25"/>
      <c r="BU299" s="25"/>
      <c r="BV299" s="25"/>
      <c r="BW299" s="25"/>
      <c r="BX299" s="25"/>
      <c r="BY299" s="25"/>
      <c r="BZ299" s="25"/>
      <c r="CA299" s="25"/>
      <c r="CB299" s="25"/>
      <c r="CC299" s="25"/>
      <c r="CD299" s="25"/>
      <c r="CE299" s="25"/>
      <c r="CF299" s="25"/>
      <c r="CG299" s="25"/>
      <c r="CH299" s="25"/>
      <c r="CI299" s="25"/>
      <c r="CJ299" s="25"/>
      <c r="CK299" s="25"/>
      <c r="CL299" s="25"/>
      <c r="CM299" s="25"/>
      <c r="CN299" s="25"/>
      <c r="CO299" s="25"/>
      <c r="CP299" s="25"/>
      <c r="CQ299" s="25"/>
      <c r="CR299" s="25"/>
      <c r="CS299" s="25"/>
    </row>
    <row r="300" spans="2:97">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c r="AV300" s="25"/>
      <c r="AW300" s="25"/>
      <c r="AX300" s="25"/>
      <c r="AY300" s="25"/>
      <c r="AZ300" s="25"/>
      <c r="BA300" s="25"/>
      <c r="BB300" s="25"/>
      <c r="BC300" s="25"/>
      <c r="BD300" s="25"/>
      <c r="BE300" s="25"/>
      <c r="BF300" s="25"/>
      <c r="BG300" s="25"/>
      <c r="BH300" s="25"/>
      <c r="BI300" s="25"/>
      <c r="BJ300" s="25"/>
      <c r="BK300" s="25"/>
      <c r="BL300" s="25"/>
      <c r="BM300" s="25"/>
      <c r="BN300" s="25"/>
      <c r="BO300" s="25"/>
      <c r="BP300" s="25"/>
      <c r="BQ300" s="25"/>
      <c r="BR300" s="25"/>
      <c r="BS300" s="25"/>
      <c r="BT300" s="25"/>
      <c r="BU300" s="25"/>
      <c r="BV300" s="25"/>
      <c r="BW300" s="25"/>
      <c r="BX300" s="25"/>
      <c r="BY300" s="25"/>
      <c r="BZ300" s="25"/>
      <c r="CA300" s="25"/>
      <c r="CB300" s="25"/>
      <c r="CC300" s="25"/>
      <c r="CD300" s="25"/>
      <c r="CE300" s="25"/>
      <c r="CF300" s="25"/>
      <c r="CG300" s="25"/>
      <c r="CH300" s="25"/>
      <c r="CI300" s="25"/>
      <c r="CJ300" s="25"/>
      <c r="CK300" s="25"/>
      <c r="CL300" s="25"/>
      <c r="CM300" s="25"/>
      <c r="CN300" s="25"/>
      <c r="CO300" s="25"/>
      <c r="CP300" s="25"/>
      <c r="CQ300" s="25"/>
      <c r="CR300" s="25"/>
      <c r="CS300" s="25"/>
    </row>
    <row r="301" spans="2:97">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c r="AV301" s="25"/>
      <c r="AW301" s="25"/>
      <c r="AX301" s="25"/>
      <c r="AY301" s="25"/>
      <c r="AZ301" s="25"/>
      <c r="BA301" s="25"/>
      <c r="BB301" s="25"/>
      <c r="BC301" s="25"/>
      <c r="BD301" s="25"/>
      <c r="BE301" s="25"/>
      <c r="BF301" s="25"/>
      <c r="BG301" s="25"/>
      <c r="BH301" s="25"/>
      <c r="BI301" s="25"/>
      <c r="BJ301" s="25"/>
      <c r="BK301" s="25"/>
      <c r="BL301" s="25"/>
      <c r="BM301" s="25"/>
      <c r="BN301" s="25"/>
      <c r="BO301" s="25"/>
      <c r="BP301" s="25"/>
      <c r="BQ301" s="25"/>
      <c r="BR301" s="25"/>
      <c r="BS301" s="25"/>
      <c r="BT301" s="25"/>
      <c r="BU301" s="25"/>
      <c r="BV301" s="25"/>
      <c r="BW301" s="25"/>
      <c r="BX301" s="25"/>
      <c r="BY301" s="25"/>
      <c r="BZ301" s="25"/>
      <c r="CA301" s="25"/>
      <c r="CB301" s="25"/>
      <c r="CC301" s="25"/>
      <c r="CD301" s="25"/>
      <c r="CE301" s="25"/>
      <c r="CF301" s="25"/>
      <c r="CG301" s="25"/>
      <c r="CH301" s="25"/>
      <c r="CI301" s="25"/>
      <c r="CJ301" s="25"/>
      <c r="CK301" s="25"/>
      <c r="CL301" s="25"/>
      <c r="CM301" s="25"/>
      <c r="CN301" s="25"/>
      <c r="CO301" s="25"/>
      <c r="CP301" s="25"/>
      <c r="CQ301" s="25"/>
      <c r="CR301" s="25"/>
      <c r="CS301" s="25"/>
    </row>
    <row r="302" spans="2:97">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c r="AV302" s="25"/>
      <c r="AW302" s="25"/>
      <c r="AX302" s="25"/>
      <c r="AY302" s="25"/>
      <c r="AZ302" s="25"/>
      <c r="BA302" s="25"/>
      <c r="BB302" s="25"/>
      <c r="BC302" s="25"/>
      <c r="BD302" s="25"/>
      <c r="BE302" s="25"/>
      <c r="BF302" s="25"/>
      <c r="BG302" s="25"/>
      <c r="BH302" s="25"/>
      <c r="BI302" s="25"/>
      <c r="BJ302" s="25"/>
      <c r="BK302" s="25"/>
      <c r="BL302" s="25"/>
      <c r="BM302" s="25"/>
      <c r="BN302" s="25"/>
      <c r="BO302" s="25"/>
      <c r="BP302" s="25"/>
      <c r="BQ302" s="25"/>
      <c r="BR302" s="25"/>
      <c r="BS302" s="25"/>
      <c r="BT302" s="25"/>
      <c r="BU302" s="25"/>
      <c r="BV302" s="25"/>
      <c r="BW302" s="25"/>
      <c r="BX302" s="25"/>
      <c r="BY302" s="25"/>
      <c r="BZ302" s="25"/>
      <c r="CA302" s="25"/>
      <c r="CB302" s="25"/>
      <c r="CC302" s="25"/>
      <c r="CD302" s="25"/>
      <c r="CE302" s="25"/>
      <c r="CF302" s="25"/>
      <c r="CG302" s="25"/>
      <c r="CH302" s="25"/>
      <c r="CI302" s="25"/>
      <c r="CJ302" s="25"/>
      <c r="CK302" s="25"/>
      <c r="CL302" s="25"/>
      <c r="CM302" s="25"/>
      <c r="CN302" s="25"/>
      <c r="CO302" s="25"/>
      <c r="CP302" s="25"/>
      <c r="CQ302" s="25"/>
      <c r="CR302" s="25"/>
      <c r="CS302" s="25"/>
    </row>
    <row r="303" spans="2:97">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c r="AV303" s="25"/>
      <c r="AW303" s="25"/>
      <c r="AX303" s="25"/>
      <c r="AY303" s="25"/>
      <c r="AZ303" s="25"/>
      <c r="BA303" s="25"/>
      <c r="BB303" s="25"/>
      <c r="BC303" s="25"/>
      <c r="BD303" s="25"/>
      <c r="BE303" s="25"/>
      <c r="BF303" s="25"/>
      <c r="BG303" s="25"/>
      <c r="BH303" s="25"/>
      <c r="BI303" s="25"/>
      <c r="BJ303" s="25"/>
      <c r="BK303" s="25"/>
      <c r="BL303" s="25"/>
      <c r="BM303" s="25"/>
      <c r="BN303" s="25"/>
      <c r="BO303" s="25"/>
      <c r="BP303" s="25"/>
      <c r="BQ303" s="25"/>
      <c r="BR303" s="25"/>
      <c r="BS303" s="25"/>
      <c r="BT303" s="25"/>
      <c r="BU303" s="25"/>
      <c r="BV303" s="25"/>
      <c r="BW303" s="25"/>
      <c r="BX303" s="25"/>
      <c r="BY303" s="25"/>
      <c r="BZ303" s="25"/>
      <c r="CA303" s="25"/>
      <c r="CB303" s="25"/>
      <c r="CC303" s="25"/>
      <c r="CD303" s="25"/>
      <c r="CE303" s="25"/>
      <c r="CF303" s="25"/>
      <c r="CG303" s="25"/>
      <c r="CH303" s="25"/>
      <c r="CI303" s="25"/>
      <c r="CJ303" s="25"/>
      <c r="CK303" s="25"/>
      <c r="CL303" s="25"/>
      <c r="CM303" s="25"/>
      <c r="CN303" s="25"/>
      <c r="CO303" s="25"/>
      <c r="CP303" s="25"/>
      <c r="CQ303" s="25"/>
      <c r="CR303" s="25"/>
      <c r="CS303" s="25"/>
    </row>
    <row r="304" spans="2:97">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c r="AV304" s="25"/>
      <c r="AW304" s="25"/>
      <c r="AX304" s="25"/>
      <c r="AY304" s="25"/>
      <c r="AZ304" s="25"/>
      <c r="BA304" s="25"/>
      <c r="BB304" s="25"/>
      <c r="BC304" s="25"/>
      <c r="BD304" s="25"/>
      <c r="BE304" s="25"/>
      <c r="BF304" s="25"/>
      <c r="BG304" s="25"/>
      <c r="BH304" s="25"/>
      <c r="BI304" s="25"/>
      <c r="BJ304" s="25"/>
      <c r="BK304" s="25"/>
      <c r="BL304" s="25"/>
      <c r="BM304" s="25"/>
      <c r="BN304" s="25"/>
      <c r="BO304" s="25"/>
      <c r="BP304" s="25"/>
      <c r="BQ304" s="25"/>
      <c r="BR304" s="25"/>
      <c r="BS304" s="25"/>
      <c r="BT304" s="25"/>
      <c r="BU304" s="25"/>
      <c r="BV304" s="25"/>
      <c r="BW304" s="25"/>
      <c r="BX304" s="25"/>
      <c r="BY304" s="25"/>
      <c r="BZ304" s="25"/>
      <c r="CA304" s="25"/>
      <c r="CB304" s="25"/>
      <c r="CC304" s="25"/>
      <c r="CD304" s="25"/>
      <c r="CE304" s="25"/>
      <c r="CF304" s="25"/>
      <c r="CG304" s="25"/>
      <c r="CH304" s="25"/>
      <c r="CI304" s="25"/>
      <c r="CJ304" s="25"/>
      <c r="CK304" s="25"/>
      <c r="CL304" s="25"/>
      <c r="CM304" s="25"/>
      <c r="CN304" s="25"/>
      <c r="CO304" s="25"/>
      <c r="CP304" s="25"/>
      <c r="CQ304" s="25"/>
      <c r="CR304" s="25"/>
      <c r="CS304" s="25"/>
    </row>
    <row r="305" spans="2:97">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c r="AV305" s="25"/>
      <c r="AW305" s="25"/>
      <c r="AX305" s="25"/>
      <c r="AY305" s="25"/>
      <c r="AZ305" s="25"/>
      <c r="BA305" s="25"/>
      <c r="BB305" s="25"/>
      <c r="BC305" s="25"/>
      <c r="BD305" s="25"/>
      <c r="BE305" s="25"/>
      <c r="BF305" s="25"/>
      <c r="BG305" s="25"/>
      <c r="BH305" s="25"/>
      <c r="BI305" s="25"/>
      <c r="BJ305" s="25"/>
      <c r="BK305" s="25"/>
      <c r="BL305" s="25"/>
      <c r="BM305" s="25"/>
      <c r="BN305" s="25"/>
      <c r="BO305" s="25"/>
      <c r="BP305" s="25"/>
      <c r="BQ305" s="25"/>
      <c r="BR305" s="25"/>
      <c r="BS305" s="25"/>
      <c r="BT305" s="25"/>
      <c r="BU305" s="25"/>
      <c r="BV305" s="25"/>
      <c r="BW305" s="25"/>
      <c r="BX305" s="25"/>
      <c r="BY305" s="25"/>
      <c r="BZ305" s="25"/>
      <c r="CA305" s="25"/>
      <c r="CB305" s="25"/>
      <c r="CC305" s="25"/>
      <c r="CD305" s="25"/>
      <c r="CE305" s="25"/>
      <c r="CF305" s="25"/>
      <c r="CG305" s="25"/>
      <c r="CH305" s="25"/>
      <c r="CI305" s="25"/>
      <c r="CJ305" s="25"/>
      <c r="CK305" s="25"/>
      <c r="CL305" s="25"/>
      <c r="CM305" s="25"/>
      <c r="CN305" s="25"/>
      <c r="CO305" s="25"/>
      <c r="CP305" s="25"/>
      <c r="CQ305" s="25"/>
      <c r="CR305" s="25"/>
      <c r="CS305" s="25"/>
    </row>
    <row r="306" spans="2:97">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c r="AV306" s="25"/>
      <c r="AW306" s="25"/>
      <c r="AX306" s="25"/>
      <c r="AY306" s="25"/>
      <c r="AZ306" s="25"/>
      <c r="BA306" s="25"/>
      <c r="BB306" s="25"/>
      <c r="BC306" s="25"/>
      <c r="BD306" s="25"/>
      <c r="BE306" s="25"/>
      <c r="BF306" s="25"/>
      <c r="BG306" s="25"/>
      <c r="BH306" s="25"/>
      <c r="BI306" s="25"/>
      <c r="BJ306" s="25"/>
      <c r="BK306" s="25"/>
      <c r="BL306" s="25"/>
      <c r="BM306" s="25"/>
      <c r="BN306" s="25"/>
      <c r="BO306" s="25"/>
      <c r="BP306" s="25"/>
      <c r="BQ306" s="25"/>
      <c r="BR306" s="25"/>
      <c r="BS306" s="25"/>
      <c r="BT306" s="25"/>
      <c r="BU306" s="25"/>
      <c r="BV306" s="25"/>
      <c r="BW306" s="25"/>
      <c r="BX306" s="25"/>
      <c r="BY306" s="25"/>
      <c r="BZ306" s="25"/>
      <c r="CA306" s="25"/>
      <c r="CB306" s="25"/>
      <c r="CC306" s="25"/>
      <c r="CD306" s="25"/>
      <c r="CE306" s="25"/>
      <c r="CF306" s="25"/>
      <c r="CG306" s="25"/>
      <c r="CH306" s="25"/>
      <c r="CI306" s="25"/>
      <c r="CJ306" s="25"/>
      <c r="CK306" s="25"/>
      <c r="CL306" s="25"/>
      <c r="CM306" s="25"/>
      <c r="CN306" s="25"/>
      <c r="CO306" s="25"/>
      <c r="CP306" s="25"/>
      <c r="CQ306" s="25"/>
      <c r="CR306" s="25"/>
      <c r="CS306" s="25"/>
    </row>
    <row r="307" spans="2:97">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c r="AV307" s="25"/>
      <c r="AW307" s="25"/>
      <c r="AX307" s="25"/>
      <c r="AY307" s="25"/>
      <c r="AZ307" s="25"/>
      <c r="BA307" s="25"/>
      <c r="BB307" s="25"/>
      <c r="BC307" s="25"/>
      <c r="BD307" s="25"/>
      <c r="BE307" s="25"/>
      <c r="BF307" s="25"/>
      <c r="BG307" s="25"/>
      <c r="BH307" s="25"/>
      <c r="BI307" s="25"/>
      <c r="BJ307" s="25"/>
      <c r="BK307" s="25"/>
      <c r="BL307" s="25"/>
      <c r="BM307" s="25"/>
      <c r="BN307" s="25"/>
      <c r="BO307" s="25"/>
      <c r="BP307" s="25"/>
      <c r="BQ307" s="25"/>
      <c r="BR307" s="25"/>
      <c r="BS307" s="25"/>
      <c r="BT307" s="25"/>
      <c r="BU307" s="25"/>
      <c r="BV307" s="25"/>
      <c r="BW307" s="25"/>
      <c r="BX307" s="25"/>
      <c r="BY307" s="25"/>
      <c r="BZ307" s="25"/>
      <c r="CA307" s="25"/>
      <c r="CB307" s="25"/>
      <c r="CC307" s="25"/>
      <c r="CD307" s="25"/>
      <c r="CE307" s="25"/>
      <c r="CF307" s="25"/>
      <c r="CG307" s="25"/>
      <c r="CH307" s="25"/>
      <c r="CI307" s="25"/>
      <c r="CJ307" s="25"/>
      <c r="CK307" s="25"/>
      <c r="CL307" s="25"/>
      <c r="CM307" s="25"/>
      <c r="CN307" s="25"/>
      <c r="CO307" s="25"/>
      <c r="CP307" s="25"/>
      <c r="CQ307" s="25"/>
      <c r="CR307" s="25"/>
      <c r="CS307" s="25"/>
    </row>
    <row r="308" spans="2:97">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c r="AV308" s="25"/>
      <c r="AW308" s="25"/>
      <c r="AX308" s="25"/>
      <c r="AY308" s="25"/>
      <c r="AZ308" s="25"/>
      <c r="BA308" s="25"/>
      <c r="BB308" s="25"/>
      <c r="BC308" s="25"/>
      <c r="BD308" s="25"/>
      <c r="BE308" s="25"/>
      <c r="BF308" s="25"/>
      <c r="BG308" s="25"/>
      <c r="BH308" s="25"/>
      <c r="BI308" s="25"/>
      <c r="BJ308" s="25"/>
      <c r="BK308" s="25"/>
      <c r="BL308" s="25"/>
      <c r="BM308" s="25"/>
      <c r="BN308" s="25"/>
      <c r="BO308" s="25"/>
      <c r="BP308" s="25"/>
      <c r="BQ308" s="25"/>
      <c r="BR308" s="25"/>
      <c r="BS308" s="25"/>
      <c r="BT308" s="25"/>
      <c r="BU308" s="25"/>
      <c r="BV308" s="25"/>
      <c r="BW308" s="25"/>
      <c r="BX308" s="25"/>
      <c r="BY308" s="25"/>
      <c r="BZ308" s="25"/>
      <c r="CA308" s="25"/>
      <c r="CB308" s="25"/>
      <c r="CC308" s="25"/>
      <c r="CD308" s="25"/>
      <c r="CE308" s="25"/>
      <c r="CF308" s="25"/>
      <c r="CG308" s="25"/>
      <c r="CH308" s="25"/>
      <c r="CI308" s="25"/>
      <c r="CJ308" s="25"/>
      <c r="CK308" s="25"/>
      <c r="CL308" s="25"/>
      <c r="CM308" s="25"/>
      <c r="CN308" s="25"/>
      <c r="CO308" s="25"/>
      <c r="CP308" s="25"/>
      <c r="CQ308" s="25"/>
      <c r="CR308" s="25"/>
      <c r="CS308" s="25"/>
    </row>
    <row r="309" spans="2:97">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c r="AV309" s="25"/>
      <c r="AW309" s="25"/>
      <c r="AX309" s="25"/>
      <c r="AY309" s="25"/>
      <c r="AZ309" s="25"/>
      <c r="BA309" s="25"/>
      <c r="BB309" s="25"/>
      <c r="BC309" s="25"/>
      <c r="BD309" s="25"/>
      <c r="BE309" s="25"/>
      <c r="BF309" s="25"/>
      <c r="BG309" s="25"/>
      <c r="BH309" s="25"/>
      <c r="BI309" s="25"/>
      <c r="BJ309" s="25"/>
      <c r="BK309" s="25"/>
      <c r="BL309" s="25"/>
      <c r="BM309" s="25"/>
      <c r="BN309" s="25"/>
      <c r="BO309" s="25"/>
      <c r="BP309" s="25"/>
      <c r="BQ309" s="25"/>
      <c r="BR309" s="25"/>
      <c r="BS309" s="25"/>
      <c r="BT309" s="25"/>
      <c r="BU309" s="25"/>
      <c r="BV309" s="25"/>
      <c r="BW309" s="25"/>
      <c r="BX309" s="25"/>
      <c r="BY309" s="25"/>
      <c r="BZ309" s="25"/>
      <c r="CA309" s="25"/>
      <c r="CB309" s="25"/>
      <c r="CC309" s="25"/>
      <c r="CD309" s="25"/>
      <c r="CE309" s="25"/>
      <c r="CF309" s="25"/>
      <c r="CG309" s="25"/>
      <c r="CH309" s="25"/>
      <c r="CI309" s="25"/>
      <c r="CJ309" s="25"/>
      <c r="CK309" s="25"/>
      <c r="CL309" s="25"/>
      <c r="CM309" s="25"/>
      <c r="CN309" s="25"/>
      <c r="CO309" s="25"/>
      <c r="CP309" s="25"/>
      <c r="CQ309" s="25"/>
      <c r="CR309" s="25"/>
      <c r="CS309" s="25"/>
    </row>
    <row r="310" spans="2:97">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c r="AV310" s="25"/>
      <c r="AW310" s="25"/>
      <c r="AX310" s="25"/>
      <c r="AY310" s="25"/>
      <c r="AZ310" s="25"/>
      <c r="BA310" s="25"/>
      <c r="BB310" s="25"/>
      <c r="BC310" s="25"/>
      <c r="BD310" s="25"/>
      <c r="BE310" s="25"/>
      <c r="BF310" s="25"/>
      <c r="BG310" s="25"/>
      <c r="BH310" s="25"/>
      <c r="BI310" s="25"/>
      <c r="BJ310" s="25"/>
      <c r="BK310" s="25"/>
      <c r="BL310" s="25"/>
      <c r="BM310" s="25"/>
      <c r="BN310" s="25"/>
      <c r="BO310" s="25"/>
      <c r="BP310" s="25"/>
      <c r="BQ310" s="25"/>
      <c r="BR310" s="25"/>
      <c r="BS310" s="25"/>
      <c r="BT310" s="25"/>
      <c r="BU310" s="25"/>
      <c r="BV310" s="25"/>
      <c r="BW310" s="25"/>
      <c r="BX310" s="25"/>
      <c r="BY310" s="25"/>
      <c r="BZ310" s="25"/>
      <c r="CA310" s="25"/>
      <c r="CB310" s="25"/>
      <c r="CC310" s="25"/>
      <c r="CD310" s="25"/>
      <c r="CE310" s="25"/>
      <c r="CF310" s="25"/>
      <c r="CG310" s="25"/>
      <c r="CH310" s="25"/>
      <c r="CI310" s="25"/>
      <c r="CJ310" s="25"/>
      <c r="CK310" s="25"/>
      <c r="CL310" s="25"/>
      <c r="CM310" s="25"/>
      <c r="CN310" s="25"/>
      <c r="CO310" s="25"/>
      <c r="CP310" s="25"/>
      <c r="CQ310" s="25"/>
      <c r="CR310" s="25"/>
      <c r="CS310" s="25"/>
    </row>
    <row r="311" spans="2:97">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c r="AV311" s="25"/>
      <c r="AW311" s="25"/>
      <c r="AX311" s="25"/>
      <c r="AY311" s="25"/>
      <c r="AZ311" s="25"/>
      <c r="BA311" s="25"/>
      <c r="BB311" s="25"/>
      <c r="BC311" s="25"/>
      <c r="BD311" s="25"/>
      <c r="BE311" s="25"/>
      <c r="BF311" s="25"/>
      <c r="BG311" s="25"/>
      <c r="BH311" s="25"/>
      <c r="BI311" s="25"/>
      <c r="BJ311" s="25"/>
      <c r="BK311" s="25"/>
      <c r="BL311" s="25"/>
      <c r="BM311" s="25"/>
      <c r="BN311" s="25"/>
      <c r="BO311" s="25"/>
      <c r="BP311" s="25"/>
      <c r="BQ311" s="25"/>
      <c r="BR311" s="25"/>
      <c r="BS311" s="25"/>
      <c r="BT311" s="25"/>
      <c r="BU311" s="25"/>
      <c r="BV311" s="25"/>
      <c r="BW311" s="25"/>
      <c r="BX311" s="25"/>
      <c r="BY311" s="25"/>
      <c r="BZ311" s="25"/>
      <c r="CA311" s="25"/>
      <c r="CB311" s="25"/>
      <c r="CC311" s="25"/>
      <c r="CD311" s="25"/>
      <c r="CE311" s="25"/>
      <c r="CF311" s="25"/>
      <c r="CG311" s="25"/>
      <c r="CH311" s="25"/>
      <c r="CI311" s="25"/>
      <c r="CJ311" s="25"/>
      <c r="CK311" s="25"/>
      <c r="CL311" s="25"/>
      <c r="CM311" s="25"/>
      <c r="CN311" s="25"/>
      <c r="CO311" s="25"/>
      <c r="CP311" s="25"/>
      <c r="CQ311" s="25"/>
      <c r="CR311" s="25"/>
      <c r="CS311" s="25"/>
    </row>
    <row r="312" spans="2:97">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c r="AV312" s="25"/>
      <c r="AW312" s="25"/>
      <c r="AX312" s="25"/>
      <c r="AY312" s="25"/>
      <c r="AZ312" s="25"/>
      <c r="BA312" s="25"/>
      <c r="BB312" s="25"/>
      <c r="BC312" s="25"/>
      <c r="BD312" s="25"/>
      <c r="BE312" s="25"/>
      <c r="BF312" s="25"/>
      <c r="BG312" s="25"/>
      <c r="BH312" s="25"/>
      <c r="BI312" s="25"/>
      <c r="BJ312" s="25"/>
      <c r="BK312" s="25"/>
      <c r="BL312" s="25"/>
      <c r="BM312" s="25"/>
      <c r="BN312" s="25"/>
      <c r="BO312" s="25"/>
      <c r="BP312" s="25"/>
      <c r="BQ312" s="25"/>
      <c r="BR312" s="25"/>
      <c r="BS312" s="25"/>
      <c r="BT312" s="25"/>
      <c r="BU312" s="25"/>
      <c r="BV312" s="25"/>
      <c r="BW312" s="25"/>
      <c r="BX312" s="25"/>
      <c r="BY312" s="25"/>
      <c r="BZ312" s="25"/>
      <c r="CA312" s="25"/>
      <c r="CB312" s="25"/>
      <c r="CC312" s="25"/>
      <c r="CD312" s="25"/>
      <c r="CE312" s="25"/>
      <c r="CF312" s="25"/>
      <c r="CG312" s="25"/>
      <c r="CH312" s="25"/>
      <c r="CI312" s="25"/>
      <c r="CJ312" s="25"/>
      <c r="CK312" s="25"/>
      <c r="CL312" s="25"/>
      <c r="CM312" s="25"/>
      <c r="CN312" s="25"/>
      <c r="CO312" s="25"/>
      <c r="CP312" s="25"/>
      <c r="CQ312" s="25"/>
      <c r="CR312" s="25"/>
      <c r="CS312" s="25"/>
    </row>
    <row r="313" spans="2:97">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c r="AV313" s="25"/>
      <c r="AW313" s="25"/>
      <c r="AX313" s="25"/>
      <c r="AY313" s="25"/>
      <c r="AZ313" s="25"/>
      <c r="BA313" s="25"/>
      <c r="BB313" s="25"/>
      <c r="BC313" s="25"/>
      <c r="BD313" s="25"/>
      <c r="BE313" s="25"/>
      <c r="BF313" s="25"/>
      <c r="BG313" s="25"/>
      <c r="BH313" s="25"/>
      <c r="BI313" s="25"/>
      <c r="BJ313" s="25"/>
      <c r="BK313" s="25"/>
      <c r="BL313" s="25"/>
      <c r="BM313" s="25"/>
      <c r="BN313" s="25"/>
      <c r="BO313" s="25"/>
      <c r="BP313" s="25"/>
      <c r="BQ313" s="25"/>
      <c r="BR313" s="25"/>
      <c r="BS313" s="25"/>
      <c r="BT313" s="25"/>
      <c r="BU313" s="25"/>
      <c r="BV313" s="25"/>
      <c r="BW313" s="25"/>
      <c r="BX313" s="25"/>
      <c r="BY313" s="25"/>
      <c r="BZ313" s="25"/>
      <c r="CA313" s="25"/>
      <c r="CB313" s="25"/>
      <c r="CC313" s="25"/>
      <c r="CD313" s="25"/>
      <c r="CE313" s="25"/>
      <c r="CF313" s="25"/>
      <c r="CG313" s="25"/>
      <c r="CH313" s="25"/>
      <c r="CI313" s="25"/>
      <c r="CJ313" s="25"/>
      <c r="CK313" s="25"/>
      <c r="CL313" s="25"/>
      <c r="CM313" s="25"/>
      <c r="CN313" s="25"/>
      <c r="CO313" s="25"/>
      <c r="CP313" s="25"/>
      <c r="CQ313" s="25"/>
      <c r="CR313" s="25"/>
      <c r="CS313" s="25"/>
    </row>
    <row r="314" spans="2:97">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c r="AV314" s="25"/>
      <c r="AW314" s="25"/>
      <c r="AX314" s="25"/>
      <c r="AY314" s="25"/>
      <c r="AZ314" s="25"/>
      <c r="BA314" s="25"/>
      <c r="BB314" s="25"/>
      <c r="BC314" s="25"/>
      <c r="BD314" s="25"/>
      <c r="BE314" s="25"/>
      <c r="BF314" s="25"/>
      <c r="BG314" s="25"/>
      <c r="BH314" s="25"/>
      <c r="BI314" s="25"/>
      <c r="BJ314" s="25"/>
      <c r="BK314" s="25"/>
      <c r="BL314" s="25"/>
      <c r="BM314" s="25"/>
      <c r="BN314" s="25"/>
      <c r="BO314" s="25"/>
      <c r="BP314" s="25"/>
      <c r="BQ314" s="25"/>
      <c r="BR314" s="25"/>
      <c r="BS314" s="25"/>
      <c r="BT314" s="25"/>
      <c r="BU314" s="25"/>
      <c r="BV314" s="25"/>
      <c r="BW314" s="25"/>
      <c r="BX314" s="25"/>
      <c r="BY314" s="25"/>
      <c r="BZ314" s="25"/>
      <c r="CA314" s="25"/>
      <c r="CB314" s="25"/>
      <c r="CC314" s="25"/>
      <c r="CD314" s="25"/>
      <c r="CE314" s="25"/>
      <c r="CF314" s="25"/>
      <c r="CG314" s="25"/>
      <c r="CH314" s="25"/>
      <c r="CI314" s="25"/>
      <c r="CJ314" s="25"/>
      <c r="CK314" s="25"/>
      <c r="CL314" s="25"/>
      <c r="CM314" s="25"/>
      <c r="CN314" s="25"/>
      <c r="CO314" s="25"/>
      <c r="CP314" s="25"/>
      <c r="CQ314" s="25"/>
      <c r="CR314" s="25"/>
      <c r="CS314" s="25"/>
    </row>
    <row r="315" spans="2:97">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c r="AV315" s="25"/>
      <c r="AW315" s="25"/>
      <c r="AX315" s="25"/>
      <c r="AY315" s="25"/>
      <c r="AZ315" s="25"/>
      <c r="BA315" s="25"/>
      <c r="BB315" s="25"/>
      <c r="BC315" s="25"/>
      <c r="BD315" s="25"/>
      <c r="BE315" s="25"/>
      <c r="BF315" s="25"/>
      <c r="BG315" s="25"/>
      <c r="BH315" s="25"/>
      <c r="BI315" s="25"/>
      <c r="BJ315" s="25"/>
      <c r="BK315" s="25"/>
      <c r="BL315" s="25"/>
      <c r="BM315" s="25"/>
      <c r="BN315" s="25"/>
      <c r="BO315" s="25"/>
      <c r="BP315" s="25"/>
      <c r="BQ315" s="25"/>
      <c r="BR315" s="25"/>
      <c r="BS315" s="25"/>
      <c r="BT315" s="25"/>
      <c r="BU315" s="25"/>
      <c r="BV315" s="25"/>
      <c r="BW315" s="25"/>
      <c r="BX315" s="25"/>
      <c r="BY315" s="25"/>
      <c r="BZ315" s="25"/>
      <c r="CA315" s="25"/>
      <c r="CB315" s="25"/>
      <c r="CC315" s="25"/>
      <c r="CD315" s="25"/>
      <c r="CE315" s="25"/>
      <c r="CF315" s="25"/>
      <c r="CG315" s="25"/>
      <c r="CH315" s="25"/>
      <c r="CI315" s="25"/>
      <c r="CJ315" s="25"/>
      <c r="CK315" s="25"/>
      <c r="CL315" s="25"/>
      <c r="CM315" s="25"/>
      <c r="CN315" s="25"/>
      <c r="CO315" s="25"/>
      <c r="CP315" s="25"/>
      <c r="CQ315" s="25"/>
      <c r="CR315" s="25"/>
      <c r="CS315" s="25"/>
    </row>
    <row r="316" spans="2:97">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c r="AV316" s="25"/>
      <c r="AW316" s="25"/>
      <c r="AX316" s="25"/>
      <c r="AY316" s="25"/>
      <c r="AZ316" s="25"/>
      <c r="BA316" s="25"/>
      <c r="BB316" s="25"/>
      <c r="BC316" s="25"/>
      <c r="BD316" s="25"/>
      <c r="BE316" s="25"/>
      <c r="BF316" s="25"/>
      <c r="BG316" s="25"/>
      <c r="BH316" s="25"/>
      <c r="BI316" s="25"/>
      <c r="BJ316" s="25"/>
      <c r="BK316" s="25"/>
      <c r="BL316" s="25"/>
      <c r="BM316" s="25"/>
      <c r="BN316" s="25"/>
      <c r="BO316" s="25"/>
      <c r="BP316" s="25"/>
      <c r="BQ316" s="25"/>
      <c r="BR316" s="25"/>
      <c r="BS316" s="25"/>
      <c r="BT316" s="25"/>
      <c r="BU316" s="25"/>
      <c r="BV316" s="25"/>
      <c r="BW316" s="25"/>
      <c r="BX316" s="25"/>
      <c r="BY316" s="25"/>
      <c r="BZ316" s="25"/>
      <c r="CA316" s="25"/>
      <c r="CB316" s="25"/>
      <c r="CC316" s="25"/>
      <c r="CD316" s="25"/>
      <c r="CE316" s="25"/>
      <c r="CF316" s="25"/>
      <c r="CG316" s="25"/>
      <c r="CH316" s="25"/>
      <c r="CI316" s="25"/>
      <c r="CJ316" s="25"/>
      <c r="CK316" s="25"/>
      <c r="CL316" s="25"/>
      <c r="CM316" s="25"/>
      <c r="CN316" s="25"/>
      <c r="CO316" s="25"/>
      <c r="CP316" s="25"/>
      <c r="CQ316" s="25"/>
      <c r="CR316" s="25"/>
      <c r="CS316" s="25"/>
    </row>
    <row r="317" spans="2:97">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c r="AV317" s="25"/>
      <c r="AW317" s="25"/>
      <c r="AX317" s="25"/>
      <c r="AY317" s="25"/>
      <c r="AZ317" s="25"/>
      <c r="BA317" s="25"/>
      <c r="BB317" s="25"/>
      <c r="BC317" s="25"/>
      <c r="BD317" s="25"/>
      <c r="BE317" s="25"/>
      <c r="BF317" s="25"/>
      <c r="BG317" s="25"/>
      <c r="BH317" s="25"/>
      <c r="BI317" s="25"/>
      <c r="BJ317" s="25"/>
      <c r="BK317" s="25"/>
      <c r="BL317" s="25"/>
      <c r="BM317" s="25"/>
      <c r="BN317" s="25"/>
      <c r="BO317" s="25"/>
      <c r="BP317" s="25"/>
      <c r="BQ317" s="25"/>
      <c r="BR317" s="25"/>
      <c r="BS317" s="25"/>
      <c r="BT317" s="25"/>
      <c r="BU317" s="25"/>
      <c r="BV317" s="25"/>
      <c r="BW317" s="25"/>
      <c r="BX317" s="25"/>
      <c r="BY317" s="25"/>
      <c r="BZ317" s="25"/>
      <c r="CA317" s="25"/>
      <c r="CB317" s="25"/>
      <c r="CC317" s="25"/>
      <c r="CD317" s="25"/>
      <c r="CE317" s="25"/>
      <c r="CF317" s="25"/>
      <c r="CG317" s="25"/>
      <c r="CH317" s="25"/>
      <c r="CI317" s="25"/>
      <c r="CJ317" s="25"/>
      <c r="CK317" s="25"/>
      <c r="CL317" s="25"/>
      <c r="CM317" s="25"/>
      <c r="CN317" s="25"/>
      <c r="CO317" s="25"/>
      <c r="CP317" s="25"/>
      <c r="CQ317" s="25"/>
      <c r="CR317" s="25"/>
      <c r="CS317" s="25"/>
    </row>
    <row r="318" spans="2:97">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c r="AV318" s="25"/>
      <c r="AW318" s="25"/>
      <c r="AX318" s="25"/>
      <c r="AY318" s="25"/>
      <c r="AZ318" s="25"/>
      <c r="BA318" s="25"/>
      <c r="BB318" s="25"/>
      <c r="BC318" s="25"/>
      <c r="BD318" s="25"/>
      <c r="BE318" s="25"/>
      <c r="BF318" s="25"/>
      <c r="BG318" s="25"/>
      <c r="BH318" s="25"/>
      <c r="BI318" s="25"/>
      <c r="BJ318" s="25"/>
      <c r="BK318" s="25"/>
      <c r="BL318" s="25"/>
      <c r="BM318" s="25"/>
      <c r="BN318" s="25"/>
      <c r="BO318" s="25"/>
      <c r="BP318" s="25"/>
      <c r="BQ318" s="25"/>
      <c r="BR318" s="25"/>
      <c r="BS318" s="25"/>
      <c r="BT318" s="25"/>
      <c r="BU318" s="25"/>
      <c r="BV318" s="25"/>
      <c r="BW318" s="25"/>
      <c r="BX318" s="25"/>
      <c r="BY318" s="25"/>
      <c r="BZ318" s="25"/>
      <c r="CA318" s="25"/>
      <c r="CB318" s="25"/>
      <c r="CC318" s="25"/>
      <c r="CD318" s="25"/>
      <c r="CE318" s="25"/>
      <c r="CF318" s="25"/>
      <c r="CG318" s="25"/>
      <c r="CH318" s="25"/>
      <c r="CI318" s="25"/>
      <c r="CJ318" s="25"/>
      <c r="CK318" s="25"/>
      <c r="CL318" s="25"/>
      <c r="CM318" s="25"/>
      <c r="CN318" s="25"/>
      <c r="CO318" s="25"/>
      <c r="CP318" s="25"/>
      <c r="CQ318" s="25"/>
      <c r="CR318" s="25"/>
      <c r="CS318" s="25"/>
    </row>
    <row r="319" spans="2:97">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c r="AV319" s="25"/>
      <c r="AW319" s="25"/>
      <c r="AX319" s="25"/>
      <c r="AY319" s="25"/>
      <c r="AZ319" s="25"/>
      <c r="BA319" s="25"/>
      <c r="BB319" s="25"/>
      <c r="BC319" s="25"/>
      <c r="BD319" s="25"/>
      <c r="BE319" s="25"/>
      <c r="BF319" s="25"/>
      <c r="BG319" s="25"/>
      <c r="BH319" s="25"/>
      <c r="BI319" s="25"/>
      <c r="BJ319" s="25"/>
      <c r="BK319" s="25"/>
      <c r="BL319" s="25"/>
      <c r="BM319" s="25"/>
      <c r="BN319" s="25"/>
      <c r="BO319" s="25"/>
      <c r="BP319" s="25"/>
      <c r="BQ319" s="25"/>
      <c r="BR319" s="25"/>
      <c r="BS319" s="25"/>
      <c r="BT319" s="25"/>
      <c r="BU319" s="25"/>
      <c r="BV319" s="25"/>
      <c r="BW319" s="25"/>
      <c r="BX319" s="25"/>
      <c r="BY319" s="25"/>
      <c r="BZ319" s="25"/>
      <c r="CA319" s="25"/>
      <c r="CB319" s="25"/>
      <c r="CC319" s="25"/>
      <c r="CD319" s="25"/>
      <c r="CE319" s="25"/>
      <c r="CF319" s="25"/>
      <c r="CG319" s="25"/>
      <c r="CH319" s="25"/>
      <c r="CI319" s="25"/>
      <c r="CJ319" s="25"/>
      <c r="CK319" s="25"/>
      <c r="CL319" s="25"/>
      <c r="CM319" s="25"/>
      <c r="CN319" s="25"/>
      <c r="CO319" s="25"/>
      <c r="CP319" s="25"/>
      <c r="CQ319" s="25"/>
      <c r="CR319" s="25"/>
      <c r="CS319" s="25"/>
    </row>
    <row r="320" spans="2:97">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c r="AV320" s="25"/>
      <c r="AW320" s="25"/>
      <c r="AX320" s="25"/>
      <c r="AY320" s="25"/>
      <c r="AZ320" s="25"/>
      <c r="BA320" s="25"/>
      <c r="BB320" s="25"/>
      <c r="BC320" s="25"/>
      <c r="BD320" s="25"/>
      <c r="BE320" s="25"/>
      <c r="BF320" s="25"/>
      <c r="BG320" s="25"/>
      <c r="BH320" s="25"/>
      <c r="BI320" s="25"/>
      <c r="BJ320" s="25"/>
      <c r="BK320" s="25"/>
      <c r="BL320" s="25"/>
      <c r="BM320" s="25"/>
      <c r="BN320" s="25"/>
      <c r="BO320" s="25"/>
      <c r="BP320" s="25"/>
      <c r="BQ320" s="25"/>
      <c r="BR320" s="25"/>
      <c r="BS320" s="25"/>
      <c r="BT320" s="25"/>
      <c r="BU320" s="25"/>
      <c r="BV320" s="25"/>
      <c r="BW320" s="25"/>
      <c r="BX320" s="25"/>
      <c r="BY320" s="25"/>
      <c r="BZ320" s="25"/>
      <c r="CA320" s="25"/>
      <c r="CB320" s="25"/>
      <c r="CC320" s="25"/>
      <c r="CD320" s="25"/>
      <c r="CE320" s="25"/>
      <c r="CF320" s="25"/>
      <c r="CG320" s="25"/>
      <c r="CH320" s="25"/>
      <c r="CI320" s="25"/>
      <c r="CJ320" s="25"/>
      <c r="CK320" s="25"/>
      <c r="CL320" s="25"/>
      <c r="CM320" s="25"/>
      <c r="CN320" s="25"/>
      <c r="CO320" s="25"/>
      <c r="CP320" s="25"/>
      <c r="CQ320" s="25"/>
      <c r="CR320" s="25"/>
      <c r="CS320" s="25"/>
    </row>
    <row r="321" spans="2:97">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c r="AV321" s="25"/>
      <c r="AW321" s="25"/>
      <c r="AX321" s="25"/>
      <c r="AY321" s="25"/>
      <c r="AZ321" s="25"/>
      <c r="BA321" s="25"/>
      <c r="BB321" s="25"/>
      <c r="BC321" s="25"/>
      <c r="BD321" s="25"/>
      <c r="BE321" s="25"/>
      <c r="BF321" s="25"/>
      <c r="BG321" s="25"/>
      <c r="BH321" s="25"/>
      <c r="BI321" s="25"/>
      <c r="BJ321" s="25"/>
      <c r="BK321" s="25"/>
      <c r="BL321" s="25"/>
      <c r="BM321" s="25"/>
      <c r="BN321" s="25"/>
      <c r="BO321" s="25"/>
      <c r="BP321" s="25"/>
      <c r="BQ321" s="25"/>
      <c r="BR321" s="25"/>
      <c r="BS321" s="25"/>
      <c r="BT321" s="25"/>
      <c r="BU321" s="25"/>
      <c r="BV321" s="25"/>
      <c r="BW321" s="25"/>
      <c r="BX321" s="25"/>
      <c r="BY321" s="25"/>
      <c r="BZ321" s="25"/>
      <c r="CA321" s="25"/>
      <c r="CB321" s="25"/>
      <c r="CC321" s="25"/>
      <c r="CD321" s="25"/>
      <c r="CE321" s="25"/>
      <c r="CF321" s="25"/>
      <c r="CG321" s="25"/>
      <c r="CH321" s="25"/>
      <c r="CI321" s="25"/>
      <c r="CJ321" s="25"/>
      <c r="CK321" s="25"/>
      <c r="CL321" s="25"/>
      <c r="CM321" s="25"/>
      <c r="CN321" s="25"/>
      <c r="CO321" s="25"/>
      <c r="CP321" s="25"/>
      <c r="CQ321" s="25"/>
      <c r="CR321" s="25"/>
      <c r="CS321" s="25"/>
    </row>
    <row r="322" spans="2:97">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c r="AV322" s="25"/>
      <c r="AW322" s="25"/>
      <c r="AX322" s="25"/>
      <c r="AY322" s="25"/>
      <c r="AZ322" s="25"/>
      <c r="BA322" s="25"/>
      <c r="BB322" s="25"/>
      <c r="BC322" s="25"/>
      <c r="BD322" s="25"/>
      <c r="BE322" s="25"/>
      <c r="BF322" s="25"/>
      <c r="BG322" s="25"/>
      <c r="BH322" s="25"/>
      <c r="BI322" s="25"/>
      <c r="BJ322" s="25"/>
      <c r="BK322" s="25"/>
      <c r="BL322" s="25"/>
      <c r="BM322" s="25"/>
      <c r="BN322" s="25"/>
      <c r="BO322" s="25"/>
      <c r="BP322" s="25"/>
      <c r="BQ322" s="25"/>
      <c r="BR322" s="25"/>
      <c r="BS322" s="25"/>
      <c r="BT322" s="25"/>
      <c r="BU322" s="25"/>
      <c r="BV322" s="25"/>
      <c r="BW322" s="25"/>
      <c r="BX322" s="25"/>
      <c r="BY322" s="25"/>
      <c r="BZ322" s="25"/>
      <c r="CA322" s="25"/>
      <c r="CB322" s="25"/>
      <c r="CC322" s="25"/>
      <c r="CD322" s="25"/>
      <c r="CE322" s="25"/>
      <c r="CF322" s="25"/>
      <c r="CG322" s="25"/>
      <c r="CH322" s="25"/>
      <c r="CI322" s="25"/>
      <c r="CJ322" s="25"/>
      <c r="CK322" s="25"/>
      <c r="CL322" s="25"/>
      <c r="CM322" s="25"/>
      <c r="CN322" s="25"/>
      <c r="CO322" s="25"/>
      <c r="CP322" s="25"/>
      <c r="CQ322" s="25"/>
      <c r="CR322" s="25"/>
      <c r="CS322" s="25"/>
    </row>
    <row r="323" spans="2:97">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c r="AV323" s="25"/>
      <c r="AW323" s="25"/>
      <c r="AX323" s="25"/>
      <c r="AY323" s="25"/>
      <c r="AZ323" s="25"/>
      <c r="BA323" s="25"/>
      <c r="BB323" s="25"/>
      <c r="BC323" s="25"/>
      <c r="BD323" s="25"/>
      <c r="BE323" s="25"/>
      <c r="BF323" s="25"/>
      <c r="BG323" s="25"/>
      <c r="BH323" s="25"/>
      <c r="BI323" s="25"/>
      <c r="BJ323" s="25"/>
      <c r="BK323" s="25"/>
      <c r="BL323" s="25"/>
      <c r="BM323" s="25"/>
      <c r="BN323" s="25"/>
      <c r="BO323" s="25"/>
      <c r="BP323" s="25"/>
      <c r="BQ323" s="25"/>
      <c r="BR323" s="25"/>
      <c r="BS323" s="25"/>
      <c r="BT323" s="25"/>
      <c r="BU323" s="25"/>
      <c r="BV323" s="25"/>
      <c r="BW323" s="25"/>
      <c r="BX323" s="25"/>
      <c r="BY323" s="25"/>
      <c r="BZ323" s="25"/>
      <c r="CA323" s="25"/>
      <c r="CB323" s="25"/>
      <c r="CC323" s="25"/>
      <c r="CD323" s="25"/>
      <c r="CE323" s="25"/>
      <c r="CF323" s="25"/>
      <c r="CG323" s="25"/>
      <c r="CH323" s="25"/>
      <c r="CI323" s="25"/>
      <c r="CJ323" s="25"/>
      <c r="CK323" s="25"/>
      <c r="CL323" s="25"/>
      <c r="CM323" s="25"/>
      <c r="CN323" s="25"/>
      <c r="CO323" s="25"/>
      <c r="CP323" s="25"/>
      <c r="CQ323" s="25"/>
      <c r="CR323" s="25"/>
      <c r="CS323" s="25"/>
    </row>
    <row r="324" spans="2:97">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c r="AV324" s="25"/>
      <c r="AW324" s="25"/>
      <c r="AX324" s="25"/>
      <c r="AY324" s="25"/>
      <c r="AZ324" s="25"/>
      <c r="BA324" s="25"/>
      <c r="BB324" s="25"/>
      <c r="BC324" s="25"/>
      <c r="BD324" s="25"/>
      <c r="BE324" s="25"/>
      <c r="BF324" s="25"/>
      <c r="BG324" s="25"/>
      <c r="BH324" s="25"/>
      <c r="BI324" s="25"/>
      <c r="BJ324" s="25"/>
      <c r="BK324" s="25"/>
      <c r="BL324" s="25"/>
      <c r="BM324" s="25"/>
      <c r="BN324" s="25"/>
      <c r="BO324" s="25"/>
      <c r="BP324" s="25"/>
      <c r="BQ324" s="25"/>
      <c r="BR324" s="25"/>
      <c r="BS324" s="25"/>
      <c r="BT324" s="25"/>
      <c r="BU324" s="25"/>
      <c r="BV324" s="25"/>
      <c r="BW324" s="25"/>
      <c r="BX324" s="25"/>
      <c r="BY324" s="25"/>
      <c r="BZ324" s="25"/>
      <c r="CA324" s="25"/>
      <c r="CB324" s="25"/>
      <c r="CC324" s="25"/>
      <c r="CD324" s="25"/>
      <c r="CE324" s="25"/>
      <c r="CF324" s="25"/>
      <c r="CG324" s="25"/>
      <c r="CH324" s="25"/>
      <c r="CI324" s="25"/>
      <c r="CJ324" s="25"/>
      <c r="CK324" s="25"/>
      <c r="CL324" s="25"/>
      <c r="CM324" s="25"/>
      <c r="CN324" s="25"/>
      <c r="CO324" s="25"/>
      <c r="CP324" s="25"/>
      <c r="CQ324" s="25"/>
      <c r="CR324" s="25"/>
      <c r="CS324" s="25"/>
    </row>
    <row r="325" spans="2:97">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c r="AV325" s="25"/>
      <c r="AW325" s="25"/>
      <c r="AX325" s="25"/>
      <c r="AY325" s="25"/>
      <c r="AZ325" s="25"/>
      <c r="BA325" s="25"/>
      <c r="BB325" s="25"/>
      <c r="BC325" s="25"/>
      <c r="BD325" s="25"/>
      <c r="BE325" s="25"/>
      <c r="BF325" s="25"/>
      <c r="BG325" s="25"/>
      <c r="BH325" s="25"/>
      <c r="BI325" s="25"/>
      <c r="BJ325" s="25"/>
      <c r="BK325" s="25"/>
      <c r="BL325" s="25"/>
      <c r="BM325" s="25"/>
      <c r="BN325" s="25"/>
      <c r="BO325" s="25"/>
      <c r="BP325" s="25"/>
      <c r="BQ325" s="25"/>
      <c r="BR325" s="25"/>
      <c r="BS325" s="25"/>
      <c r="BT325" s="25"/>
      <c r="BU325" s="25"/>
      <c r="BV325" s="25"/>
      <c r="BW325" s="25"/>
      <c r="BX325" s="25"/>
      <c r="BY325" s="25"/>
      <c r="BZ325" s="25"/>
      <c r="CA325" s="25"/>
      <c r="CB325" s="25"/>
      <c r="CC325" s="25"/>
      <c r="CD325" s="25"/>
      <c r="CE325" s="25"/>
      <c r="CF325" s="25"/>
      <c r="CG325" s="25"/>
      <c r="CH325" s="25"/>
      <c r="CI325" s="25"/>
      <c r="CJ325" s="25"/>
      <c r="CK325" s="25"/>
      <c r="CL325" s="25"/>
      <c r="CM325" s="25"/>
      <c r="CN325" s="25"/>
      <c r="CO325" s="25"/>
      <c r="CP325" s="25"/>
      <c r="CQ325" s="25"/>
      <c r="CR325" s="25"/>
      <c r="CS325" s="25"/>
    </row>
    <row r="326" spans="2:97">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c r="AV326" s="25"/>
      <c r="AW326" s="25"/>
      <c r="AX326" s="25"/>
      <c r="AY326" s="25"/>
      <c r="AZ326" s="25"/>
      <c r="BA326" s="25"/>
      <c r="BB326" s="25"/>
      <c r="BC326" s="25"/>
      <c r="BD326" s="25"/>
      <c r="BE326" s="25"/>
      <c r="BF326" s="25"/>
      <c r="BG326" s="25"/>
      <c r="BH326" s="25"/>
      <c r="BI326" s="25"/>
      <c r="BJ326" s="25"/>
      <c r="BK326" s="25"/>
      <c r="BL326" s="25"/>
      <c r="BM326" s="25"/>
      <c r="BN326" s="25"/>
      <c r="BO326" s="25"/>
      <c r="BP326" s="25"/>
      <c r="BQ326" s="25"/>
      <c r="BR326" s="25"/>
      <c r="BS326" s="25"/>
      <c r="BT326" s="25"/>
      <c r="BU326" s="25"/>
      <c r="BV326" s="25"/>
      <c r="BW326" s="25"/>
      <c r="BX326" s="25"/>
      <c r="BY326" s="25"/>
      <c r="BZ326" s="25"/>
      <c r="CA326" s="25"/>
      <c r="CB326" s="25"/>
      <c r="CC326" s="25"/>
      <c r="CD326" s="25"/>
      <c r="CE326" s="25"/>
      <c r="CF326" s="25"/>
      <c r="CG326" s="25"/>
      <c r="CH326" s="25"/>
      <c r="CI326" s="25"/>
      <c r="CJ326" s="25"/>
      <c r="CK326" s="25"/>
      <c r="CL326" s="25"/>
      <c r="CM326" s="25"/>
      <c r="CN326" s="25"/>
      <c r="CO326" s="25"/>
      <c r="CP326" s="25"/>
      <c r="CQ326" s="25"/>
      <c r="CR326" s="25"/>
      <c r="CS326" s="25"/>
    </row>
    <row r="327" spans="2:97">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c r="AV327" s="25"/>
      <c r="AW327" s="25"/>
      <c r="AX327" s="25"/>
      <c r="AY327" s="25"/>
      <c r="AZ327" s="25"/>
      <c r="BA327" s="25"/>
      <c r="BB327" s="25"/>
      <c r="BC327" s="25"/>
      <c r="BD327" s="25"/>
      <c r="BE327" s="25"/>
      <c r="BF327" s="25"/>
      <c r="BG327" s="25"/>
      <c r="BH327" s="25"/>
      <c r="BI327" s="25"/>
      <c r="BJ327" s="25"/>
      <c r="BK327" s="25"/>
      <c r="BL327" s="25"/>
      <c r="BM327" s="25"/>
      <c r="BN327" s="25"/>
      <c r="BO327" s="25"/>
      <c r="BP327" s="25"/>
      <c r="BQ327" s="25"/>
      <c r="BR327" s="25"/>
      <c r="BS327" s="25"/>
      <c r="BT327" s="25"/>
      <c r="BU327" s="25"/>
      <c r="BV327" s="25"/>
      <c r="BW327" s="25"/>
      <c r="BX327" s="25"/>
      <c r="BY327" s="25"/>
      <c r="BZ327" s="25"/>
      <c r="CA327" s="25"/>
      <c r="CB327" s="25"/>
      <c r="CC327" s="25"/>
      <c r="CD327" s="25"/>
      <c r="CE327" s="25"/>
      <c r="CF327" s="25"/>
      <c r="CG327" s="25"/>
      <c r="CH327" s="25"/>
      <c r="CI327" s="25"/>
      <c r="CJ327" s="25"/>
      <c r="CK327" s="25"/>
      <c r="CL327" s="25"/>
      <c r="CM327" s="25"/>
      <c r="CN327" s="25"/>
      <c r="CO327" s="25"/>
      <c r="CP327" s="25"/>
      <c r="CQ327" s="25"/>
      <c r="CR327" s="25"/>
      <c r="CS327" s="25"/>
    </row>
    <row r="328" spans="2:97">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c r="AV328" s="25"/>
      <c r="AW328" s="25"/>
      <c r="AX328" s="25"/>
      <c r="AY328" s="25"/>
      <c r="AZ328" s="25"/>
      <c r="BA328" s="25"/>
      <c r="BB328" s="25"/>
      <c r="BC328" s="25"/>
      <c r="BD328" s="25"/>
      <c r="BE328" s="25"/>
      <c r="BF328" s="25"/>
      <c r="BG328" s="25"/>
      <c r="BH328" s="25"/>
      <c r="BI328" s="25"/>
      <c r="BJ328" s="25"/>
      <c r="BK328" s="25"/>
      <c r="BL328" s="25"/>
      <c r="BM328" s="25"/>
      <c r="BN328" s="25"/>
      <c r="BO328" s="25"/>
      <c r="BP328" s="25"/>
      <c r="BQ328" s="25"/>
      <c r="BR328" s="25"/>
      <c r="BS328" s="25"/>
      <c r="BT328" s="25"/>
      <c r="BU328" s="25"/>
      <c r="BV328" s="25"/>
      <c r="BW328" s="25"/>
      <c r="BX328" s="25"/>
      <c r="BY328" s="25"/>
      <c r="BZ328" s="25"/>
      <c r="CA328" s="25"/>
      <c r="CB328" s="25"/>
      <c r="CC328" s="25"/>
      <c r="CD328" s="25"/>
      <c r="CE328" s="25"/>
      <c r="CF328" s="25"/>
      <c r="CG328" s="25"/>
      <c r="CH328" s="25"/>
      <c r="CI328" s="25"/>
      <c r="CJ328" s="25"/>
      <c r="CK328" s="25"/>
      <c r="CL328" s="25"/>
      <c r="CM328" s="25"/>
      <c r="CN328" s="25"/>
      <c r="CO328" s="25"/>
      <c r="CP328" s="25"/>
      <c r="CQ328" s="25"/>
      <c r="CR328" s="25"/>
      <c r="CS328" s="25"/>
    </row>
    <row r="329" spans="2:97">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c r="AV329" s="25"/>
      <c r="AW329" s="25"/>
      <c r="AX329" s="25"/>
      <c r="AY329" s="25"/>
      <c r="AZ329" s="25"/>
      <c r="BA329" s="25"/>
      <c r="BB329" s="25"/>
      <c r="BC329" s="25"/>
      <c r="BD329" s="25"/>
      <c r="BE329" s="25"/>
      <c r="BF329" s="25"/>
      <c r="BG329" s="25"/>
      <c r="BH329" s="25"/>
      <c r="BI329" s="25"/>
      <c r="BJ329" s="25"/>
      <c r="BK329" s="25"/>
      <c r="BL329" s="25"/>
      <c r="BM329" s="25"/>
      <c r="BN329" s="25"/>
      <c r="BO329" s="25"/>
      <c r="BP329" s="25"/>
      <c r="BQ329" s="25"/>
      <c r="BR329" s="25"/>
      <c r="BS329" s="25"/>
      <c r="BT329" s="25"/>
      <c r="BU329" s="25"/>
      <c r="BV329" s="25"/>
      <c r="BW329" s="25"/>
      <c r="BX329" s="25"/>
      <c r="BY329" s="25"/>
      <c r="BZ329" s="25"/>
      <c r="CA329" s="25"/>
      <c r="CB329" s="25"/>
      <c r="CC329" s="25"/>
      <c r="CD329" s="25"/>
      <c r="CE329" s="25"/>
      <c r="CF329" s="25"/>
      <c r="CG329" s="25"/>
      <c r="CH329" s="25"/>
      <c r="CI329" s="25"/>
      <c r="CJ329" s="25"/>
      <c r="CK329" s="25"/>
      <c r="CL329" s="25"/>
      <c r="CM329" s="25"/>
      <c r="CN329" s="25"/>
      <c r="CO329" s="25"/>
      <c r="CP329" s="25"/>
      <c r="CQ329" s="25"/>
      <c r="CR329" s="25"/>
      <c r="CS329" s="25"/>
    </row>
    <row r="330" spans="2:97">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c r="AV330" s="25"/>
      <c r="AW330" s="25"/>
      <c r="AX330" s="25"/>
      <c r="AY330" s="25"/>
      <c r="AZ330" s="25"/>
      <c r="BA330" s="25"/>
      <c r="BB330" s="25"/>
      <c r="BC330" s="25"/>
      <c r="BD330" s="25"/>
      <c r="BE330" s="25"/>
      <c r="BF330" s="25"/>
      <c r="BG330" s="25"/>
      <c r="BH330" s="25"/>
      <c r="BI330" s="25"/>
      <c r="BJ330" s="25"/>
      <c r="BK330" s="25"/>
      <c r="BL330" s="25"/>
      <c r="BM330" s="25"/>
      <c r="BN330" s="25"/>
      <c r="BO330" s="25"/>
      <c r="BP330" s="25"/>
      <c r="BQ330" s="25"/>
      <c r="BR330" s="25"/>
      <c r="BS330" s="25"/>
      <c r="BT330" s="25"/>
      <c r="BU330" s="25"/>
      <c r="BV330" s="25"/>
      <c r="BW330" s="25"/>
      <c r="BX330" s="25"/>
      <c r="BY330" s="25"/>
      <c r="BZ330" s="25"/>
      <c r="CA330" s="25"/>
      <c r="CB330" s="25"/>
      <c r="CC330" s="25"/>
      <c r="CD330" s="25"/>
      <c r="CE330" s="25"/>
      <c r="CF330" s="25"/>
      <c r="CG330" s="25"/>
      <c r="CH330" s="25"/>
      <c r="CI330" s="25"/>
      <c r="CJ330" s="25"/>
      <c r="CK330" s="25"/>
      <c r="CL330" s="25"/>
      <c r="CM330" s="25"/>
      <c r="CN330" s="25"/>
      <c r="CO330" s="25"/>
      <c r="CP330" s="25"/>
      <c r="CQ330" s="25"/>
      <c r="CR330" s="25"/>
      <c r="CS330" s="25"/>
    </row>
    <row r="331" spans="2:97">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c r="AV331" s="25"/>
      <c r="AW331" s="25"/>
      <c r="AX331" s="25"/>
      <c r="AY331" s="25"/>
      <c r="AZ331" s="25"/>
      <c r="BA331" s="25"/>
      <c r="BB331" s="25"/>
      <c r="BC331" s="25"/>
      <c r="BD331" s="25"/>
      <c r="BE331" s="25"/>
      <c r="BF331" s="25"/>
      <c r="BG331" s="25"/>
      <c r="BH331" s="25"/>
      <c r="BI331" s="25"/>
      <c r="BJ331" s="25"/>
      <c r="BK331" s="25"/>
      <c r="BL331" s="25"/>
      <c r="BM331" s="25"/>
      <c r="BN331" s="25"/>
      <c r="BO331" s="25"/>
      <c r="BP331" s="25"/>
      <c r="BQ331" s="25"/>
      <c r="BR331" s="25"/>
      <c r="BS331" s="25"/>
      <c r="BT331" s="25"/>
      <c r="BU331" s="25"/>
      <c r="BV331" s="25"/>
      <c r="BW331" s="25"/>
      <c r="BX331" s="25"/>
      <c r="BY331" s="25"/>
      <c r="BZ331" s="25"/>
      <c r="CA331" s="25"/>
      <c r="CB331" s="25"/>
      <c r="CC331" s="25"/>
      <c r="CD331" s="25"/>
      <c r="CE331" s="25"/>
      <c r="CF331" s="25"/>
      <c r="CG331" s="25"/>
      <c r="CH331" s="25"/>
      <c r="CI331" s="25"/>
      <c r="CJ331" s="25"/>
      <c r="CK331" s="25"/>
      <c r="CL331" s="25"/>
      <c r="CM331" s="25"/>
      <c r="CN331" s="25"/>
      <c r="CO331" s="25"/>
      <c r="CP331" s="25"/>
      <c r="CQ331" s="25"/>
      <c r="CR331" s="25"/>
      <c r="CS331" s="25"/>
    </row>
    <row r="332" spans="2:97">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c r="AV332" s="25"/>
      <c r="AW332" s="25"/>
      <c r="AX332" s="25"/>
      <c r="AY332" s="25"/>
      <c r="AZ332" s="25"/>
      <c r="BA332" s="25"/>
      <c r="BB332" s="25"/>
      <c r="BC332" s="25"/>
      <c r="BD332" s="25"/>
      <c r="BE332" s="25"/>
      <c r="BF332" s="25"/>
      <c r="BG332" s="25"/>
      <c r="BH332" s="25"/>
      <c r="BI332" s="25"/>
      <c r="BJ332" s="25"/>
      <c r="BK332" s="25"/>
      <c r="BL332" s="25"/>
      <c r="BM332" s="25"/>
      <c r="BN332" s="25"/>
      <c r="BO332" s="25"/>
      <c r="BP332" s="25"/>
      <c r="BQ332" s="25"/>
      <c r="BR332" s="25"/>
      <c r="BS332" s="25"/>
      <c r="BT332" s="25"/>
      <c r="BU332" s="25"/>
      <c r="BV332" s="25"/>
      <c r="BW332" s="25"/>
      <c r="BX332" s="25"/>
      <c r="BY332" s="25"/>
      <c r="BZ332" s="25"/>
      <c r="CA332" s="25"/>
      <c r="CB332" s="25"/>
      <c r="CC332" s="25"/>
      <c r="CD332" s="25"/>
      <c r="CE332" s="25"/>
      <c r="CF332" s="25"/>
      <c r="CG332" s="25"/>
      <c r="CH332" s="25"/>
      <c r="CI332" s="25"/>
      <c r="CJ332" s="25"/>
      <c r="CK332" s="25"/>
      <c r="CL332" s="25"/>
      <c r="CM332" s="25"/>
      <c r="CN332" s="25"/>
      <c r="CO332" s="25"/>
      <c r="CP332" s="25"/>
      <c r="CQ332" s="25"/>
      <c r="CR332" s="25"/>
      <c r="CS332" s="25"/>
    </row>
    <row r="333" spans="2:97">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c r="AV333" s="25"/>
      <c r="AW333" s="25"/>
      <c r="AX333" s="25"/>
      <c r="AY333" s="25"/>
      <c r="AZ333" s="25"/>
      <c r="BA333" s="25"/>
      <c r="BB333" s="25"/>
      <c r="BC333" s="25"/>
      <c r="BD333" s="25"/>
      <c r="BE333" s="25"/>
      <c r="BF333" s="25"/>
      <c r="BG333" s="25"/>
      <c r="BH333" s="25"/>
      <c r="BI333" s="25"/>
      <c r="BJ333" s="25"/>
      <c r="BK333" s="25"/>
      <c r="BL333" s="25"/>
      <c r="BM333" s="25"/>
      <c r="BN333" s="25"/>
      <c r="BO333" s="25"/>
      <c r="BP333" s="25"/>
      <c r="BQ333" s="25"/>
      <c r="BR333" s="25"/>
      <c r="BS333" s="25"/>
      <c r="BT333" s="25"/>
      <c r="BU333" s="25"/>
      <c r="BV333" s="25"/>
      <c r="BW333" s="25"/>
      <c r="BX333" s="25"/>
      <c r="BY333" s="25"/>
      <c r="BZ333" s="25"/>
      <c r="CA333" s="25"/>
      <c r="CB333" s="25"/>
      <c r="CC333" s="25"/>
      <c r="CD333" s="25"/>
      <c r="CE333" s="25"/>
      <c r="CF333" s="25"/>
      <c r="CG333" s="25"/>
      <c r="CH333" s="25"/>
      <c r="CI333" s="25"/>
      <c r="CJ333" s="25"/>
      <c r="CK333" s="25"/>
      <c r="CL333" s="25"/>
      <c r="CM333" s="25"/>
      <c r="CN333" s="25"/>
      <c r="CO333" s="25"/>
      <c r="CP333" s="25"/>
      <c r="CQ333" s="25"/>
      <c r="CR333" s="25"/>
      <c r="CS333" s="25"/>
    </row>
    <row r="334" spans="2:97">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c r="AV334" s="25"/>
      <c r="AW334" s="25"/>
      <c r="AX334" s="25"/>
      <c r="AY334" s="25"/>
      <c r="AZ334" s="25"/>
      <c r="BA334" s="25"/>
      <c r="BB334" s="25"/>
      <c r="BC334" s="25"/>
      <c r="BD334" s="25"/>
      <c r="BE334" s="25"/>
      <c r="BF334" s="25"/>
      <c r="BG334" s="25"/>
      <c r="BH334" s="25"/>
      <c r="BI334" s="25"/>
      <c r="BJ334" s="25"/>
      <c r="BK334" s="25"/>
      <c r="BL334" s="25"/>
      <c r="BM334" s="25"/>
      <c r="BN334" s="25"/>
      <c r="BO334" s="25"/>
      <c r="BP334" s="25"/>
      <c r="BQ334" s="25"/>
      <c r="BR334" s="25"/>
      <c r="BS334" s="25"/>
      <c r="BT334" s="25"/>
      <c r="BU334" s="25"/>
      <c r="BV334" s="25"/>
      <c r="BW334" s="25"/>
      <c r="BX334" s="25"/>
      <c r="BY334" s="25"/>
      <c r="BZ334" s="25"/>
      <c r="CA334" s="25"/>
      <c r="CB334" s="25"/>
      <c r="CC334" s="25"/>
      <c r="CD334" s="25"/>
      <c r="CE334" s="25"/>
      <c r="CF334" s="25"/>
      <c r="CG334" s="25"/>
      <c r="CH334" s="25"/>
      <c r="CI334" s="25"/>
      <c r="CJ334" s="25"/>
      <c r="CK334" s="25"/>
      <c r="CL334" s="25"/>
      <c r="CM334" s="25"/>
      <c r="CN334" s="25"/>
      <c r="CO334" s="25"/>
      <c r="CP334" s="25"/>
      <c r="CQ334" s="25"/>
      <c r="CR334" s="25"/>
      <c r="CS334" s="25"/>
    </row>
    <row r="335" spans="2:97">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c r="AV335" s="25"/>
      <c r="AW335" s="25"/>
      <c r="AX335" s="25"/>
      <c r="AY335" s="25"/>
      <c r="AZ335" s="25"/>
      <c r="BA335" s="25"/>
      <c r="BB335" s="25"/>
      <c r="BC335" s="25"/>
      <c r="BD335" s="25"/>
      <c r="BE335" s="25"/>
      <c r="BF335" s="25"/>
      <c r="BG335" s="25"/>
      <c r="BH335" s="25"/>
      <c r="BI335" s="25"/>
      <c r="BJ335" s="25"/>
      <c r="BK335" s="25"/>
      <c r="BL335" s="25"/>
      <c r="BM335" s="25"/>
      <c r="BN335" s="25"/>
      <c r="BO335" s="25"/>
      <c r="BP335" s="25"/>
      <c r="BQ335" s="25"/>
      <c r="BR335" s="25"/>
      <c r="BS335" s="25"/>
      <c r="BT335" s="25"/>
      <c r="BU335" s="25"/>
      <c r="BV335" s="25"/>
      <c r="BW335" s="25"/>
      <c r="BX335" s="25"/>
      <c r="BY335" s="25"/>
      <c r="BZ335" s="25"/>
      <c r="CA335" s="25"/>
      <c r="CB335" s="25"/>
      <c r="CC335" s="25"/>
      <c r="CD335" s="25"/>
      <c r="CE335" s="25"/>
      <c r="CF335" s="25"/>
      <c r="CG335" s="25"/>
      <c r="CH335" s="25"/>
      <c r="CI335" s="25"/>
      <c r="CJ335" s="25"/>
      <c r="CK335" s="25"/>
      <c r="CL335" s="25"/>
      <c r="CM335" s="25"/>
      <c r="CN335" s="25"/>
      <c r="CO335" s="25"/>
      <c r="CP335" s="25"/>
      <c r="CQ335" s="25"/>
      <c r="CR335" s="25"/>
      <c r="CS335" s="25"/>
    </row>
    <row r="336" spans="2:97">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c r="AV336" s="25"/>
      <c r="AW336" s="25"/>
      <c r="AX336" s="25"/>
      <c r="AY336" s="25"/>
      <c r="AZ336" s="25"/>
      <c r="BA336" s="25"/>
      <c r="BB336" s="25"/>
      <c r="BC336" s="25"/>
      <c r="BD336" s="25"/>
      <c r="BE336" s="25"/>
      <c r="BF336" s="25"/>
      <c r="BG336" s="25"/>
      <c r="BH336" s="25"/>
      <c r="BI336" s="25"/>
      <c r="BJ336" s="25"/>
      <c r="BK336" s="25"/>
      <c r="BL336" s="25"/>
      <c r="BM336" s="25"/>
      <c r="BN336" s="25"/>
      <c r="BO336" s="25"/>
      <c r="BP336" s="25"/>
      <c r="BQ336" s="25"/>
      <c r="BR336" s="25"/>
      <c r="BS336" s="25"/>
      <c r="BT336" s="25"/>
      <c r="BU336" s="25"/>
      <c r="BV336" s="25"/>
      <c r="BW336" s="25"/>
      <c r="BX336" s="25"/>
      <c r="BY336" s="25"/>
      <c r="BZ336" s="25"/>
      <c r="CA336" s="25"/>
      <c r="CB336" s="25"/>
      <c r="CC336" s="25"/>
      <c r="CD336" s="25"/>
      <c r="CE336" s="25"/>
      <c r="CF336" s="25"/>
      <c r="CG336" s="25"/>
      <c r="CH336" s="25"/>
      <c r="CI336" s="25"/>
      <c r="CJ336" s="25"/>
      <c r="CK336" s="25"/>
      <c r="CL336" s="25"/>
      <c r="CM336" s="25"/>
      <c r="CN336" s="25"/>
      <c r="CO336" s="25"/>
      <c r="CP336" s="25"/>
      <c r="CQ336" s="25"/>
      <c r="CR336" s="25"/>
      <c r="CS336" s="25"/>
    </row>
    <row r="337" spans="2:97">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c r="AV337" s="25"/>
      <c r="AW337" s="25"/>
      <c r="AX337" s="25"/>
      <c r="AY337" s="25"/>
      <c r="AZ337" s="25"/>
      <c r="BA337" s="25"/>
      <c r="BB337" s="25"/>
      <c r="BC337" s="25"/>
      <c r="BD337" s="25"/>
      <c r="BE337" s="25"/>
      <c r="BF337" s="25"/>
      <c r="BG337" s="25"/>
      <c r="BH337" s="25"/>
      <c r="BI337" s="25"/>
      <c r="BJ337" s="25"/>
      <c r="BK337" s="25"/>
      <c r="BL337" s="25"/>
      <c r="BM337" s="25"/>
      <c r="BN337" s="25"/>
      <c r="BO337" s="25"/>
      <c r="BP337" s="25"/>
      <c r="BQ337" s="25"/>
      <c r="BR337" s="25"/>
      <c r="BS337" s="25"/>
      <c r="BT337" s="25"/>
      <c r="BU337" s="25"/>
      <c r="BV337" s="25"/>
      <c r="BW337" s="25"/>
      <c r="BX337" s="25"/>
      <c r="BY337" s="25"/>
      <c r="BZ337" s="25"/>
      <c r="CA337" s="25"/>
      <c r="CB337" s="25"/>
      <c r="CC337" s="25"/>
      <c r="CD337" s="25"/>
      <c r="CE337" s="25"/>
      <c r="CF337" s="25"/>
      <c r="CG337" s="25"/>
      <c r="CH337" s="25"/>
      <c r="CI337" s="25"/>
      <c r="CJ337" s="25"/>
      <c r="CK337" s="25"/>
      <c r="CL337" s="25"/>
      <c r="CM337" s="25"/>
      <c r="CN337" s="25"/>
      <c r="CO337" s="25"/>
      <c r="CP337" s="25"/>
      <c r="CQ337" s="25"/>
      <c r="CR337" s="25"/>
      <c r="CS337" s="25"/>
    </row>
    <row r="338" spans="2:97">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c r="AV338" s="25"/>
      <c r="AW338" s="25"/>
      <c r="AX338" s="25"/>
      <c r="AY338" s="25"/>
      <c r="AZ338" s="25"/>
      <c r="BA338" s="25"/>
      <c r="BB338" s="25"/>
      <c r="BC338" s="25"/>
      <c r="BD338" s="25"/>
      <c r="BE338" s="25"/>
      <c r="BF338" s="25"/>
      <c r="BG338" s="25"/>
      <c r="BH338" s="25"/>
      <c r="BI338" s="25"/>
      <c r="BJ338" s="25"/>
      <c r="BK338" s="25"/>
      <c r="BL338" s="25"/>
      <c r="BM338" s="25"/>
      <c r="BN338" s="25"/>
      <c r="BO338" s="25"/>
      <c r="BP338" s="25"/>
      <c r="BQ338" s="25"/>
      <c r="BR338" s="25"/>
      <c r="BS338" s="25"/>
      <c r="BT338" s="25"/>
      <c r="BU338" s="25"/>
      <c r="BV338" s="25"/>
      <c r="BW338" s="25"/>
      <c r="BX338" s="25"/>
      <c r="BY338" s="25"/>
      <c r="BZ338" s="25"/>
      <c r="CA338" s="25"/>
      <c r="CB338" s="25"/>
      <c r="CC338" s="25"/>
      <c r="CD338" s="25"/>
      <c r="CE338" s="25"/>
      <c r="CF338" s="25"/>
      <c r="CG338" s="25"/>
      <c r="CH338" s="25"/>
      <c r="CI338" s="25"/>
      <c r="CJ338" s="25"/>
      <c r="CK338" s="25"/>
      <c r="CL338" s="25"/>
      <c r="CM338" s="25"/>
      <c r="CN338" s="25"/>
      <c r="CO338" s="25"/>
      <c r="CP338" s="25"/>
      <c r="CQ338" s="25"/>
      <c r="CR338" s="25"/>
      <c r="CS338" s="25"/>
    </row>
    <row r="339" spans="2:97">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c r="AV339" s="25"/>
      <c r="AW339" s="25"/>
      <c r="AX339" s="25"/>
      <c r="AY339" s="25"/>
      <c r="AZ339" s="25"/>
      <c r="BA339" s="25"/>
      <c r="BB339" s="25"/>
      <c r="BC339" s="25"/>
      <c r="BD339" s="25"/>
      <c r="BE339" s="25"/>
      <c r="BF339" s="25"/>
      <c r="BG339" s="25"/>
      <c r="BH339" s="25"/>
      <c r="BI339" s="25"/>
      <c r="BJ339" s="25"/>
      <c r="BK339" s="25"/>
      <c r="BL339" s="25"/>
      <c r="BM339" s="25"/>
      <c r="BN339" s="25"/>
      <c r="BO339" s="25"/>
      <c r="BP339" s="25"/>
      <c r="BQ339" s="25"/>
      <c r="BR339" s="25"/>
      <c r="BS339" s="25"/>
      <c r="BT339" s="25"/>
      <c r="BU339" s="25"/>
      <c r="BV339" s="25"/>
      <c r="BW339" s="25"/>
      <c r="BX339" s="25"/>
      <c r="BY339" s="25"/>
      <c r="BZ339" s="25"/>
      <c r="CA339" s="25"/>
      <c r="CB339" s="25"/>
      <c r="CC339" s="25"/>
      <c r="CD339" s="25"/>
      <c r="CE339" s="25"/>
      <c r="CF339" s="25"/>
      <c r="CG339" s="25"/>
      <c r="CH339" s="25"/>
      <c r="CI339" s="25"/>
      <c r="CJ339" s="25"/>
      <c r="CK339" s="25"/>
      <c r="CL339" s="25"/>
      <c r="CM339" s="25"/>
      <c r="CN339" s="25"/>
      <c r="CO339" s="25"/>
      <c r="CP339" s="25"/>
      <c r="CQ339" s="25"/>
      <c r="CR339" s="25"/>
      <c r="CS339" s="25"/>
    </row>
    <row r="340" spans="2:97">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c r="AV340" s="25"/>
      <c r="AW340" s="25"/>
      <c r="AX340" s="25"/>
      <c r="AY340" s="25"/>
      <c r="AZ340" s="25"/>
      <c r="BA340" s="25"/>
      <c r="BB340" s="25"/>
      <c r="BC340" s="25"/>
      <c r="BD340" s="25"/>
      <c r="BE340" s="25"/>
      <c r="BF340" s="25"/>
      <c r="BG340" s="25"/>
      <c r="BH340" s="25"/>
      <c r="BI340" s="25"/>
      <c r="BJ340" s="25"/>
      <c r="BK340" s="25"/>
      <c r="BL340" s="25"/>
      <c r="BM340" s="25"/>
      <c r="BN340" s="25"/>
      <c r="BO340" s="25"/>
      <c r="BP340" s="25"/>
      <c r="BQ340" s="25"/>
      <c r="BR340" s="25"/>
      <c r="BS340" s="25"/>
      <c r="BT340" s="25"/>
      <c r="BU340" s="25"/>
      <c r="BV340" s="25"/>
      <c r="BW340" s="25"/>
      <c r="BX340" s="25"/>
      <c r="BY340" s="25"/>
      <c r="BZ340" s="25"/>
      <c r="CA340" s="25"/>
      <c r="CB340" s="25"/>
      <c r="CC340" s="25"/>
      <c r="CD340" s="25"/>
      <c r="CE340" s="25"/>
      <c r="CF340" s="25"/>
      <c r="CG340" s="25"/>
      <c r="CH340" s="25"/>
      <c r="CI340" s="25"/>
      <c r="CJ340" s="25"/>
      <c r="CK340" s="25"/>
      <c r="CL340" s="25"/>
      <c r="CM340" s="25"/>
      <c r="CN340" s="25"/>
      <c r="CO340" s="25"/>
      <c r="CP340" s="25"/>
      <c r="CQ340" s="25"/>
      <c r="CR340" s="25"/>
      <c r="CS340" s="25"/>
    </row>
    <row r="341" spans="2:97">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c r="AV341" s="25"/>
      <c r="AW341" s="25"/>
      <c r="AX341" s="25"/>
      <c r="AY341" s="25"/>
      <c r="AZ341" s="25"/>
      <c r="BA341" s="25"/>
      <c r="BB341" s="25"/>
      <c r="BC341" s="25"/>
      <c r="BD341" s="25"/>
      <c r="BE341" s="25"/>
      <c r="BF341" s="25"/>
      <c r="BG341" s="25"/>
      <c r="BH341" s="25"/>
      <c r="BI341" s="25"/>
      <c r="BJ341" s="25"/>
      <c r="BK341" s="25"/>
      <c r="BL341" s="25"/>
      <c r="BM341" s="25"/>
      <c r="BN341" s="25"/>
      <c r="BO341" s="25"/>
      <c r="BP341" s="25"/>
      <c r="BQ341" s="25"/>
      <c r="BR341" s="25"/>
      <c r="BS341" s="25"/>
      <c r="BT341" s="25"/>
      <c r="BU341" s="25"/>
      <c r="BV341" s="25"/>
      <c r="BW341" s="25"/>
      <c r="BX341" s="25"/>
      <c r="BY341" s="25"/>
      <c r="BZ341" s="25"/>
      <c r="CA341" s="25"/>
      <c r="CB341" s="25"/>
      <c r="CC341" s="25"/>
      <c r="CD341" s="25"/>
      <c r="CE341" s="25"/>
      <c r="CF341" s="25"/>
      <c r="CG341" s="25"/>
      <c r="CH341" s="25"/>
      <c r="CI341" s="25"/>
      <c r="CJ341" s="25"/>
      <c r="CK341" s="25"/>
      <c r="CL341" s="25"/>
      <c r="CM341" s="25"/>
      <c r="CN341" s="25"/>
      <c r="CO341" s="25"/>
      <c r="CP341" s="25"/>
      <c r="CQ341" s="25"/>
      <c r="CR341" s="25"/>
      <c r="CS341" s="25"/>
    </row>
    <row r="342" spans="2:97">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c r="AV342" s="25"/>
      <c r="AW342" s="25"/>
      <c r="AX342" s="25"/>
      <c r="AY342" s="25"/>
      <c r="AZ342" s="25"/>
      <c r="BA342" s="25"/>
      <c r="BB342" s="25"/>
      <c r="BC342" s="25"/>
      <c r="BD342" s="25"/>
      <c r="BE342" s="25"/>
      <c r="BF342" s="25"/>
      <c r="BG342" s="25"/>
      <c r="BH342" s="25"/>
      <c r="BI342" s="25"/>
      <c r="BJ342" s="25"/>
      <c r="BK342" s="25"/>
      <c r="BL342" s="25"/>
      <c r="BM342" s="25"/>
      <c r="BN342" s="25"/>
      <c r="BO342" s="25"/>
      <c r="BP342" s="25"/>
      <c r="BQ342" s="25"/>
      <c r="BR342" s="25"/>
      <c r="BS342" s="25"/>
      <c r="BT342" s="25"/>
      <c r="BU342" s="25"/>
      <c r="BV342" s="25"/>
      <c r="BW342" s="25"/>
      <c r="BX342" s="25"/>
      <c r="BY342" s="25"/>
      <c r="BZ342" s="25"/>
      <c r="CA342" s="25"/>
      <c r="CB342" s="25"/>
      <c r="CC342" s="25"/>
      <c r="CD342" s="25"/>
      <c r="CE342" s="25"/>
      <c r="CF342" s="25"/>
      <c r="CG342" s="25"/>
      <c r="CH342" s="25"/>
      <c r="CI342" s="25"/>
      <c r="CJ342" s="25"/>
      <c r="CK342" s="25"/>
      <c r="CL342" s="25"/>
      <c r="CM342" s="25"/>
      <c r="CN342" s="25"/>
      <c r="CO342" s="25"/>
      <c r="CP342" s="25"/>
      <c r="CQ342" s="25"/>
      <c r="CR342" s="25"/>
      <c r="CS342" s="25"/>
    </row>
    <row r="343" spans="2:97">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c r="AV343" s="25"/>
      <c r="AW343" s="25"/>
      <c r="AX343" s="25"/>
      <c r="AY343" s="25"/>
      <c r="AZ343" s="25"/>
      <c r="BA343" s="25"/>
      <c r="BB343" s="25"/>
      <c r="BC343" s="25"/>
      <c r="BD343" s="25"/>
      <c r="BE343" s="25"/>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c r="CB343" s="25"/>
      <c r="CC343" s="25"/>
      <c r="CD343" s="25"/>
      <c r="CE343" s="25"/>
      <c r="CF343" s="25"/>
      <c r="CG343" s="25"/>
      <c r="CH343" s="25"/>
      <c r="CI343" s="25"/>
      <c r="CJ343" s="25"/>
      <c r="CK343" s="25"/>
      <c r="CL343" s="25"/>
      <c r="CM343" s="25"/>
      <c r="CN343" s="25"/>
      <c r="CO343" s="25"/>
      <c r="CP343" s="25"/>
      <c r="CQ343" s="25"/>
      <c r="CR343" s="25"/>
      <c r="CS343" s="25"/>
    </row>
    <row r="344" spans="2:97">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c r="AV344" s="25"/>
      <c r="AW344" s="25"/>
      <c r="AX344" s="25"/>
      <c r="AY344" s="25"/>
      <c r="AZ344" s="25"/>
      <c r="BA344" s="25"/>
      <c r="BB344" s="25"/>
      <c r="BC344" s="25"/>
      <c r="BD344" s="25"/>
      <c r="BE344" s="25"/>
      <c r="BF344" s="25"/>
      <c r="BG344" s="25"/>
      <c r="BH344" s="25"/>
      <c r="BI344" s="25"/>
      <c r="BJ344" s="25"/>
      <c r="BK344" s="25"/>
      <c r="BL344" s="25"/>
      <c r="BM344" s="25"/>
      <c r="BN344" s="25"/>
      <c r="BO344" s="25"/>
      <c r="BP344" s="25"/>
      <c r="BQ344" s="25"/>
      <c r="BR344" s="25"/>
      <c r="BS344" s="25"/>
      <c r="BT344" s="25"/>
      <c r="BU344" s="25"/>
      <c r="BV344" s="25"/>
      <c r="BW344" s="25"/>
      <c r="BX344" s="25"/>
      <c r="BY344" s="25"/>
      <c r="BZ344" s="25"/>
      <c r="CA344" s="25"/>
      <c r="CB344" s="25"/>
      <c r="CC344" s="25"/>
      <c r="CD344" s="25"/>
      <c r="CE344" s="25"/>
      <c r="CF344" s="25"/>
      <c r="CG344" s="25"/>
      <c r="CH344" s="25"/>
      <c r="CI344" s="25"/>
      <c r="CJ344" s="25"/>
      <c r="CK344" s="25"/>
      <c r="CL344" s="25"/>
      <c r="CM344" s="25"/>
      <c r="CN344" s="25"/>
      <c r="CO344" s="25"/>
      <c r="CP344" s="25"/>
      <c r="CQ344" s="25"/>
      <c r="CR344" s="25"/>
      <c r="CS344" s="25"/>
    </row>
    <row r="345" spans="2:97">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c r="AV345" s="25"/>
      <c r="AW345" s="25"/>
      <c r="AX345" s="25"/>
      <c r="AY345" s="25"/>
      <c r="AZ345" s="25"/>
      <c r="BA345" s="25"/>
      <c r="BB345" s="25"/>
      <c r="BC345" s="25"/>
      <c r="BD345" s="25"/>
      <c r="BE345" s="25"/>
      <c r="BF345" s="25"/>
      <c r="BG345" s="25"/>
      <c r="BH345" s="25"/>
      <c r="BI345" s="25"/>
      <c r="BJ345" s="25"/>
      <c r="BK345" s="25"/>
      <c r="BL345" s="25"/>
      <c r="BM345" s="25"/>
      <c r="BN345" s="25"/>
      <c r="BO345" s="25"/>
      <c r="BP345" s="25"/>
      <c r="BQ345" s="25"/>
      <c r="BR345" s="25"/>
      <c r="BS345" s="25"/>
      <c r="BT345" s="25"/>
      <c r="BU345" s="25"/>
      <c r="BV345" s="25"/>
      <c r="BW345" s="25"/>
      <c r="BX345" s="25"/>
      <c r="BY345" s="25"/>
      <c r="BZ345" s="25"/>
      <c r="CA345" s="25"/>
      <c r="CB345" s="25"/>
      <c r="CC345" s="25"/>
      <c r="CD345" s="25"/>
      <c r="CE345" s="25"/>
      <c r="CF345" s="25"/>
      <c r="CG345" s="25"/>
      <c r="CH345" s="25"/>
      <c r="CI345" s="25"/>
      <c r="CJ345" s="25"/>
      <c r="CK345" s="25"/>
      <c r="CL345" s="25"/>
      <c r="CM345" s="25"/>
      <c r="CN345" s="25"/>
      <c r="CO345" s="25"/>
      <c r="CP345" s="25"/>
      <c r="CQ345" s="25"/>
      <c r="CR345" s="25"/>
      <c r="CS345" s="25"/>
    </row>
    <row r="346" spans="2:97">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c r="AV346" s="25"/>
      <c r="AW346" s="25"/>
      <c r="AX346" s="25"/>
      <c r="AY346" s="25"/>
      <c r="AZ346" s="25"/>
      <c r="BA346" s="25"/>
      <c r="BB346" s="25"/>
      <c r="BC346" s="25"/>
      <c r="BD346" s="25"/>
      <c r="BE346" s="25"/>
      <c r="BF346" s="25"/>
      <c r="BG346" s="25"/>
      <c r="BH346" s="25"/>
      <c r="BI346" s="25"/>
      <c r="BJ346" s="25"/>
      <c r="BK346" s="25"/>
      <c r="BL346" s="25"/>
      <c r="BM346" s="25"/>
      <c r="BN346" s="25"/>
      <c r="BO346" s="25"/>
      <c r="BP346" s="25"/>
      <c r="BQ346" s="25"/>
      <c r="BR346" s="25"/>
      <c r="BS346" s="25"/>
      <c r="BT346" s="25"/>
      <c r="BU346" s="25"/>
      <c r="BV346" s="25"/>
      <c r="BW346" s="25"/>
      <c r="BX346" s="25"/>
      <c r="BY346" s="25"/>
      <c r="BZ346" s="25"/>
      <c r="CA346" s="25"/>
      <c r="CB346" s="25"/>
      <c r="CC346" s="25"/>
      <c r="CD346" s="25"/>
      <c r="CE346" s="25"/>
      <c r="CF346" s="25"/>
      <c r="CG346" s="25"/>
      <c r="CH346" s="25"/>
      <c r="CI346" s="25"/>
      <c r="CJ346" s="25"/>
      <c r="CK346" s="25"/>
      <c r="CL346" s="25"/>
      <c r="CM346" s="25"/>
      <c r="CN346" s="25"/>
      <c r="CO346" s="25"/>
      <c r="CP346" s="25"/>
      <c r="CQ346" s="25"/>
      <c r="CR346" s="25"/>
      <c r="CS346" s="25"/>
    </row>
    <row r="347" spans="2:97">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c r="AV347" s="25"/>
      <c r="AW347" s="25"/>
      <c r="AX347" s="25"/>
      <c r="AY347" s="25"/>
      <c r="AZ347" s="25"/>
      <c r="BA347" s="25"/>
      <c r="BB347" s="25"/>
      <c r="BC347" s="25"/>
      <c r="BD347" s="25"/>
      <c r="BE347" s="25"/>
      <c r="BF347" s="25"/>
      <c r="BG347" s="25"/>
      <c r="BH347" s="25"/>
      <c r="BI347" s="25"/>
      <c r="BJ347" s="25"/>
      <c r="BK347" s="25"/>
      <c r="BL347" s="25"/>
      <c r="BM347" s="25"/>
      <c r="BN347" s="25"/>
      <c r="BO347" s="25"/>
      <c r="BP347" s="25"/>
      <c r="BQ347" s="25"/>
      <c r="BR347" s="25"/>
      <c r="BS347" s="25"/>
      <c r="BT347" s="25"/>
      <c r="BU347" s="25"/>
      <c r="BV347" s="25"/>
      <c r="BW347" s="25"/>
      <c r="BX347" s="25"/>
      <c r="BY347" s="25"/>
      <c r="BZ347" s="25"/>
      <c r="CA347" s="25"/>
      <c r="CB347" s="25"/>
      <c r="CC347" s="25"/>
      <c r="CD347" s="25"/>
      <c r="CE347" s="25"/>
      <c r="CF347" s="25"/>
      <c r="CG347" s="25"/>
      <c r="CH347" s="25"/>
      <c r="CI347" s="25"/>
      <c r="CJ347" s="25"/>
      <c r="CK347" s="25"/>
      <c r="CL347" s="25"/>
      <c r="CM347" s="25"/>
      <c r="CN347" s="25"/>
      <c r="CO347" s="25"/>
      <c r="CP347" s="25"/>
      <c r="CQ347" s="25"/>
      <c r="CR347" s="25"/>
      <c r="CS347" s="25"/>
    </row>
    <row r="348" spans="2:97">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c r="AV348" s="25"/>
      <c r="AW348" s="25"/>
      <c r="AX348" s="25"/>
      <c r="AY348" s="25"/>
      <c r="AZ348" s="25"/>
      <c r="BA348" s="25"/>
      <c r="BB348" s="25"/>
      <c r="BC348" s="25"/>
      <c r="BD348" s="25"/>
      <c r="BE348" s="25"/>
      <c r="BF348" s="25"/>
      <c r="BG348" s="25"/>
      <c r="BH348" s="25"/>
      <c r="BI348" s="25"/>
      <c r="BJ348" s="25"/>
      <c r="BK348" s="25"/>
      <c r="BL348" s="25"/>
      <c r="BM348" s="25"/>
      <c r="BN348" s="25"/>
      <c r="BO348" s="25"/>
      <c r="BP348" s="25"/>
      <c r="BQ348" s="25"/>
      <c r="BR348" s="25"/>
      <c r="BS348" s="25"/>
      <c r="BT348" s="25"/>
      <c r="BU348" s="25"/>
      <c r="BV348" s="25"/>
      <c r="BW348" s="25"/>
      <c r="BX348" s="25"/>
      <c r="BY348" s="25"/>
      <c r="BZ348" s="25"/>
      <c r="CA348" s="25"/>
      <c r="CB348" s="25"/>
      <c r="CC348" s="25"/>
      <c r="CD348" s="25"/>
      <c r="CE348" s="25"/>
      <c r="CF348" s="25"/>
      <c r="CG348" s="25"/>
      <c r="CH348" s="25"/>
      <c r="CI348" s="25"/>
      <c r="CJ348" s="25"/>
      <c r="CK348" s="25"/>
      <c r="CL348" s="25"/>
      <c r="CM348" s="25"/>
      <c r="CN348" s="25"/>
      <c r="CO348" s="25"/>
      <c r="CP348" s="25"/>
      <c r="CQ348" s="25"/>
      <c r="CR348" s="25"/>
      <c r="CS348" s="25"/>
    </row>
    <row r="349" spans="2:97">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c r="AV349" s="25"/>
      <c r="AW349" s="25"/>
      <c r="AX349" s="25"/>
      <c r="AY349" s="25"/>
      <c r="AZ349" s="25"/>
      <c r="BA349" s="25"/>
      <c r="BB349" s="25"/>
      <c r="BC349" s="25"/>
      <c r="BD349" s="25"/>
      <c r="BE349" s="25"/>
      <c r="BF349" s="25"/>
      <c r="BG349" s="25"/>
      <c r="BH349" s="25"/>
      <c r="BI349" s="25"/>
      <c r="BJ349" s="25"/>
      <c r="BK349" s="25"/>
      <c r="BL349" s="25"/>
      <c r="BM349" s="25"/>
      <c r="BN349" s="25"/>
      <c r="BO349" s="25"/>
      <c r="BP349" s="25"/>
      <c r="BQ349" s="25"/>
      <c r="BR349" s="25"/>
      <c r="BS349" s="25"/>
      <c r="BT349" s="25"/>
      <c r="BU349" s="25"/>
      <c r="BV349" s="25"/>
      <c r="BW349" s="25"/>
      <c r="BX349" s="25"/>
      <c r="BY349" s="25"/>
      <c r="BZ349" s="25"/>
      <c r="CA349" s="25"/>
      <c r="CB349" s="25"/>
      <c r="CC349" s="25"/>
      <c r="CD349" s="25"/>
      <c r="CE349" s="25"/>
      <c r="CF349" s="25"/>
      <c r="CG349" s="25"/>
      <c r="CH349" s="25"/>
      <c r="CI349" s="25"/>
      <c r="CJ349" s="25"/>
      <c r="CK349" s="25"/>
      <c r="CL349" s="25"/>
      <c r="CM349" s="25"/>
      <c r="CN349" s="25"/>
      <c r="CO349" s="25"/>
      <c r="CP349" s="25"/>
      <c r="CQ349" s="25"/>
      <c r="CR349" s="25"/>
      <c r="CS349" s="25"/>
    </row>
    <row r="350" spans="2:97">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c r="AV350" s="25"/>
      <c r="AW350" s="25"/>
      <c r="AX350" s="25"/>
      <c r="AY350" s="25"/>
      <c r="AZ350" s="25"/>
      <c r="BA350" s="25"/>
      <c r="BB350" s="25"/>
      <c r="BC350" s="25"/>
      <c r="BD350" s="25"/>
      <c r="BE350" s="25"/>
      <c r="BF350" s="25"/>
      <c r="BG350" s="25"/>
      <c r="BH350" s="25"/>
      <c r="BI350" s="25"/>
      <c r="BJ350" s="25"/>
      <c r="BK350" s="25"/>
      <c r="BL350" s="25"/>
      <c r="BM350" s="25"/>
      <c r="BN350" s="25"/>
      <c r="BO350" s="25"/>
      <c r="BP350" s="25"/>
      <c r="BQ350" s="25"/>
      <c r="BR350" s="25"/>
      <c r="BS350" s="25"/>
      <c r="BT350" s="25"/>
      <c r="BU350" s="25"/>
      <c r="BV350" s="25"/>
      <c r="BW350" s="25"/>
      <c r="BX350" s="25"/>
      <c r="BY350" s="25"/>
      <c r="BZ350" s="25"/>
      <c r="CA350" s="25"/>
      <c r="CB350" s="25"/>
      <c r="CC350" s="25"/>
      <c r="CD350" s="25"/>
      <c r="CE350" s="25"/>
      <c r="CF350" s="25"/>
      <c r="CG350" s="25"/>
      <c r="CH350" s="25"/>
      <c r="CI350" s="25"/>
      <c r="CJ350" s="25"/>
      <c r="CK350" s="25"/>
      <c r="CL350" s="25"/>
      <c r="CM350" s="25"/>
      <c r="CN350" s="25"/>
      <c r="CO350" s="25"/>
      <c r="CP350" s="25"/>
      <c r="CQ350" s="25"/>
      <c r="CR350" s="25"/>
      <c r="CS350" s="25"/>
    </row>
    <row r="351" spans="2:97">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c r="AV351" s="25"/>
      <c r="AW351" s="25"/>
      <c r="AX351" s="25"/>
      <c r="AY351" s="25"/>
      <c r="AZ351" s="25"/>
      <c r="BA351" s="25"/>
      <c r="BB351" s="25"/>
      <c r="BC351" s="25"/>
      <c r="BD351" s="25"/>
      <c r="BE351" s="25"/>
      <c r="BF351" s="25"/>
      <c r="BG351" s="25"/>
      <c r="BH351" s="25"/>
      <c r="BI351" s="25"/>
      <c r="BJ351" s="25"/>
      <c r="BK351" s="25"/>
      <c r="BL351" s="25"/>
      <c r="BM351" s="25"/>
      <c r="BN351" s="25"/>
      <c r="BO351" s="25"/>
      <c r="BP351" s="25"/>
      <c r="BQ351" s="25"/>
      <c r="BR351" s="25"/>
      <c r="BS351" s="25"/>
      <c r="BT351" s="25"/>
      <c r="BU351" s="25"/>
      <c r="BV351" s="25"/>
      <c r="BW351" s="25"/>
      <c r="BX351" s="25"/>
      <c r="BY351" s="25"/>
      <c r="BZ351" s="25"/>
      <c r="CA351" s="25"/>
      <c r="CB351" s="25"/>
      <c r="CC351" s="25"/>
      <c r="CD351" s="25"/>
      <c r="CE351" s="25"/>
      <c r="CF351" s="25"/>
      <c r="CG351" s="25"/>
      <c r="CH351" s="25"/>
      <c r="CI351" s="25"/>
      <c r="CJ351" s="25"/>
      <c r="CK351" s="25"/>
      <c r="CL351" s="25"/>
      <c r="CM351" s="25"/>
      <c r="CN351" s="25"/>
      <c r="CO351" s="25"/>
      <c r="CP351" s="25"/>
      <c r="CQ351" s="25"/>
      <c r="CR351" s="25"/>
      <c r="CS351" s="25"/>
    </row>
    <row r="352" spans="2:97">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c r="AV352" s="25"/>
      <c r="AW352" s="25"/>
      <c r="AX352" s="25"/>
      <c r="AY352" s="25"/>
      <c r="AZ352" s="25"/>
      <c r="BA352" s="25"/>
      <c r="BB352" s="25"/>
      <c r="BC352" s="25"/>
      <c r="BD352" s="25"/>
      <c r="BE352" s="25"/>
      <c r="BF352" s="25"/>
      <c r="BG352" s="25"/>
      <c r="BH352" s="25"/>
      <c r="BI352" s="25"/>
      <c r="BJ352" s="25"/>
      <c r="BK352" s="25"/>
      <c r="BL352" s="25"/>
      <c r="BM352" s="25"/>
      <c r="BN352" s="25"/>
      <c r="BO352" s="25"/>
      <c r="BP352" s="25"/>
      <c r="BQ352" s="25"/>
      <c r="BR352" s="25"/>
      <c r="BS352" s="25"/>
      <c r="BT352" s="25"/>
      <c r="BU352" s="25"/>
      <c r="BV352" s="25"/>
      <c r="BW352" s="25"/>
      <c r="BX352" s="25"/>
      <c r="BY352" s="25"/>
      <c r="BZ352" s="25"/>
      <c r="CA352" s="25"/>
      <c r="CB352" s="25"/>
      <c r="CC352" s="25"/>
      <c r="CD352" s="25"/>
      <c r="CE352" s="25"/>
      <c r="CF352" s="25"/>
      <c r="CG352" s="25"/>
      <c r="CH352" s="25"/>
      <c r="CI352" s="25"/>
      <c r="CJ352" s="25"/>
      <c r="CK352" s="25"/>
      <c r="CL352" s="25"/>
      <c r="CM352" s="25"/>
      <c r="CN352" s="25"/>
      <c r="CO352" s="25"/>
      <c r="CP352" s="25"/>
      <c r="CQ352" s="25"/>
      <c r="CR352" s="25"/>
      <c r="CS352" s="25"/>
    </row>
    <row r="353" spans="2:97">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c r="AV353" s="25"/>
      <c r="AW353" s="25"/>
      <c r="AX353" s="25"/>
      <c r="AY353" s="25"/>
      <c r="AZ353" s="25"/>
      <c r="BA353" s="25"/>
      <c r="BB353" s="25"/>
      <c r="BC353" s="25"/>
      <c r="BD353" s="25"/>
      <c r="BE353" s="25"/>
      <c r="BF353" s="25"/>
      <c r="BG353" s="25"/>
      <c r="BH353" s="25"/>
      <c r="BI353" s="25"/>
      <c r="BJ353" s="25"/>
      <c r="BK353" s="25"/>
      <c r="BL353" s="25"/>
      <c r="BM353" s="25"/>
      <c r="BN353" s="25"/>
      <c r="BO353" s="25"/>
      <c r="BP353" s="25"/>
      <c r="BQ353" s="25"/>
      <c r="BR353" s="25"/>
      <c r="BS353" s="25"/>
      <c r="BT353" s="25"/>
      <c r="BU353" s="25"/>
      <c r="BV353" s="25"/>
      <c r="BW353" s="25"/>
      <c r="BX353" s="25"/>
      <c r="BY353" s="25"/>
      <c r="BZ353" s="25"/>
      <c r="CA353" s="25"/>
      <c r="CB353" s="25"/>
      <c r="CC353" s="25"/>
      <c r="CD353" s="25"/>
      <c r="CE353" s="25"/>
      <c r="CF353" s="25"/>
      <c r="CG353" s="25"/>
      <c r="CH353" s="25"/>
      <c r="CI353" s="25"/>
      <c r="CJ353" s="25"/>
      <c r="CK353" s="25"/>
      <c r="CL353" s="25"/>
      <c r="CM353" s="25"/>
      <c r="CN353" s="25"/>
      <c r="CO353" s="25"/>
      <c r="CP353" s="25"/>
      <c r="CQ353" s="25"/>
      <c r="CR353" s="25"/>
      <c r="CS353" s="25"/>
    </row>
    <row r="354" spans="2:97">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c r="AV354" s="25"/>
      <c r="AW354" s="25"/>
      <c r="AX354" s="25"/>
      <c r="AY354" s="25"/>
      <c r="AZ354" s="25"/>
      <c r="BA354" s="25"/>
      <c r="BB354" s="25"/>
      <c r="BC354" s="25"/>
      <c r="BD354" s="25"/>
      <c r="BE354" s="25"/>
      <c r="BF354" s="25"/>
      <c r="BG354" s="25"/>
      <c r="BH354" s="25"/>
      <c r="BI354" s="25"/>
      <c r="BJ354" s="25"/>
      <c r="BK354" s="25"/>
      <c r="BL354" s="25"/>
      <c r="BM354" s="25"/>
      <c r="BN354" s="25"/>
      <c r="BO354" s="25"/>
      <c r="BP354" s="25"/>
      <c r="BQ354" s="25"/>
      <c r="BR354" s="25"/>
      <c r="BS354" s="25"/>
      <c r="BT354" s="25"/>
      <c r="BU354" s="25"/>
      <c r="BV354" s="25"/>
      <c r="BW354" s="25"/>
      <c r="BX354" s="25"/>
      <c r="BY354" s="25"/>
      <c r="BZ354" s="25"/>
      <c r="CA354" s="25"/>
      <c r="CB354" s="25"/>
      <c r="CC354" s="25"/>
      <c r="CD354" s="25"/>
      <c r="CE354" s="25"/>
      <c r="CF354" s="25"/>
      <c r="CG354" s="25"/>
      <c r="CH354" s="25"/>
      <c r="CI354" s="25"/>
      <c r="CJ354" s="25"/>
      <c r="CK354" s="25"/>
      <c r="CL354" s="25"/>
      <c r="CM354" s="25"/>
      <c r="CN354" s="25"/>
      <c r="CO354" s="25"/>
      <c r="CP354" s="25"/>
      <c r="CQ354" s="25"/>
      <c r="CR354" s="25"/>
      <c r="CS354" s="25"/>
    </row>
    <row r="355" spans="2:97">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c r="AV355" s="25"/>
      <c r="AW355" s="25"/>
      <c r="AX355" s="25"/>
      <c r="AY355" s="25"/>
      <c r="AZ355" s="25"/>
      <c r="BA355" s="25"/>
      <c r="BB355" s="25"/>
      <c r="BC355" s="25"/>
      <c r="BD355" s="25"/>
      <c r="BE355" s="25"/>
      <c r="BF355" s="25"/>
      <c r="BG355" s="25"/>
      <c r="BH355" s="25"/>
      <c r="BI355" s="25"/>
      <c r="BJ355" s="25"/>
      <c r="BK355" s="25"/>
      <c r="BL355" s="25"/>
      <c r="BM355" s="25"/>
      <c r="BN355" s="25"/>
      <c r="BO355" s="25"/>
      <c r="BP355" s="25"/>
      <c r="BQ355" s="25"/>
      <c r="BR355" s="25"/>
      <c r="BS355" s="25"/>
      <c r="BT355" s="25"/>
      <c r="BU355" s="25"/>
      <c r="BV355" s="25"/>
      <c r="BW355" s="25"/>
      <c r="BX355" s="25"/>
      <c r="BY355" s="25"/>
      <c r="BZ355" s="25"/>
      <c r="CA355" s="25"/>
      <c r="CB355" s="25"/>
      <c r="CC355" s="25"/>
      <c r="CD355" s="25"/>
      <c r="CE355" s="25"/>
      <c r="CF355" s="25"/>
      <c r="CG355" s="25"/>
      <c r="CH355" s="25"/>
      <c r="CI355" s="25"/>
      <c r="CJ355" s="25"/>
      <c r="CK355" s="25"/>
      <c r="CL355" s="25"/>
      <c r="CM355" s="25"/>
      <c r="CN355" s="25"/>
      <c r="CO355" s="25"/>
      <c r="CP355" s="25"/>
      <c r="CQ355" s="25"/>
      <c r="CR355" s="25"/>
      <c r="CS355" s="25"/>
    </row>
    <row r="356" spans="2:97">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c r="AV356" s="25"/>
      <c r="AW356" s="25"/>
      <c r="AX356" s="25"/>
      <c r="AY356" s="25"/>
      <c r="AZ356" s="25"/>
      <c r="BA356" s="25"/>
      <c r="BB356" s="25"/>
      <c r="BC356" s="25"/>
      <c r="BD356" s="25"/>
      <c r="BE356" s="25"/>
      <c r="BF356" s="25"/>
      <c r="BG356" s="25"/>
      <c r="BH356" s="25"/>
      <c r="BI356" s="25"/>
      <c r="BJ356" s="25"/>
      <c r="BK356" s="25"/>
      <c r="BL356" s="25"/>
      <c r="BM356" s="25"/>
      <c r="BN356" s="25"/>
      <c r="BO356" s="25"/>
      <c r="BP356" s="25"/>
      <c r="BQ356" s="25"/>
      <c r="BR356" s="25"/>
      <c r="BS356" s="25"/>
      <c r="BT356" s="25"/>
      <c r="BU356" s="25"/>
      <c r="BV356" s="25"/>
      <c r="BW356" s="25"/>
      <c r="BX356" s="25"/>
      <c r="BY356" s="25"/>
      <c r="BZ356" s="25"/>
      <c r="CA356" s="25"/>
      <c r="CB356" s="25"/>
      <c r="CC356" s="25"/>
      <c r="CD356" s="25"/>
      <c r="CE356" s="25"/>
      <c r="CF356" s="25"/>
      <c r="CG356" s="25"/>
      <c r="CH356" s="25"/>
      <c r="CI356" s="25"/>
      <c r="CJ356" s="25"/>
      <c r="CK356" s="25"/>
      <c r="CL356" s="25"/>
      <c r="CM356" s="25"/>
      <c r="CN356" s="25"/>
      <c r="CO356" s="25"/>
      <c r="CP356" s="25"/>
      <c r="CQ356" s="25"/>
      <c r="CR356" s="25"/>
      <c r="CS356" s="25"/>
    </row>
    <row r="357" spans="2:97">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c r="AV357" s="25"/>
      <c r="AW357" s="25"/>
      <c r="AX357" s="25"/>
      <c r="AY357" s="25"/>
      <c r="AZ357" s="25"/>
      <c r="BA357" s="25"/>
      <c r="BB357" s="25"/>
      <c r="BC357" s="25"/>
      <c r="BD357" s="25"/>
      <c r="BE357" s="25"/>
      <c r="BF357" s="25"/>
      <c r="BG357" s="25"/>
      <c r="BH357" s="25"/>
      <c r="BI357" s="25"/>
      <c r="BJ357" s="25"/>
      <c r="BK357" s="25"/>
      <c r="BL357" s="25"/>
      <c r="BM357" s="25"/>
      <c r="BN357" s="25"/>
      <c r="BO357" s="25"/>
      <c r="BP357" s="25"/>
      <c r="BQ357" s="25"/>
      <c r="BR357" s="25"/>
      <c r="BS357" s="25"/>
      <c r="BT357" s="25"/>
      <c r="BU357" s="25"/>
      <c r="BV357" s="25"/>
      <c r="BW357" s="25"/>
      <c r="BX357" s="25"/>
      <c r="BY357" s="25"/>
      <c r="BZ357" s="25"/>
      <c r="CA357" s="25"/>
      <c r="CB357" s="25"/>
      <c r="CC357" s="25"/>
      <c r="CD357" s="25"/>
      <c r="CE357" s="25"/>
      <c r="CF357" s="25"/>
      <c r="CG357" s="25"/>
      <c r="CH357" s="25"/>
      <c r="CI357" s="25"/>
      <c r="CJ357" s="25"/>
      <c r="CK357" s="25"/>
      <c r="CL357" s="25"/>
      <c r="CM357" s="25"/>
      <c r="CN357" s="25"/>
      <c r="CO357" s="25"/>
      <c r="CP357" s="25"/>
      <c r="CQ357" s="25"/>
      <c r="CR357" s="25"/>
      <c r="CS357" s="25"/>
    </row>
    <row r="358" spans="2:97">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c r="AV358" s="25"/>
      <c r="AW358" s="25"/>
      <c r="AX358" s="25"/>
      <c r="AY358" s="25"/>
      <c r="AZ358" s="25"/>
      <c r="BA358" s="25"/>
      <c r="BB358" s="25"/>
      <c r="BC358" s="25"/>
      <c r="BD358" s="25"/>
      <c r="BE358" s="25"/>
      <c r="BF358" s="25"/>
      <c r="BG358" s="25"/>
      <c r="BH358" s="25"/>
      <c r="BI358" s="25"/>
      <c r="BJ358" s="25"/>
      <c r="BK358" s="25"/>
      <c r="BL358" s="25"/>
      <c r="BM358" s="25"/>
      <c r="BN358" s="25"/>
      <c r="BO358" s="25"/>
      <c r="BP358" s="25"/>
      <c r="BQ358" s="25"/>
      <c r="BR358" s="25"/>
      <c r="BS358" s="25"/>
      <c r="BT358" s="25"/>
      <c r="BU358" s="25"/>
      <c r="BV358" s="25"/>
      <c r="BW358" s="25"/>
      <c r="BX358" s="25"/>
      <c r="BY358" s="25"/>
      <c r="BZ358" s="25"/>
      <c r="CA358" s="25"/>
      <c r="CB358" s="25"/>
      <c r="CC358" s="25"/>
      <c r="CD358" s="25"/>
      <c r="CE358" s="25"/>
      <c r="CF358" s="25"/>
      <c r="CG358" s="25"/>
      <c r="CH358" s="25"/>
      <c r="CI358" s="25"/>
      <c r="CJ358" s="25"/>
      <c r="CK358" s="25"/>
      <c r="CL358" s="25"/>
      <c r="CM358" s="25"/>
      <c r="CN358" s="25"/>
      <c r="CO358" s="25"/>
      <c r="CP358" s="25"/>
      <c r="CQ358" s="25"/>
      <c r="CR358" s="25"/>
      <c r="CS358" s="25"/>
    </row>
    <row r="359" spans="2:97">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c r="AV359" s="25"/>
      <c r="AW359" s="25"/>
      <c r="AX359" s="25"/>
      <c r="AY359" s="25"/>
      <c r="AZ359" s="25"/>
      <c r="BA359" s="25"/>
      <c r="BB359" s="25"/>
      <c r="BC359" s="25"/>
      <c r="BD359" s="25"/>
      <c r="BE359" s="25"/>
      <c r="BF359" s="25"/>
      <c r="BG359" s="25"/>
      <c r="BH359" s="25"/>
      <c r="BI359" s="25"/>
      <c r="BJ359" s="25"/>
      <c r="BK359" s="25"/>
      <c r="BL359" s="25"/>
      <c r="BM359" s="25"/>
      <c r="BN359" s="25"/>
      <c r="BO359" s="25"/>
      <c r="BP359" s="25"/>
      <c r="BQ359" s="25"/>
      <c r="BR359" s="25"/>
      <c r="BS359" s="25"/>
      <c r="BT359" s="25"/>
      <c r="BU359" s="25"/>
      <c r="BV359" s="25"/>
      <c r="BW359" s="25"/>
      <c r="BX359" s="25"/>
      <c r="BY359" s="25"/>
      <c r="BZ359" s="25"/>
      <c r="CA359" s="25"/>
      <c r="CB359" s="25"/>
      <c r="CC359" s="25"/>
      <c r="CD359" s="25"/>
      <c r="CE359" s="25"/>
      <c r="CF359" s="25"/>
      <c r="CG359" s="25"/>
      <c r="CH359" s="25"/>
      <c r="CI359" s="25"/>
      <c r="CJ359" s="25"/>
      <c r="CK359" s="25"/>
      <c r="CL359" s="25"/>
      <c r="CM359" s="25"/>
      <c r="CN359" s="25"/>
      <c r="CO359" s="25"/>
      <c r="CP359" s="25"/>
      <c r="CQ359" s="25"/>
      <c r="CR359" s="25"/>
      <c r="CS359" s="25"/>
    </row>
    <row r="360" spans="2:97">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c r="AV360" s="25"/>
      <c r="AW360" s="25"/>
      <c r="AX360" s="25"/>
      <c r="AY360" s="25"/>
      <c r="AZ360" s="25"/>
      <c r="BA360" s="25"/>
      <c r="BB360" s="25"/>
      <c r="BC360" s="25"/>
      <c r="BD360" s="25"/>
      <c r="BE360" s="25"/>
      <c r="BF360" s="25"/>
      <c r="BG360" s="25"/>
      <c r="BH360" s="25"/>
      <c r="BI360" s="25"/>
      <c r="BJ360" s="25"/>
      <c r="BK360" s="25"/>
      <c r="BL360" s="25"/>
      <c r="BM360" s="25"/>
      <c r="BN360" s="25"/>
      <c r="BO360" s="25"/>
      <c r="BP360" s="25"/>
      <c r="BQ360" s="25"/>
      <c r="BR360" s="25"/>
      <c r="BS360" s="25"/>
      <c r="BT360" s="25"/>
      <c r="BU360" s="25"/>
      <c r="BV360" s="25"/>
      <c r="BW360" s="25"/>
      <c r="BX360" s="25"/>
      <c r="BY360" s="25"/>
      <c r="BZ360" s="25"/>
      <c r="CA360" s="25"/>
      <c r="CB360" s="25"/>
      <c r="CC360" s="25"/>
      <c r="CD360" s="25"/>
      <c r="CE360" s="25"/>
      <c r="CF360" s="25"/>
      <c r="CG360" s="25"/>
      <c r="CH360" s="25"/>
      <c r="CI360" s="25"/>
      <c r="CJ360" s="25"/>
      <c r="CK360" s="25"/>
      <c r="CL360" s="25"/>
      <c r="CM360" s="25"/>
      <c r="CN360" s="25"/>
      <c r="CO360" s="25"/>
      <c r="CP360" s="25"/>
      <c r="CQ360" s="25"/>
      <c r="CR360" s="25"/>
      <c r="CS360" s="25"/>
    </row>
    <row r="361" spans="2:97">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c r="AV361" s="25"/>
      <c r="AW361" s="25"/>
      <c r="AX361" s="25"/>
      <c r="AY361" s="25"/>
      <c r="AZ361" s="25"/>
      <c r="BA361" s="25"/>
      <c r="BB361" s="25"/>
      <c r="BC361" s="25"/>
      <c r="BD361" s="25"/>
      <c r="BE361" s="25"/>
      <c r="BF361" s="25"/>
      <c r="BG361" s="25"/>
      <c r="BH361" s="25"/>
      <c r="BI361" s="25"/>
      <c r="BJ361" s="25"/>
      <c r="BK361" s="25"/>
      <c r="BL361" s="25"/>
      <c r="BM361" s="25"/>
      <c r="BN361" s="25"/>
      <c r="BO361" s="25"/>
      <c r="BP361" s="25"/>
      <c r="BQ361" s="25"/>
      <c r="BR361" s="25"/>
      <c r="BS361" s="25"/>
      <c r="BT361" s="25"/>
      <c r="BU361" s="25"/>
      <c r="BV361" s="25"/>
      <c r="BW361" s="25"/>
      <c r="BX361" s="25"/>
      <c r="BY361" s="25"/>
      <c r="BZ361" s="25"/>
      <c r="CA361" s="25"/>
      <c r="CB361" s="25"/>
      <c r="CC361" s="25"/>
      <c r="CD361" s="25"/>
      <c r="CE361" s="25"/>
      <c r="CF361" s="25"/>
      <c r="CG361" s="25"/>
      <c r="CH361" s="25"/>
      <c r="CI361" s="25"/>
      <c r="CJ361" s="25"/>
      <c r="CK361" s="25"/>
      <c r="CL361" s="25"/>
      <c r="CM361" s="25"/>
      <c r="CN361" s="25"/>
      <c r="CO361" s="25"/>
      <c r="CP361" s="25"/>
      <c r="CQ361" s="25"/>
      <c r="CR361" s="25"/>
      <c r="CS361" s="25"/>
    </row>
    <row r="362" spans="2:97">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c r="AV362" s="25"/>
      <c r="AW362" s="25"/>
      <c r="AX362" s="25"/>
      <c r="AY362" s="25"/>
      <c r="AZ362" s="25"/>
      <c r="BA362" s="25"/>
      <c r="BB362" s="25"/>
      <c r="BC362" s="25"/>
      <c r="BD362" s="25"/>
      <c r="BE362" s="25"/>
      <c r="BF362" s="25"/>
      <c r="BG362" s="25"/>
      <c r="BH362" s="25"/>
      <c r="BI362" s="25"/>
      <c r="BJ362" s="25"/>
      <c r="BK362" s="25"/>
      <c r="BL362" s="25"/>
      <c r="BM362" s="25"/>
      <c r="BN362" s="25"/>
      <c r="BO362" s="25"/>
      <c r="BP362" s="25"/>
      <c r="BQ362" s="25"/>
      <c r="BR362" s="25"/>
      <c r="BS362" s="25"/>
      <c r="BT362" s="25"/>
      <c r="BU362" s="25"/>
      <c r="BV362" s="25"/>
      <c r="BW362" s="25"/>
      <c r="BX362" s="25"/>
      <c r="BY362" s="25"/>
      <c r="BZ362" s="25"/>
      <c r="CA362" s="25"/>
      <c r="CB362" s="25"/>
      <c r="CC362" s="25"/>
      <c r="CD362" s="25"/>
      <c r="CE362" s="25"/>
      <c r="CF362" s="25"/>
      <c r="CG362" s="25"/>
      <c r="CH362" s="25"/>
      <c r="CI362" s="25"/>
      <c r="CJ362" s="25"/>
      <c r="CK362" s="25"/>
      <c r="CL362" s="25"/>
      <c r="CM362" s="25"/>
      <c r="CN362" s="25"/>
      <c r="CO362" s="25"/>
      <c r="CP362" s="25"/>
      <c r="CQ362" s="25"/>
      <c r="CR362" s="25"/>
      <c r="CS362" s="25"/>
    </row>
    <row r="363" spans="2:97">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c r="AV363" s="25"/>
      <c r="AW363" s="25"/>
      <c r="AX363" s="25"/>
      <c r="AY363" s="25"/>
      <c r="AZ363" s="25"/>
      <c r="BA363" s="25"/>
      <c r="BB363" s="25"/>
      <c r="BC363" s="25"/>
      <c r="BD363" s="25"/>
      <c r="BE363" s="25"/>
      <c r="BF363" s="25"/>
      <c r="BG363" s="25"/>
      <c r="BH363" s="25"/>
      <c r="BI363" s="25"/>
      <c r="BJ363" s="25"/>
      <c r="BK363" s="25"/>
      <c r="BL363" s="25"/>
      <c r="BM363" s="25"/>
      <c r="BN363" s="25"/>
      <c r="BO363" s="25"/>
      <c r="BP363" s="25"/>
      <c r="BQ363" s="25"/>
      <c r="BR363" s="25"/>
      <c r="BS363" s="25"/>
      <c r="BT363" s="25"/>
      <c r="BU363" s="25"/>
      <c r="BV363" s="25"/>
      <c r="BW363" s="25"/>
      <c r="BX363" s="25"/>
      <c r="BY363" s="25"/>
      <c r="BZ363" s="25"/>
      <c r="CA363" s="25"/>
      <c r="CB363" s="25"/>
      <c r="CC363" s="25"/>
      <c r="CD363" s="25"/>
      <c r="CE363" s="25"/>
      <c r="CF363" s="25"/>
      <c r="CG363" s="25"/>
      <c r="CH363" s="25"/>
      <c r="CI363" s="25"/>
      <c r="CJ363" s="25"/>
      <c r="CK363" s="25"/>
      <c r="CL363" s="25"/>
      <c r="CM363" s="25"/>
      <c r="CN363" s="25"/>
      <c r="CO363" s="25"/>
      <c r="CP363" s="25"/>
      <c r="CQ363" s="25"/>
      <c r="CR363" s="25"/>
      <c r="CS363" s="25"/>
    </row>
    <row r="364" spans="2:97">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c r="AV364" s="25"/>
      <c r="AW364" s="25"/>
      <c r="AX364" s="25"/>
      <c r="AY364" s="25"/>
      <c r="AZ364" s="25"/>
      <c r="BA364" s="25"/>
      <c r="BB364" s="25"/>
      <c r="BC364" s="25"/>
      <c r="BD364" s="25"/>
      <c r="BE364" s="25"/>
      <c r="BF364" s="25"/>
      <c r="BG364" s="25"/>
      <c r="BH364" s="25"/>
      <c r="BI364" s="25"/>
      <c r="BJ364" s="25"/>
      <c r="BK364" s="25"/>
      <c r="BL364" s="25"/>
      <c r="BM364" s="25"/>
      <c r="BN364" s="25"/>
      <c r="BO364" s="25"/>
      <c r="BP364" s="25"/>
      <c r="BQ364" s="25"/>
      <c r="BR364" s="25"/>
      <c r="BS364" s="25"/>
      <c r="BT364" s="25"/>
      <c r="BU364" s="25"/>
      <c r="BV364" s="25"/>
      <c r="BW364" s="25"/>
      <c r="BX364" s="25"/>
      <c r="BY364" s="25"/>
      <c r="BZ364" s="25"/>
      <c r="CA364" s="25"/>
      <c r="CB364" s="25"/>
      <c r="CC364" s="25"/>
      <c r="CD364" s="25"/>
      <c r="CE364" s="25"/>
      <c r="CF364" s="25"/>
      <c r="CG364" s="25"/>
      <c r="CH364" s="25"/>
      <c r="CI364" s="25"/>
      <c r="CJ364" s="25"/>
      <c r="CK364" s="25"/>
      <c r="CL364" s="25"/>
      <c r="CM364" s="25"/>
      <c r="CN364" s="25"/>
      <c r="CO364" s="25"/>
      <c r="CP364" s="25"/>
      <c r="CQ364" s="25"/>
      <c r="CR364" s="25"/>
      <c r="CS364" s="25"/>
    </row>
    <row r="365" spans="2:97">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c r="AV365" s="25"/>
      <c r="AW365" s="25"/>
      <c r="AX365" s="25"/>
      <c r="AY365" s="25"/>
      <c r="AZ365" s="25"/>
      <c r="BA365" s="25"/>
      <c r="BB365" s="25"/>
      <c r="BC365" s="25"/>
      <c r="BD365" s="25"/>
      <c r="BE365" s="25"/>
      <c r="BF365" s="25"/>
      <c r="BG365" s="25"/>
      <c r="BH365" s="25"/>
      <c r="BI365" s="25"/>
      <c r="BJ365" s="25"/>
      <c r="BK365" s="25"/>
      <c r="BL365" s="25"/>
      <c r="BM365" s="25"/>
      <c r="BN365" s="25"/>
      <c r="BO365" s="25"/>
      <c r="BP365" s="25"/>
      <c r="BQ365" s="25"/>
      <c r="BR365" s="25"/>
      <c r="BS365" s="25"/>
      <c r="BT365" s="25"/>
      <c r="BU365" s="25"/>
      <c r="BV365" s="25"/>
      <c r="BW365" s="25"/>
      <c r="BX365" s="25"/>
      <c r="BY365" s="25"/>
      <c r="BZ365" s="25"/>
      <c r="CA365" s="25"/>
      <c r="CB365" s="25"/>
      <c r="CC365" s="25"/>
      <c r="CD365" s="25"/>
      <c r="CE365" s="25"/>
      <c r="CF365" s="25"/>
      <c r="CG365" s="25"/>
      <c r="CH365" s="25"/>
      <c r="CI365" s="25"/>
      <c r="CJ365" s="25"/>
      <c r="CK365" s="25"/>
      <c r="CL365" s="25"/>
      <c r="CM365" s="25"/>
      <c r="CN365" s="25"/>
      <c r="CO365" s="25"/>
      <c r="CP365" s="25"/>
      <c r="CQ365" s="25"/>
      <c r="CR365" s="25"/>
      <c r="CS365" s="25"/>
    </row>
    <row r="366" spans="2:97">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c r="AV366" s="25"/>
      <c r="AW366" s="25"/>
      <c r="AX366" s="25"/>
      <c r="AY366" s="25"/>
      <c r="AZ366" s="25"/>
      <c r="BA366" s="25"/>
      <c r="BB366" s="25"/>
      <c r="BC366" s="25"/>
      <c r="BD366" s="25"/>
      <c r="BE366" s="25"/>
      <c r="BF366" s="25"/>
      <c r="BG366" s="25"/>
      <c r="BH366" s="25"/>
      <c r="BI366" s="25"/>
      <c r="BJ366" s="25"/>
      <c r="BK366" s="25"/>
      <c r="BL366" s="25"/>
      <c r="BM366" s="25"/>
      <c r="BN366" s="25"/>
      <c r="BO366" s="25"/>
      <c r="BP366" s="25"/>
      <c r="BQ366" s="25"/>
      <c r="BR366" s="25"/>
      <c r="BS366" s="25"/>
      <c r="BT366" s="25"/>
      <c r="BU366" s="25"/>
      <c r="BV366" s="25"/>
      <c r="BW366" s="25"/>
      <c r="BX366" s="25"/>
      <c r="BY366" s="25"/>
      <c r="BZ366" s="25"/>
      <c r="CA366" s="25"/>
      <c r="CB366" s="25"/>
      <c r="CC366" s="25"/>
      <c r="CD366" s="25"/>
      <c r="CE366" s="25"/>
      <c r="CF366" s="25"/>
      <c r="CG366" s="25"/>
      <c r="CH366" s="25"/>
      <c r="CI366" s="25"/>
      <c r="CJ366" s="25"/>
      <c r="CK366" s="25"/>
      <c r="CL366" s="25"/>
      <c r="CM366" s="25"/>
      <c r="CN366" s="25"/>
      <c r="CO366" s="25"/>
      <c r="CP366" s="25"/>
      <c r="CQ366" s="25"/>
      <c r="CR366" s="25"/>
      <c r="CS366" s="25"/>
    </row>
    <row r="367" spans="2:97">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c r="AV367" s="25"/>
      <c r="AW367" s="25"/>
      <c r="AX367" s="25"/>
      <c r="AY367" s="25"/>
      <c r="AZ367" s="25"/>
      <c r="BA367" s="25"/>
      <c r="BB367" s="25"/>
      <c r="BC367" s="25"/>
      <c r="BD367" s="25"/>
      <c r="BE367" s="25"/>
      <c r="BF367" s="25"/>
      <c r="BG367" s="25"/>
      <c r="BH367" s="25"/>
      <c r="BI367" s="25"/>
      <c r="BJ367" s="25"/>
      <c r="BK367" s="25"/>
      <c r="BL367" s="25"/>
      <c r="BM367" s="25"/>
      <c r="BN367" s="25"/>
      <c r="BO367" s="25"/>
      <c r="BP367" s="25"/>
      <c r="BQ367" s="25"/>
      <c r="BR367" s="25"/>
      <c r="BS367" s="25"/>
      <c r="BT367" s="25"/>
      <c r="BU367" s="25"/>
      <c r="BV367" s="25"/>
      <c r="BW367" s="25"/>
      <c r="BX367" s="25"/>
      <c r="BY367" s="25"/>
      <c r="BZ367" s="25"/>
      <c r="CA367" s="25"/>
      <c r="CB367" s="25"/>
      <c r="CC367" s="25"/>
      <c r="CD367" s="25"/>
      <c r="CE367" s="25"/>
      <c r="CF367" s="25"/>
      <c r="CG367" s="25"/>
      <c r="CH367" s="25"/>
      <c r="CI367" s="25"/>
      <c r="CJ367" s="25"/>
      <c r="CK367" s="25"/>
      <c r="CL367" s="25"/>
      <c r="CM367" s="25"/>
      <c r="CN367" s="25"/>
      <c r="CO367" s="25"/>
      <c r="CP367" s="25"/>
      <c r="CQ367" s="25"/>
      <c r="CR367" s="25"/>
      <c r="CS367" s="25"/>
    </row>
    <row r="368" spans="2:97">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c r="AV368" s="25"/>
      <c r="AW368" s="25"/>
      <c r="AX368" s="25"/>
      <c r="AY368" s="25"/>
      <c r="AZ368" s="25"/>
      <c r="BA368" s="25"/>
      <c r="BB368" s="25"/>
      <c r="BC368" s="25"/>
      <c r="BD368" s="25"/>
      <c r="BE368" s="25"/>
      <c r="BF368" s="25"/>
      <c r="BG368" s="25"/>
      <c r="BH368" s="25"/>
      <c r="BI368" s="25"/>
      <c r="BJ368" s="25"/>
      <c r="BK368" s="25"/>
      <c r="BL368" s="25"/>
      <c r="BM368" s="25"/>
      <c r="BN368" s="25"/>
      <c r="BO368" s="25"/>
      <c r="BP368" s="25"/>
      <c r="BQ368" s="25"/>
      <c r="BR368" s="25"/>
      <c r="BS368" s="25"/>
      <c r="BT368" s="25"/>
      <c r="BU368" s="25"/>
      <c r="BV368" s="25"/>
      <c r="BW368" s="25"/>
      <c r="BX368" s="25"/>
      <c r="BY368" s="25"/>
      <c r="BZ368" s="25"/>
      <c r="CA368" s="25"/>
      <c r="CB368" s="25"/>
      <c r="CC368" s="25"/>
      <c r="CD368" s="25"/>
      <c r="CE368" s="25"/>
      <c r="CF368" s="25"/>
      <c r="CG368" s="25"/>
      <c r="CH368" s="25"/>
      <c r="CI368" s="25"/>
      <c r="CJ368" s="25"/>
      <c r="CK368" s="25"/>
      <c r="CL368" s="25"/>
      <c r="CM368" s="25"/>
      <c r="CN368" s="25"/>
      <c r="CO368" s="25"/>
      <c r="CP368" s="25"/>
      <c r="CQ368" s="25"/>
      <c r="CR368" s="25"/>
      <c r="CS368" s="25"/>
    </row>
    <row r="369" spans="2:97">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c r="AV369" s="25"/>
      <c r="AW369" s="25"/>
      <c r="AX369" s="25"/>
      <c r="AY369" s="25"/>
      <c r="AZ369" s="25"/>
      <c r="BA369" s="25"/>
      <c r="BB369" s="25"/>
      <c r="BC369" s="25"/>
      <c r="BD369" s="25"/>
      <c r="BE369" s="25"/>
      <c r="BF369" s="25"/>
      <c r="BG369" s="25"/>
      <c r="BH369" s="25"/>
      <c r="BI369" s="25"/>
      <c r="BJ369" s="25"/>
      <c r="BK369" s="25"/>
      <c r="BL369" s="25"/>
      <c r="BM369" s="25"/>
      <c r="BN369" s="25"/>
      <c r="BO369" s="25"/>
      <c r="BP369" s="25"/>
      <c r="BQ369" s="25"/>
      <c r="BR369" s="25"/>
      <c r="BS369" s="25"/>
      <c r="BT369" s="25"/>
      <c r="BU369" s="25"/>
      <c r="BV369" s="25"/>
      <c r="BW369" s="25"/>
      <c r="BX369" s="25"/>
      <c r="BY369" s="25"/>
      <c r="BZ369" s="25"/>
      <c r="CA369" s="25"/>
      <c r="CB369" s="25"/>
      <c r="CC369" s="25"/>
      <c r="CD369" s="25"/>
      <c r="CE369" s="25"/>
      <c r="CF369" s="25"/>
      <c r="CG369" s="25"/>
      <c r="CH369" s="25"/>
      <c r="CI369" s="25"/>
      <c r="CJ369" s="25"/>
      <c r="CK369" s="25"/>
      <c r="CL369" s="25"/>
      <c r="CM369" s="25"/>
      <c r="CN369" s="25"/>
      <c r="CO369" s="25"/>
      <c r="CP369" s="25"/>
      <c r="CQ369" s="25"/>
      <c r="CR369" s="25"/>
      <c r="CS369" s="25"/>
    </row>
    <row r="370" spans="2:97">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c r="AV370" s="25"/>
      <c r="AW370" s="25"/>
      <c r="AX370" s="25"/>
      <c r="AY370" s="25"/>
      <c r="AZ370" s="25"/>
      <c r="BA370" s="25"/>
      <c r="BB370" s="25"/>
      <c r="BC370" s="25"/>
      <c r="BD370" s="25"/>
      <c r="BE370" s="25"/>
      <c r="BF370" s="25"/>
      <c r="BG370" s="25"/>
      <c r="BH370" s="25"/>
      <c r="BI370" s="25"/>
      <c r="BJ370" s="25"/>
      <c r="BK370" s="25"/>
      <c r="BL370" s="25"/>
      <c r="BM370" s="25"/>
      <c r="BN370" s="25"/>
      <c r="BO370" s="25"/>
      <c r="BP370" s="25"/>
      <c r="BQ370" s="25"/>
      <c r="BR370" s="25"/>
      <c r="BS370" s="25"/>
      <c r="BT370" s="25"/>
      <c r="BU370" s="25"/>
      <c r="BV370" s="25"/>
      <c r="BW370" s="25"/>
      <c r="BX370" s="25"/>
      <c r="BY370" s="25"/>
      <c r="BZ370" s="25"/>
      <c r="CA370" s="25"/>
      <c r="CB370" s="25"/>
      <c r="CC370" s="25"/>
      <c r="CD370" s="25"/>
      <c r="CE370" s="25"/>
      <c r="CF370" s="25"/>
      <c r="CG370" s="25"/>
      <c r="CH370" s="25"/>
      <c r="CI370" s="25"/>
      <c r="CJ370" s="25"/>
      <c r="CK370" s="25"/>
      <c r="CL370" s="25"/>
      <c r="CM370" s="25"/>
      <c r="CN370" s="25"/>
      <c r="CO370" s="25"/>
      <c r="CP370" s="25"/>
      <c r="CQ370" s="25"/>
      <c r="CR370" s="25"/>
      <c r="CS370" s="25"/>
    </row>
    <row r="371" spans="2:97">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c r="AV371" s="25"/>
      <c r="AW371" s="25"/>
      <c r="AX371" s="25"/>
      <c r="AY371" s="25"/>
      <c r="AZ371" s="25"/>
      <c r="BA371" s="25"/>
      <c r="BB371" s="25"/>
      <c r="BC371" s="25"/>
      <c r="BD371" s="25"/>
      <c r="BE371" s="25"/>
      <c r="BF371" s="25"/>
      <c r="BG371" s="25"/>
      <c r="BH371" s="25"/>
      <c r="BI371" s="25"/>
      <c r="BJ371" s="25"/>
      <c r="BK371" s="25"/>
      <c r="BL371" s="25"/>
      <c r="BM371" s="25"/>
      <c r="BN371" s="25"/>
      <c r="BO371" s="25"/>
      <c r="BP371" s="25"/>
      <c r="BQ371" s="25"/>
      <c r="BR371" s="25"/>
      <c r="BS371" s="25"/>
      <c r="BT371" s="25"/>
      <c r="BU371" s="25"/>
      <c r="BV371" s="25"/>
      <c r="BW371" s="25"/>
      <c r="BX371" s="25"/>
      <c r="BY371" s="25"/>
      <c r="BZ371" s="25"/>
      <c r="CA371" s="25"/>
      <c r="CB371" s="25"/>
      <c r="CC371" s="25"/>
      <c r="CD371" s="25"/>
      <c r="CE371" s="25"/>
      <c r="CF371" s="25"/>
      <c r="CG371" s="25"/>
      <c r="CH371" s="25"/>
      <c r="CI371" s="25"/>
      <c r="CJ371" s="25"/>
      <c r="CK371" s="25"/>
      <c r="CL371" s="25"/>
      <c r="CM371" s="25"/>
      <c r="CN371" s="25"/>
      <c r="CO371" s="25"/>
      <c r="CP371" s="25"/>
      <c r="CQ371" s="25"/>
      <c r="CR371" s="25"/>
      <c r="CS371" s="25"/>
    </row>
    <row r="372" spans="2:97">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c r="AV372" s="25"/>
      <c r="AW372" s="25"/>
      <c r="AX372" s="25"/>
      <c r="AY372" s="25"/>
      <c r="AZ372" s="25"/>
      <c r="BA372" s="25"/>
      <c r="BB372" s="25"/>
      <c r="BC372" s="25"/>
      <c r="BD372" s="25"/>
      <c r="BE372" s="25"/>
      <c r="BF372" s="25"/>
      <c r="BG372" s="25"/>
      <c r="BH372" s="25"/>
      <c r="BI372" s="25"/>
      <c r="BJ372" s="25"/>
      <c r="BK372" s="25"/>
      <c r="BL372" s="25"/>
      <c r="BM372" s="25"/>
      <c r="BN372" s="25"/>
      <c r="BO372" s="25"/>
      <c r="BP372" s="25"/>
      <c r="BQ372" s="25"/>
      <c r="BR372" s="25"/>
      <c r="BS372" s="25"/>
      <c r="BT372" s="25"/>
      <c r="BU372" s="25"/>
      <c r="BV372" s="25"/>
      <c r="BW372" s="25"/>
      <c r="BX372" s="25"/>
      <c r="BY372" s="25"/>
      <c r="BZ372" s="25"/>
      <c r="CA372" s="25"/>
      <c r="CB372" s="25"/>
      <c r="CC372" s="25"/>
      <c r="CD372" s="25"/>
      <c r="CE372" s="25"/>
      <c r="CF372" s="25"/>
      <c r="CG372" s="25"/>
      <c r="CH372" s="25"/>
      <c r="CI372" s="25"/>
      <c r="CJ372" s="25"/>
      <c r="CK372" s="25"/>
      <c r="CL372" s="25"/>
      <c r="CM372" s="25"/>
      <c r="CN372" s="25"/>
      <c r="CO372" s="25"/>
      <c r="CP372" s="25"/>
      <c r="CQ372" s="25"/>
      <c r="CR372" s="25"/>
      <c r="CS372" s="25"/>
    </row>
    <row r="373" spans="2:97">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c r="AV373" s="25"/>
      <c r="AW373" s="25"/>
      <c r="AX373" s="25"/>
      <c r="AY373" s="25"/>
      <c r="AZ373" s="25"/>
      <c r="BA373" s="25"/>
      <c r="BB373" s="25"/>
      <c r="BC373" s="25"/>
      <c r="BD373" s="25"/>
      <c r="BE373" s="25"/>
      <c r="BF373" s="25"/>
      <c r="BG373" s="25"/>
      <c r="BH373" s="25"/>
      <c r="BI373" s="25"/>
      <c r="BJ373" s="25"/>
      <c r="BK373" s="25"/>
      <c r="BL373" s="25"/>
      <c r="BM373" s="25"/>
      <c r="BN373" s="25"/>
      <c r="BO373" s="25"/>
      <c r="BP373" s="25"/>
      <c r="BQ373" s="25"/>
      <c r="BR373" s="25"/>
      <c r="BS373" s="25"/>
      <c r="BT373" s="25"/>
      <c r="BU373" s="25"/>
      <c r="BV373" s="25"/>
      <c r="BW373" s="25"/>
      <c r="BX373" s="25"/>
      <c r="BY373" s="25"/>
      <c r="BZ373" s="25"/>
      <c r="CA373" s="25"/>
      <c r="CB373" s="25"/>
      <c r="CC373" s="25"/>
      <c r="CD373" s="25"/>
      <c r="CE373" s="25"/>
      <c r="CF373" s="25"/>
      <c r="CG373" s="25"/>
      <c r="CH373" s="25"/>
      <c r="CI373" s="25"/>
      <c r="CJ373" s="25"/>
      <c r="CK373" s="25"/>
      <c r="CL373" s="25"/>
      <c r="CM373" s="25"/>
      <c r="CN373" s="25"/>
      <c r="CO373" s="25"/>
      <c r="CP373" s="25"/>
      <c r="CQ373" s="25"/>
      <c r="CR373" s="25"/>
      <c r="CS373" s="25"/>
    </row>
    <row r="374" spans="2:97">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c r="AV374" s="25"/>
      <c r="AW374" s="25"/>
      <c r="AX374" s="25"/>
      <c r="AY374" s="25"/>
      <c r="AZ374" s="25"/>
      <c r="BA374" s="25"/>
      <c r="BB374" s="25"/>
      <c r="BC374" s="25"/>
      <c r="BD374" s="25"/>
      <c r="BE374" s="25"/>
      <c r="BF374" s="25"/>
      <c r="BG374" s="25"/>
      <c r="BH374" s="25"/>
      <c r="BI374" s="25"/>
      <c r="BJ374" s="25"/>
      <c r="BK374" s="25"/>
      <c r="BL374" s="25"/>
      <c r="BM374" s="25"/>
      <c r="BN374" s="25"/>
      <c r="BO374" s="25"/>
      <c r="BP374" s="25"/>
      <c r="BQ374" s="25"/>
      <c r="BR374" s="25"/>
      <c r="BS374" s="25"/>
      <c r="BT374" s="25"/>
      <c r="BU374" s="25"/>
      <c r="BV374" s="25"/>
      <c r="BW374" s="25"/>
      <c r="BX374" s="25"/>
      <c r="BY374" s="25"/>
      <c r="BZ374" s="25"/>
      <c r="CA374" s="25"/>
      <c r="CB374" s="25"/>
      <c r="CC374" s="25"/>
      <c r="CD374" s="25"/>
      <c r="CE374" s="25"/>
      <c r="CF374" s="25"/>
      <c r="CG374" s="25"/>
      <c r="CH374" s="25"/>
      <c r="CI374" s="25"/>
      <c r="CJ374" s="25"/>
      <c r="CK374" s="25"/>
      <c r="CL374" s="25"/>
      <c r="CM374" s="25"/>
      <c r="CN374" s="25"/>
      <c r="CO374" s="25"/>
      <c r="CP374" s="25"/>
      <c r="CQ374" s="25"/>
      <c r="CR374" s="25"/>
      <c r="CS374" s="25"/>
    </row>
    <row r="375" spans="2:97">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c r="AV375" s="25"/>
      <c r="AW375" s="25"/>
      <c r="AX375" s="25"/>
      <c r="AY375" s="25"/>
      <c r="AZ375" s="25"/>
      <c r="BA375" s="25"/>
      <c r="BB375" s="25"/>
      <c r="BC375" s="25"/>
      <c r="BD375" s="25"/>
      <c r="BE375" s="25"/>
      <c r="BF375" s="25"/>
      <c r="BG375" s="25"/>
      <c r="BH375" s="25"/>
      <c r="BI375" s="25"/>
      <c r="BJ375" s="25"/>
      <c r="BK375" s="25"/>
      <c r="BL375" s="25"/>
      <c r="BM375" s="25"/>
      <c r="BN375" s="25"/>
      <c r="BO375" s="25"/>
      <c r="BP375" s="25"/>
      <c r="BQ375" s="25"/>
      <c r="BR375" s="25"/>
      <c r="BS375" s="25"/>
      <c r="BT375" s="25"/>
      <c r="BU375" s="25"/>
      <c r="BV375" s="25"/>
      <c r="BW375" s="25"/>
      <c r="BX375" s="25"/>
      <c r="BY375" s="25"/>
      <c r="BZ375" s="25"/>
      <c r="CA375" s="25"/>
      <c r="CB375" s="25"/>
      <c r="CC375" s="25"/>
      <c r="CD375" s="25"/>
      <c r="CE375" s="25"/>
      <c r="CF375" s="25"/>
      <c r="CG375" s="25"/>
      <c r="CH375" s="25"/>
      <c r="CI375" s="25"/>
      <c r="CJ375" s="25"/>
      <c r="CK375" s="25"/>
      <c r="CL375" s="25"/>
      <c r="CM375" s="25"/>
      <c r="CN375" s="25"/>
      <c r="CO375" s="25"/>
      <c r="CP375" s="25"/>
      <c r="CQ375" s="25"/>
      <c r="CR375" s="25"/>
      <c r="CS375" s="25"/>
    </row>
    <row r="376" spans="2:97">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c r="AV376" s="25"/>
      <c r="AW376" s="25"/>
      <c r="AX376" s="25"/>
      <c r="AY376" s="25"/>
      <c r="AZ376" s="25"/>
      <c r="BA376" s="25"/>
      <c r="BB376" s="25"/>
      <c r="BC376" s="25"/>
      <c r="BD376" s="25"/>
      <c r="BE376" s="25"/>
      <c r="BF376" s="25"/>
      <c r="BG376" s="25"/>
      <c r="BH376" s="25"/>
      <c r="BI376" s="25"/>
      <c r="BJ376" s="25"/>
      <c r="BK376" s="25"/>
      <c r="BL376" s="25"/>
      <c r="BM376" s="25"/>
      <c r="BN376" s="25"/>
      <c r="BO376" s="25"/>
      <c r="BP376" s="25"/>
      <c r="BQ376" s="25"/>
      <c r="BR376" s="25"/>
      <c r="BS376" s="25"/>
      <c r="BT376" s="25"/>
      <c r="BU376" s="25"/>
      <c r="BV376" s="25"/>
      <c r="BW376" s="25"/>
      <c r="BX376" s="25"/>
      <c r="BY376" s="25"/>
      <c r="BZ376" s="25"/>
      <c r="CA376" s="25"/>
      <c r="CB376" s="25"/>
      <c r="CC376" s="25"/>
      <c r="CD376" s="25"/>
      <c r="CE376" s="25"/>
      <c r="CF376" s="25"/>
      <c r="CG376" s="25"/>
      <c r="CH376" s="25"/>
      <c r="CI376" s="25"/>
      <c r="CJ376" s="25"/>
      <c r="CK376" s="25"/>
      <c r="CL376" s="25"/>
      <c r="CM376" s="25"/>
      <c r="CN376" s="25"/>
      <c r="CO376" s="25"/>
      <c r="CP376" s="25"/>
      <c r="CQ376" s="25"/>
      <c r="CR376" s="25"/>
      <c r="CS376" s="25"/>
    </row>
    <row r="377" spans="2:97">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c r="AV377" s="25"/>
      <c r="AW377" s="25"/>
      <c r="AX377" s="25"/>
      <c r="AY377" s="25"/>
      <c r="AZ377" s="25"/>
      <c r="BA377" s="25"/>
      <c r="BB377" s="25"/>
      <c r="BC377" s="25"/>
      <c r="BD377" s="25"/>
      <c r="BE377" s="25"/>
      <c r="BF377" s="25"/>
      <c r="BG377" s="25"/>
      <c r="BH377" s="25"/>
      <c r="BI377" s="25"/>
      <c r="BJ377" s="25"/>
      <c r="BK377" s="25"/>
      <c r="BL377" s="25"/>
      <c r="BM377" s="25"/>
      <c r="BN377" s="25"/>
      <c r="BO377" s="25"/>
      <c r="BP377" s="25"/>
      <c r="BQ377" s="25"/>
      <c r="BR377" s="25"/>
      <c r="BS377" s="25"/>
      <c r="BT377" s="25"/>
      <c r="BU377" s="25"/>
      <c r="BV377" s="25"/>
      <c r="BW377" s="25"/>
      <c r="BX377" s="25"/>
      <c r="BY377" s="25"/>
      <c r="BZ377" s="25"/>
      <c r="CA377" s="25"/>
      <c r="CB377" s="25"/>
      <c r="CC377" s="25"/>
      <c r="CD377" s="25"/>
      <c r="CE377" s="25"/>
      <c r="CF377" s="25"/>
      <c r="CG377" s="25"/>
      <c r="CH377" s="25"/>
      <c r="CI377" s="25"/>
      <c r="CJ377" s="25"/>
      <c r="CK377" s="25"/>
      <c r="CL377" s="25"/>
      <c r="CM377" s="25"/>
      <c r="CN377" s="25"/>
      <c r="CO377" s="25"/>
      <c r="CP377" s="25"/>
      <c r="CQ377" s="25"/>
      <c r="CR377" s="25"/>
      <c r="CS377" s="25"/>
    </row>
    <row r="378" spans="2:97">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c r="AV378" s="25"/>
      <c r="AW378" s="25"/>
      <c r="AX378" s="25"/>
      <c r="AY378" s="25"/>
      <c r="AZ378" s="25"/>
      <c r="BA378" s="25"/>
      <c r="BB378" s="25"/>
      <c r="BC378" s="25"/>
      <c r="BD378" s="25"/>
      <c r="BE378" s="25"/>
      <c r="BF378" s="25"/>
      <c r="BG378" s="25"/>
      <c r="BH378" s="25"/>
      <c r="BI378" s="25"/>
      <c r="BJ378" s="25"/>
      <c r="BK378" s="25"/>
      <c r="BL378" s="25"/>
      <c r="BM378" s="25"/>
      <c r="BN378" s="25"/>
      <c r="BO378" s="25"/>
      <c r="BP378" s="25"/>
      <c r="BQ378" s="25"/>
      <c r="BR378" s="25"/>
      <c r="BS378" s="25"/>
      <c r="BT378" s="25"/>
      <c r="BU378" s="25"/>
      <c r="BV378" s="25"/>
      <c r="BW378" s="25"/>
      <c r="BX378" s="25"/>
      <c r="BY378" s="25"/>
      <c r="BZ378" s="25"/>
      <c r="CA378" s="25"/>
      <c r="CB378" s="25"/>
      <c r="CC378" s="25"/>
      <c r="CD378" s="25"/>
      <c r="CE378" s="25"/>
      <c r="CF378" s="25"/>
      <c r="CG378" s="25"/>
      <c r="CH378" s="25"/>
      <c r="CI378" s="25"/>
      <c r="CJ378" s="25"/>
      <c r="CK378" s="25"/>
      <c r="CL378" s="25"/>
      <c r="CM378" s="25"/>
      <c r="CN378" s="25"/>
      <c r="CO378" s="25"/>
      <c r="CP378" s="25"/>
      <c r="CQ378" s="25"/>
      <c r="CR378" s="25"/>
      <c r="CS378" s="25"/>
    </row>
    <row r="379" spans="2:97">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c r="AV379" s="25"/>
      <c r="AW379" s="25"/>
      <c r="AX379" s="25"/>
      <c r="AY379" s="25"/>
      <c r="AZ379" s="25"/>
      <c r="BA379" s="25"/>
      <c r="BB379" s="25"/>
      <c r="BC379" s="25"/>
      <c r="BD379" s="25"/>
      <c r="BE379" s="25"/>
      <c r="BF379" s="25"/>
      <c r="BG379" s="25"/>
      <c r="BH379" s="25"/>
      <c r="BI379" s="25"/>
      <c r="BJ379" s="25"/>
      <c r="BK379" s="25"/>
      <c r="BL379" s="25"/>
      <c r="BM379" s="25"/>
      <c r="BN379" s="25"/>
      <c r="BO379" s="25"/>
      <c r="BP379" s="25"/>
      <c r="BQ379" s="25"/>
      <c r="BR379" s="25"/>
      <c r="BS379" s="25"/>
      <c r="BT379" s="25"/>
      <c r="BU379" s="25"/>
      <c r="BV379" s="25"/>
      <c r="BW379" s="25"/>
      <c r="BX379" s="25"/>
      <c r="BY379" s="25"/>
      <c r="BZ379" s="25"/>
      <c r="CA379" s="25"/>
      <c r="CB379" s="25"/>
      <c r="CC379" s="25"/>
      <c r="CD379" s="25"/>
      <c r="CE379" s="25"/>
      <c r="CF379" s="25"/>
      <c r="CG379" s="25"/>
      <c r="CH379" s="25"/>
      <c r="CI379" s="25"/>
      <c r="CJ379" s="25"/>
      <c r="CK379" s="25"/>
      <c r="CL379" s="25"/>
      <c r="CM379" s="25"/>
      <c r="CN379" s="25"/>
      <c r="CO379" s="25"/>
      <c r="CP379" s="25"/>
      <c r="CQ379" s="25"/>
      <c r="CR379" s="25"/>
      <c r="CS379" s="25"/>
    </row>
    <row r="380" spans="2:97">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c r="AV380" s="25"/>
      <c r="AW380" s="25"/>
      <c r="AX380" s="25"/>
      <c r="AY380" s="25"/>
      <c r="AZ380" s="25"/>
      <c r="BA380" s="25"/>
      <c r="BB380" s="25"/>
      <c r="BC380" s="25"/>
      <c r="BD380" s="25"/>
      <c r="BE380" s="25"/>
      <c r="BF380" s="25"/>
      <c r="BG380" s="25"/>
      <c r="BH380" s="25"/>
      <c r="BI380" s="25"/>
      <c r="BJ380" s="25"/>
      <c r="BK380" s="25"/>
      <c r="BL380" s="25"/>
      <c r="BM380" s="25"/>
      <c r="BN380" s="25"/>
      <c r="BO380" s="25"/>
      <c r="BP380" s="25"/>
      <c r="BQ380" s="25"/>
      <c r="BR380" s="25"/>
      <c r="BS380" s="25"/>
      <c r="BT380" s="25"/>
      <c r="BU380" s="25"/>
      <c r="BV380" s="25"/>
      <c r="BW380" s="25"/>
      <c r="BX380" s="25"/>
      <c r="BY380" s="25"/>
      <c r="BZ380" s="25"/>
      <c r="CA380" s="25"/>
      <c r="CB380" s="25"/>
      <c r="CC380" s="25"/>
      <c r="CD380" s="25"/>
      <c r="CE380" s="25"/>
      <c r="CF380" s="25"/>
      <c r="CG380" s="25"/>
      <c r="CH380" s="25"/>
      <c r="CI380" s="25"/>
      <c r="CJ380" s="25"/>
      <c r="CK380" s="25"/>
      <c r="CL380" s="25"/>
      <c r="CM380" s="25"/>
      <c r="CN380" s="25"/>
      <c r="CO380" s="25"/>
      <c r="CP380" s="25"/>
      <c r="CQ380" s="25"/>
      <c r="CR380" s="25"/>
      <c r="CS380" s="25"/>
    </row>
    <row r="381" spans="2:97">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c r="AV381" s="25"/>
      <c r="AW381" s="25"/>
      <c r="AX381" s="25"/>
      <c r="AY381" s="25"/>
      <c r="AZ381" s="25"/>
      <c r="BA381" s="25"/>
      <c r="BB381" s="25"/>
      <c r="BC381" s="25"/>
      <c r="BD381" s="25"/>
      <c r="BE381" s="25"/>
      <c r="BF381" s="25"/>
      <c r="BG381" s="25"/>
      <c r="BH381" s="25"/>
      <c r="BI381" s="25"/>
      <c r="BJ381" s="25"/>
      <c r="BK381" s="25"/>
      <c r="BL381" s="25"/>
      <c r="BM381" s="25"/>
      <c r="BN381" s="25"/>
      <c r="BO381" s="25"/>
      <c r="BP381" s="25"/>
      <c r="BQ381" s="25"/>
      <c r="BR381" s="25"/>
      <c r="BS381" s="25"/>
      <c r="BT381" s="25"/>
      <c r="BU381" s="25"/>
      <c r="BV381" s="25"/>
      <c r="BW381" s="25"/>
      <c r="BX381" s="25"/>
      <c r="BY381" s="25"/>
      <c r="BZ381" s="25"/>
      <c r="CA381" s="25"/>
      <c r="CB381" s="25"/>
      <c r="CC381" s="25"/>
      <c r="CD381" s="25"/>
      <c r="CE381" s="25"/>
      <c r="CF381" s="25"/>
      <c r="CG381" s="25"/>
      <c r="CH381" s="25"/>
      <c r="CI381" s="25"/>
      <c r="CJ381" s="25"/>
      <c r="CK381" s="25"/>
      <c r="CL381" s="25"/>
      <c r="CM381" s="25"/>
      <c r="CN381" s="25"/>
      <c r="CO381" s="25"/>
      <c r="CP381" s="25"/>
      <c r="CQ381" s="25"/>
      <c r="CR381" s="25"/>
      <c r="CS381" s="25"/>
    </row>
    <row r="382" spans="2:97">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c r="AV382" s="25"/>
      <c r="AW382" s="25"/>
      <c r="AX382" s="25"/>
      <c r="AY382" s="25"/>
      <c r="AZ382" s="25"/>
      <c r="BA382" s="25"/>
      <c r="BB382" s="25"/>
      <c r="BC382" s="25"/>
      <c r="BD382" s="25"/>
      <c r="BE382" s="25"/>
      <c r="BF382" s="25"/>
      <c r="BG382" s="25"/>
      <c r="BH382" s="25"/>
      <c r="BI382" s="25"/>
      <c r="BJ382" s="25"/>
      <c r="BK382" s="25"/>
      <c r="BL382" s="25"/>
      <c r="BM382" s="25"/>
      <c r="BN382" s="25"/>
      <c r="BO382" s="25"/>
      <c r="BP382" s="25"/>
      <c r="BQ382" s="25"/>
      <c r="BR382" s="25"/>
      <c r="BS382" s="25"/>
      <c r="BT382" s="25"/>
      <c r="BU382" s="25"/>
      <c r="BV382" s="25"/>
      <c r="BW382" s="25"/>
      <c r="BX382" s="25"/>
      <c r="BY382" s="25"/>
      <c r="BZ382" s="25"/>
      <c r="CA382" s="25"/>
      <c r="CB382" s="25"/>
      <c r="CC382" s="25"/>
      <c r="CD382" s="25"/>
      <c r="CE382" s="25"/>
      <c r="CF382" s="25"/>
      <c r="CG382" s="25"/>
      <c r="CH382" s="25"/>
      <c r="CI382" s="25"/>
      <c r="CJ382" s="25"/>
      <c r="CK382" s="25"/>
      <c r="CL382" s="25"/>
      <c r="CM382" s="25"/>
      <c r="CN382" s="25"/>
      <c r="CO382" s="25"/>
      <c r="CP382" s="25"/>
      <c r="CQ382" s="25"/>
      <c r="CR382" s="25"/>
      <c r="CS382" s="25"/>
    </row>
    <row r="383" spans="2:97">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c r="AV383" s="25"/>
      <c r="AW383" s="25"/>
      <c r="AX383" s="25"/>
      <c r="AY383" s="25"/>
      <c r="AZ383" s="25"/>
      <c r="BA383" s="25"/>
      <c r="BB383" s="25"/>
      <c r="BC383" s="25"/>
      <c r="BD383" s="25"/>
      <c r="BE383" s="25"/>
      <c r="BF383" s="25"/>
      <c r="BG383" s="25"/>
      <c r="BH383" s="25"/>
      <c r="BI383" s="25"/>
      <c r="BJ383" s="25"/>
      <c r="BK383" s="25"/>
      <c r="BL383" s="25"/>
      <c r="BM383" s="25"/>
      <c r="BN383" s="25"/>
      <c r="BO383" s="25"/>
      <c r="BP383" s="25"/>
      <c r="BQ383" s="25"/>
      <c r="BR383" s="25"/>
      <c r="BS383" s="25"/>
      <c r="BT383" s="25"/>
      <c r="BU383" s="25"/>
      <c r="BV383" s="25"/>
      <c r="BW383" s="25"/>
      <c r="BX383" s="25"/>
      <c r="BY383" s="25"/>
      <c r="BZ383" s="25"/>
      <c r="CA383" s="25"/>
      <c r="CB383" s="25"/>
      <c r="CC383" s="25"/>
      <c r="CD383" s="25"/>
      <c r="CE383" s="25"/>
      <c r="CF383" s="25"/>
      <c r="CG383" s="25"/>
      <c r="CH383" s="25"/>
      <c r="CI383" s="25"/>
      <c r="CJ383" s="25"/>
      <c r="CK383" s="25"/>
      <c r="CL383" s="25"/>
      <c r="CM383" s="25"/>
      <c r="CN383" s="25"/>
      <c r="CO383" s="25"/>
      <c r="CP383" s="25"/>
      <c r="CQ383" s="25"/>
      <c r="CR383" s="25"/>
      <c r="CS383" s="25"/>
    </row>
    <row r="384" spans="2:97">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c r="AV384" s="25"/>
      <c r="AW384" s="25"/>
      <c r="AX384" s="25"/>
      <c r="AY384" s="25"/>
      <c r="AZ384" s="25"/>
      <c r="BA384" s="25"/>
      <c r="BB384" s="25"/>
      <c r="BC384" s="25"/>
      <c r="BD384" s="25"/>
      <c r="BE384" s="25"/>
      <c r="BF384" s="25"/>
      <c r="BG384" s="25"/>
      <c r="BH384" s="25"/>
      <c r="BI384" s="25"/>
      <c r="BJ384" s="25"/>
      <c r="BK384" s="25"/>
      <c r="BL384" s="25"/>
      <c r="BM384" s="25"/>
      <c r="BN384" s="25"/>
      <c r="BO384" s="25"/>
      <c r="BP384" s="25"/>
      <c r="BQ384" s="25"/>
      <c r="BR384" s="25"/>
      <c r="BS384" s="25"/>
      <c r="BT384" s="25"/>
      <c r="BU384" s="25"/>
      <c r="BV384" s="25"/>
      <c r="BW384" s="25"/>
      <c r="BX384" s="25"/>
      <c r="BY384" s="25"/>
      <c r="BZ384" s="25"/>
      <c r="CA384" s="25"/>
      <c r="CB384" s="25"/>
      <c r="CC384" s="25"/>
      <c r="CD384" s="25"/>
      <c r="CE384" s="25"/>
      <c r="CF384" s="25"/>
      <c r="CG384" s="25"/>
      <c r="CH384" s="25"/>
      <c r="CI384" s="25"/>
      <c r="CJ384" s="25"/>
      <c r="CK384" s="25"/>
      <c r="CL384" s="25"/>
      <c r="CM384" s="25"/>
      <c r="CN384" s="25"/>
      <c r="CO384" s="25"/>
      <c r="CP384" s="25"/>
      <c r="CQ384" s="25"/>
      <c r="CR384" s="25"/>
      <c r="CS384" s="25"/>
    </row>
    <row r="385" spans="2:97">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c r="AV385" s="25"/>
      <c r="AW385" s="25"/>
      <c r="AX385" s="25"/>
      <c r="AY385" s="25"/>
      <c r="AZ385" s="25"/>
      <c r="BA385" s="25"/>
      <c r="BB385" s="25"/>
      <c r="BC385" s="25"/>
      <c r="BD385" s="25"/>
      <c r="BE385" s="25"/>
      <c r="BF385" s="25"/>
      <c r="BG385" s="25"/>
      <c r="BH385" s="25"/>
      <c r="BI385" s="25"/>
      <c r="BJ385" s="25"/>
      <c r="BK385" s="25"/>
      <c r="BL385" s="25"/>
      <c r="BM385" s="25"/>
      <c r="BN385" s="25"/>
      <c r="BO385" s="25"/>
      <c r="BP385" s="25"/>
      <c r="BQ385" s="25"/>
      <c r="BR385" s="25"/>
      <c r="BS385" s="25"/>
      <c r="BT385" s="25"/>
      <c r="BU385" s="25"/>
      <c r="BV385" s="25"/>
      <c r="BW385" s="25"/>
      <c r="BX385" s="25"/>
      <c r="BY385" s="25"/>
      <c r="BZ385" s="25"/>
      <c r="CA385" s="25"/>
      <c r="CB385" s="25"/>
      <c r="CC385" s="25"/>
      <c r="CD385" s="25"/>
      <c r="CE385" s="25"/>
      <c r="CF385" s="25"/>
      <c r="CG385" s="25"/>
      <c r="CH385" s="25"/>
      <c r="CI385" s="25"/>
      <c r="CJ385" s="25"/>
      <c r="CK385" s="25"/>
      <c r="CL385" s="25"/>
      <c r="CM385" s="25"/>
      <c r="CN385" s="25"/>
      <c r="CO385" s="25"/>
      <c r="CP385" s="25"/>
      <c r="CQ385" s="25"/>
      <c r="CR385" s="25"/>
      <c r="CS385" s="25"/>
    </row>
    <row r="386" spans="2:97">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c r="AV386" s="25"/>
      <c r="AW386" s="25"/>
      <c r="AX386" s="25"/>
      <c r="AY386" s="25"/>
      <c r="AZ386" s="25"/>
      <c r="BA386" s="25"/>
      <c r="BB386" s="25"/>
      <c r="BC386" s="25"/>
      <c r="BD386" s="25"/>
      <c r="BE386" s="25"/>
      <c r="BF386" s="25"/>
      <c r="BG386" s="25"/>
      <c r="BH386" s="25"/>
      <c r="BI386" s="25"/>
      <c r="BJ386" s="25"/>
      <c r="BK386" s="25"/>
      <c r="BL386" s="25"/>
      <c r="BM386" s="25"/>
      <c r="BN386" s="25"/>
      <c r="BO386" s="25"/>
      <c r="BP386" s="25"/>
      <c r="BQ386" s="25"/>
      <c r="BR386" s="25"/>
      <c r="BS386" s="25"/>
      <c r="BT386" s="25"/>
      <c r="BU386" s="25"/>
      <c r="BV386" s="25"/>
      <c r="BW386" s="25"/>
      <c r="BX386" s="25"/>
      <c r="BY386" s="25"/>
      <c r="BZ386" s="25"/>
      <c r="CA386" s="25"/>
      <c r="CB386" s="25"/>
      <c r="CC386" s="25"/>
      <c r="CD386" s="25"/>
      <c r="CE386" s="25"/>
      <c r="CF386" s="25"/>
      <c r="CG386" s="25"/>
      <c r="CH386" s="25"/>
      <c r="CI386" s="25"/>
      <c r="CJ386" s="25"/>
      <c r="CK386" s="25"/>
      <c r="CL386" s="25"/>
      <c r="CM386" s="25"/>
      <c r="CN386" s="25"/>
      <c r="CO386" s="25"/>
      <c r="CP386" s="25"/>
      <c r="CQ386" s="25"/>
      <c r="CR386" s="25"/>
      <c r="CS386" s="25"/>
    </row>
    <row r="387" spans="2:97">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c r="AV387" s="25"/>
      <c r="AW387" s="25"/>
      <c r="AX387" s="25"/>
      <c r="AY387" s="25"/>
      <c r="AZ387" s="25"/>
      <c r="BA387" s="25"/>
      <c r="BB387" s="25"/>
      <c r="BC387" s="25"/>
      <c r="BD387" s="25"/>
      <c r="BE387" s="25"/>
      <c r="BF387" s="25"/>
      <c r="BG387" s="25"/>
      <c r="BH387" s="25"/>
      <c r="BI387" s="25"/>
      <c r="BJ387" s="25"/>
      <c r="BK387" s="25"/>
      <c r="BL387" s="25"/>
      <c r="BM387" s="25"/>
      <c r="BN387" s="25"/>
      <c r="BO387" s="25"/>
      <c r="BP387" s="25"/>
      <c r="BQ387" s="25"/>
      <c r="BR387" s="25"/>
      <c r="BS387" s="25"/>
      <c r="BT387" s="25"/>
      <c r="BU387" s="25"/>
      <c r="BV387" s="25"/>
      <c r="BW387" s="25"/>
      <c r="BX387" s="25"/>
      <c r="BY387" s="25"/>
      <c r="BZ387" s="25"/>
      <c r="CA387" s="25"/>
      <c r="CB387" s="25"/>
      <c r="CC387" s="25"/>
      <c r="CD387" s="25"/>
      <c r="CE387" s="25"/>
      <c r="CF387" s="25"/>
      <c r="CG387" s="25"/>
      <c r="CH387" s="25"/>
      <c r="CI387" s="25"/>
      <c r="CJ387" s="25"/>
      <c r="CK387" s="25"/>
      <c r="CL387" s="25"/>
      <c r="CM387" s="25"/>
      <c r="CN387" s="25"/>
      <c r="CO387" s="25"/>
      <c r="CP387" s="25"/>
      <c r="CQ387" s="25"/>
      <c r="CR387" s="25"/>
      <c r="CS387" s="25"/>
    </row>
    <row r="388" spans="2:97">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c r="AV388" s="25"/>
      <c r="AW388" s="25"/>
      <c r="AX388" s="25"/>
      <c r="AY388" s="25"/>
      <c r="AZ388" s="25"/>
      <c r="BA388" s="25"/>
      <c r="BB388" s="25"/>
      <c r="BC388" s="25"/>
      <c r="BD388" s="25"/>
      <c r="BE388" s="25"/>
      <c r="BF388" s="25"/>
      <c r="BG388" s="25"/>
      <c r="BH388" s="25"/>
      <c r="BI388" s="25"/>
      <c r="BJ388" s="25"/>
      <c r="BK388" s="25"/>
      <c r="BL388" s="25"/>
      <c r="BM388" s="25"/>
      <c r="BN388" s="25"/>
      <c r="BO388" s="25"/>
      <c r="BP388" s="25"/>
      <c r="BQ388" s="25"/>
      <c r="BR388" s="25"/>
      <c r="BS388" s="25"/>
      <c r="BT388" s="25"/>
      <c r="BU388" s="25"/>
      <c r="BV388" s="25"/>
      <c r="BW388" s="25"/>
      <c r="BX388" s="25"/>
      <c r="BY388" s="25"/>
      <c r="BZ388" s="25"/>
      <c r="CA388" s="25"/>
      <c r="CB388" s="25"/>
      <c r="CC388" s="25"/>
      <c r="CD388" s="25"/>
      <c r="CE388" s="25"/>
      <c r="CF388" s="25"/>
      <c r="CG388" s="25"/>
      <c r="CH388" s="25"/>
      <c r="CI388" s="25"/>
      <c r="CJ388" s="25"/>
      <c r="CK388" s="25"/>
      <c r="CL388" s="25"/>
      <c r="CM388" s="25"/>
      <c r="CN388" s="25"/>
      <c r="CO388" s="25"/>
      <c r="CP388" s="25"/>
      <c r="CQ388" s="25"/>
      <c r="CR388" s="25"/>
      <c r="CS388" s="25"/>
    </row>
    <row r="389" spans="2:97">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c r="AV389" s="25"/>
      <c r="AW389" s="25"/>
      <c r="AX389" s="25"/>
      <c r="AY389" s="25"/>
      <c r="AZ389" s="25"/>
      <c r="BA389" s="25"/>
      <c r="BB389" s="25"/>
      <c r="BC389" s="25"/>
      <c r="BD389" s="25"/>
      <c r="BE389" s="25"/>
      <c r="BF389" s="25"/>
      <c r="BG389" s="25"/>
      <c r="BH389" s="25"/>
      <c r="BI389" s="25"/>
      <c r="BJ389" s="25"/>
      <c r="BK389" s="25"/>
      <c r="BL389" s="25"/>
      <c r="BM389" s="25"/>
      <c r="BN389" s="25"/>
      <c r="BO389" s="25"/>
      <c r="BP389" s="25"/>
      <c r="BQ389" s="25"/>
      <c r="BR389" s="25"/>
      <c r="BS389" s="25"/>
      <c r="BT389" s="25"/>
      <c r="BU389" s="25"/>
      <c r="BV389" s="25"/>
      <c r="BW389" s="25"/>
      <c r="BX389" s="25"/>
      <c r="BY389" s="25"/>
      <c r="BZ389" s="25"/>
      <c r="CA389" s="25"/>
      <c r="CB389" s="25"/>
      <c r="CC389" s="25"/>
      <c r="CD389" s="25"/>
      <c r="CE389" s="25"/>
      <c r="CF389" s="25"/>
      <c r="CG389" s="25"/>
      <c r="CH389" s="25"/>
      <c r="CI389" s="25"/>
      <c r="CJ389" s="25"/>
      <c r="CK389" s="25"/>
      <c r="CL389" s="25"/>
      <c r="CM389" s="25"/>
      <c r="CN389" s="25"/>
      <c r="CO389" s="25"/>
      <c r="CP389" s="25"/>
      <c r="CQ389" s="25"/>
      <c r="CR389" s="25"/>
      <c r="CS389" s="25"/>
    </row>
    <row r="390" spans="2:97">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c r="AV390" s="25"/>
      <c r="AW390" s="25"/>
      <c r="AX390" s="25"/>
      <c r="AY390" s="25"/>
      <c r="AZ390" s="25"/>
      <c r="BA390" s="25"/>
      <c r="BB390" s="25"/>
      <c r="BC390" s="25"/>
      <c r="BD390" s="25"/>
      <c r="BE390" s="25"/>
      <c r="BF390" s="25"/>
      <c r="BG390" s="25"/>
      <c r="BH390" s="25"/>
      <c r="BI390" s="25"/>
      <c r="BJ390" s="25"/>
      <c r="BK390" s="25"/>
      <c r="BL390" s="25"/>
      <c r="BM390" s="25"/>
      <c r="BN390" s="25"/>
      <c r="BO390" s="25"/>
      <c r="BP390" s="25"/>
      <c r="BQ390" s="25"/>
      <c r="BR390" s="25"/>
      <c r="BS390" s="25"/>
      <c r="BT390" s="25"/>
      <c r="BU390" s="25"/>
      <c r="BV390" s="25"/>
      <c r="BW390" s="25"/>
      <c r="BX390" s="25"/>
      <c r="BY390" s="25"/>
      <c r="BZ390" s="25"/>
      <c r="CA390" s="25"/>
      <c r="CB390" s="25"/>
      <c r="CC390" s="25"/>
      <c r="CD390" s="25"/>
      <c r="CE390" s="25"/>
      <c r="CF390" s="25"/>
      <c r="CG390" s="25"/>
      <c r="CH390" s="25"/>
      <c r="CI390" s="25"/>
      <c r="CJ390" s="25"/>
      <c r="CK390" s="25"/>
      <c r="CL390" s="25"/>
      <c r="CM390" s="25"/>
      <c r="CN390" s="25"/>
      <c r="CO390" s="25"/>
      <c r="CP390" s="25"/>
      <c r="CQ390" s="25"/>
      <c r="CR390" s="25"/>
      <c r="CS390" s="25"/>
    </row>
    <row r="391" spans="2:97">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c r="AV391" s="25"/>
      <c r="AW391" s="25"/>
      <c r="AX391" s="25"/>
      <c r="AY391" s="25"/>
      <c r="AZ391" s="25"/>
      <c r="BA391" s="25"/>
      <c r="BB391" s="25"/>
      <c r="BC391" s="25"/>
      <c r="BD391" s="25"/>
      <c r="BE391" s="25"/>
      <c r="BF391" s="25"/>
      <c r="BG391" s="25"/>
      <c r="BH391" s="25"/>
      <c r="BI391" s="25"/>
      <c r="BJ391" s="25"/>
      <c r="BK391" s="25"/>
      <c r="BL391" s="25"/>
      <c r="BM391" s="25"/>
      <c r="BN391" s="25"/>
      <c r="BO391" s="25"/>
      <c r="BP391" s="25"/>
      <c r="BQ391" s="25"/>
      <c r="BR391" s="25"/>
      <c r="BS391" s="25"/>
      <c r="BT391" s="25"/>
      <c r="BU391" s="25"/>
      <c r="BV391" s="25"/>
      <c r="BW391" s="25"/>
      <c r="BX391" s="25"/>
      <c r="BY391" s="25"/>
      <c r="BZ391" s="25"/>
      <c r="CA391" s="25"/>
      <c r="CB391" s="25"/>
      <c r="CC391" s="25"/>
      <c r="CD391" s="25"/>
      <c r="CE391" s="25"/>
      <c r="CF391" s="25"/>
      <c r="CG391" s="25"/>
      <c r="CH391" s="25"/>
      <c r="CI391" s="25"/>
      <c r="CJ391" s="25"/>
      <c r="CK391" s="25"/>
      <c r="CL391" s="25"/>
      <c r="CM391" s="25"/>
      <c r="CN391" s="25"/>
      <c r="CO391" s="25"/>
      <c r="CP391" s="25"/>
      <c r="CQ391" s="25"/>
      <c r="CR391" s="25"/>
      <c r="CS391" s="25"/>
    </row>
    <row r="392" spans="2:97">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c r="AV392" s="25"/>
      <c r="AW392" s="25"/>
      <c r="AX392" s="25"/>
      <c r="AY392" s="25"/>
      <c r="AZ392" s="25"/>
      <c r="BA392" s="25"/>
      <c r="BB392" s="25"/>
      <c r="BC392" s="25"/>
      <c r="BD392" s="25"/>
      <c r="BE392" s="25"/>
      <c r="BF392" s="25"/>
      <c r="BG392" s="25"/>
      <c r="BH392" s="25"/>
      <c r="BI392" s="25"/>
      <c r="BJ392" s="25"/>
      <c r="BK392" s="25"/>
      <c r="BL392" s="25"/>
      <c r="BM392" s="25"/>
      <c r="BN392" s="25"/>
      <c r="BO392" s="25"/>
      <c r="BP392" s="25"/>
      <c r="BQ392" s="25"/>
      <c r="BR392" s="25"/>
      <c r="BS392" s="25"/>
      <c r="BT392" s="25"/>
      <c r="BU392" s="25"/>
      <c r="BV392" s="25"/>
      <c r="BW392" s="25"/>
      <c r="BX392" s="25"/>
      <c r="BY392" s="25"/>
      <c r="BZ392" s="25"/>
      <c r="CA392" s="25"/>
      <c r="CB392" s="25"/>
      <c r="CC392" s="25"/>
      <c r="CD392" s="25"/>
      <c r="CE392" s="25"/>
      <c r="CF392" s="25"/>
      <c r="CG392" s="25"/>
      <c r="CH392" s="25"/>
      <c r="CI392" s="25"/>
      <c r="CJ392" s="25"/>
      <c r="CK392" s="25"/>
      <c r="CL392" s="25"/>
      <c r="CM392" s="25"/>
      <c r="CN392" s="25"/>
      <c r="CO392" s="25"/>
      <c r="CP392" s="25"/>
      <c r="CQ392" s="25"/>
      <c r="CR392" s="25"/>
      <c r="CS392" s="25"/>
    </row>
    <row r="393" spans="2:97">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c r="AV393" s="25"/>
      <c r="AW393" s="25"/>
      <c r="AX393" s="25"/>
      <c r="AY393" s="25"/>
      <c r="AZ393" s="25"/>
      <c r="BA393" s="25"/>
      <c r="BB393" s="25"/>
      <c r="BC393" s="25"/>
      <c r="BD393" s="25"/>
      <c r="BE393" s="25"/>
      <c r="BF393" s="25"/>
      <c r="BG393" s="25"/>
      <c r="BH393" s="25"/>
      <c r="BI393" s="25"/>
      <c r="BJ393" s="25"/>
      <c r="BK393" s="25"/>
      <c r="BL393" s="25"/>
      <c r="BM393" s="25"/>
      <c r="BN393" s="25"/>
      <c r="BO393" s="25"/>
      <c r="BP393" s="25"/>
      <c r="BQ393" s="25"/>
      <c r="BR393" s="25"/>
      <c r="BS393" s="25"/>
      <c r="BT393" s="25"/>
      <c r="BU393" s="25"/>
      <c r="BV393" s="25"/>
      <c r="BW393" s="25"/>
      <c r="BX393" s="25"/>
      <c r="BY393" s="25"/>
      <c r="BZ393" s="25"/>
      <c r="CA393" s="25"/>
      <c r="CB393" s="25"/>
      <c r="CC393" s="25"/>
      <c r="CD393" s="25"/>
      <c r="CE393" s="25"/>
      <c r="CF393" s="25"/>
      <c r="CG393" s="25"/>
      <c r="CH393" s="25"/>
      <c r="CI393" s="25"/>
      <c r="CJ393" s="25"/>
      <c r="CK393" s="25"/>
      <c r="CL393" s="25"/>
      <c r="CM393" s="25"/>
      <c r="CN393" s="25"/>
      <c r="CO393" s="25"/>
      <c r="CP393" s="25"/>
      <c r="CQ393" s="25"/>
      <c r="CR393" s="25"/>
      <c r="CS393" s="25"/>
    </row>
    <row r="394" spans="2:97">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c r="AV394" s="25"/>
      <c r="AW394" s="25"/>
      <c r="AX394" s="25"/>
      <c r="AY394" s="25"/>
      <c r="AZ394" s="25"/>
      <c r="BA394" s="25"/>
      <c r="BB394" s="25"/>
      <c r="BC394" s="25"/>
      <c r="BD394" s="25"/>
      <c r="BE394" s="25"/>
      <c r="BF394" s="25"/>
      <c r="BG394" s="25"/>
      <c r="BH394" s="25"/>
      <c r="BI394" s="25"/>
      <c r="BJ394" s="25"/>
      <c r="BK394" s="25"/>
      <c r="BL394" s="25"/>
      <c r="BM394" s="25"/>
      <c r="BN394" s="25"/>
      <c r="BO394" s="25"/>
      <c r="BP394" s="25"/>
      <c r="BQ394" s="25"/>
      <c r="BR394" s="25"/>
      <c r="BS394" s="25"/>
      <c r="BT394" s="25"/>
      <c r="BU394" s="25"/>
      <c r="BV394" s="25"/>
      <c r="BW394" s="25"/>
      <c r="BX394" s="25"/>
      <c r="BY394" s="25"/>
      <c r="BZ394" s="25"/>
      <c r="CA394" s="25"/>
      <c r="CB394" s="25"/>
      <c r="CC394" s="25"/>
      <c r="CD394" s="25"/>
      <c r="CE394" s="25"/>
      <c r="CF394" s="25"/>
      <c r="CG394" s="25"/>
      <c r="CH394" s="25"/>
      <c r="CI394" s="25"/>
      <c r="CJ394" s="25"/>
      <c r="CK394" s="25"/>
      <c r="CL394" s="25"/>
      <c r="CM394" s="25"/>
      <c r="CN394" s="25"/>
      <c r="CO394" s="25"/>
      <c r="CP394" s="25"/>
      <c r="CQ394" s="25"/>
      <c r="CR394" s="25"/>
      <c r="CS394" s="25"/>
    </row>
    <row r="395" spans="2:97">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c r="AV395" s="25"/>
      <c r="AW395" s="25"/>
      <c r="AX395" s="25"/>
      <c r="AY395" s="25"/>
      <c r="AZ395" s="25"/>
      <c r="BA395" s="25"/>
      <c r="BB395" s="25"/>
      <c r="BC395" s="25"/>
      <c r="BD395" s="25"/>
      <c r="BE395" s="25"/>
      <c r="BF395" s="25"/>
      <c r="BG395" s="25"/>
      <c r="BH395" s="25"/>
      <c r="BI395" s="25"/>
      <c r="BJ395" s="25"/>
      <c r="BK395" s="25"/>
      <c r="BL395" s="25"/>
      <c r="BM395" s="25"/>
      <c r="BN395" s="25"/>
      <c r="BO395" s="25"/>
      <c r="BP395" s="25"/>
      <c r="BQ395" s="25"/>
      <c r="BR395" s="25"/>
      <c r="BS395" s="25"/>
      <c r="BT395" s="25"/>
      <c r="BU395" s="25"/>
      <c r="BV395" s="25"/>
      <c r="BW395" s="25"/>
      <c r="BX395" s="25"/>
      <c r="BY395" s="25"/>
      <c r="BZ395" s="25"/>
      <c r="CA395" s="25"/>
      <c r="CB395" s="25"/>
      <c r="CC395" s="25"/>
      <c r="CD395" s="25"/>
      <c r="CE395" s="25"/>
      <c r="CF395" s="25"/>
      <c r="CG395" s="25"/>
      <c r="CH395" s="25"/>
      <c r="CI395" s="25"/>
      <c r="CJ395" s="25"/>
      <c r="CK395" s="25"/>
      <c r="CL395" s="25"/>
      <c r="CM395" s="25"/>
      <c r="CN395" s="25"/>
      <c r="CO395" s="25"/>
      <c r="CP395" s="25"/>
      <c r="CQ395" s="25"/>
      <c r="CR395" s="25"/>
      <c r="CS395" s="25"/>
    </row>
    <row r="396" spans="2:97">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c r="AV396" s="25"/>
      <c r="AW396" s="25"/>
      <c r="AX396" s="25"/>
      <c r="AY396" s="25"/>
      <c r="AZ396" s="25"/>
      <c r="BA396" s="25"/>
      <c r="BB396" s="25"/>
      <c r="BC396" s="25"/>
      <c r="BD396" s="25"/>
      <c r="BE396" s="25"/>
      <c r="BF396" s="25"/>
      <c r="BG396" s="25"/>
      <c r="BH396" s="25"/>
      <c r="BI396" s="25"/>
      <c r="BJ396" s="25"/>
      <c r="BK396" s="25"/>
      <c r="BL396" s="25"/>
      <c r="BM396" s="25"/>
      <c r="BN396" s="25"/>
      <c r="BO396" s="25"/>
      <c r="BP396" s="25"/>
      <c r="BQ396" s="25"/>
      <c r="BR396" s="25"/>
      <c r="BS396" s="25"/>
      <c r="BT396" s="25"/>
      <c r="BU396" s="25"/>
      <c r="BV396" s="25"/>
      <c r="BW396" s="25"/>
      <c r="BX396" s="25"/>
      <c r="BY396" s="25"/>
      <c r="BZ396" s="25"/>
      <c r="CA396" s="25"/>
      <c r="CB396" s="25"/>
      <c r="CC396" s="25"/>
      <c r="CD396" s="25"/>
      <c r="CE396" s="25"/>
      <c r="CF396" s="25"/>
      <c r="CG396" s="25"/>
      <c r="CH396" s="25"/>
      <c r="CI396" s="25"/>
      <c r="CJ396" s="25"/>
      <c r="CK396" s="25"/>
      <c r="CL396" s="25"/>
      <c r="CM396" s="25"/>
      <c r="CN396" s="25"/>
      <c r="CO396" s="25"/>
      <c r="CP396" s="25"/>
      <c r="CQ396" s="25"/>
      <c r="CR396" s="25"/>
      <c r="CS396" s="25"/>
    </row>
    <row r="397" spans="2:97">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c r="AV397" s="25"/>
      <c r="AW397" s="25"/>
      <c r="AX397" s="25"/>
      <c r="AY397" s="25"/>
      <c r="AZ397" s="25"/>
      <c r="BA397" s="25"/>
      <c r="BB397" s="25"/>
      <c r="BC397" s="25"/>
      <c r="BD397" s="25"/>
      <c r="BE397" s="25"/>
      <c r="BF397" s="25"/>
      <c r="BG397" s="25"/>
      <c r="BH397" s="25"/>
      <c r="BI397" s="25"/>
      <c r="BJ397" s="25"/>
      <c r="BK397" s="25"/>
      <c r="BL397" s="25"/>
      <c r="BM397" s="25"/>
      <c r="BN397" s="25"/>
      <c r="BO397" s="25"/>
      <c r="BP397" s="25"/>
      <c r="BQ397" s="25"/>
      <c r="BR397" s="25"/>
      <c r="BS397" s="25"/>
      <c r="BT397" s="25"/>
      <c r="BU397" s="25"/>
      <c r="BV397" s="25"/>
      <c r="BW397" s="25"/>
      <c r="BX397" s="25"/>
      <c r="BY397" s="25"/>
      <c r="BZ397" s="25"/>
      <c r="CA397" s="25"/>
      <c r="CB397" s="25"/>
      <c r="CC397" s="25"/>
      <c r="CD397" s="25"/>
      <c r="CE397" s="25"/>
      <c r="CF397" s="25"/>
      <c r="CG397" s="25"/>
      <c r="CH397" s="25"/>
      <c r="CI397" s="25"/>
      <c r="CJ397" s="25"/>
      <c r="CK397" s="25"/>
      <c r="CL397" s="25"/>
      <c r="CM397" s="25"/>
      <c r="CN397" s="25"/>
      <c r="CO397" s="25"/>
      <c r="CP397" s="25"/>
      <c r="CQ397" s="25"/>
      <c r="CR397" s="25"/>
      <c r="CS397" s="25"/>
    </row>
    <row r="398" spans="2:97">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c r="AV398" s="25"/>
      <c r="AW398" s="25"/>
      <c r="AX398" s="25"/>
      <c r="AY398" s="25"/>
      <c r="AZ398" s="25"/>
      <c r="BA398" s="25"/>
      <c r="BB398" s="25"/>
      <c r="BC398" s="25"/>
      <c r="BD398" s="25"/>
      <c r="BE398" s="25"/>
      <c r="BF398" s="25"/>
      <c r="BG398" s="25"/>
      <c r="BH398" s="25"/>
      <c r="BI398" s="25"/>
      <c r="BJ398" s="25"/>
      <c r="BK398" s="25"/>
      <c r="BL398" s="25"/>
      <c r="BM398" s="25"/>
      <c r="BN398" s="25"/>
      <c r="BO398" s="25"/>
      <c r="BP398" s="25"/>
      <c r="BQ398" s="25"/>
      <c r="BR398" s="25"/>
      <c r="BS398" s="25"/>
      <c r="BT398" s="25"/>
      <c r="BU398" s="25"/>
      <c r="BV398" s="25"/>
      <c r="BW398" s="25"/>
      <c r="BX398" s="25"/>
      <c r="BY398" s="25"/>
      <c r="BZ398" s="25"/>
      <c r="CA398" s="25"/>
      <c r="CB398" s="25"/>
      <c r="CC398" s="25"/>
      <c r="CD398" s="25"/>
      <c r="CE398" s="25"/>
      <c r="CF398" s="25"/>
      <c r="CG398" s="25"/>
      <c r="CH398" s="25"/>
      <c r="CI398" s="25"/>
      <c r="CJ398" s="25"/>
      <c r="CK398" s="25"/>
      <c r="CL398" s="25"/>
      <c r="CM398" s="25"/>
      <c r="CN398" s="25"/>
      <c r="CO398" s="25"/>
      <c r="CP398" s="25"/>
      <c r="CQ398" s="25"/>
      <c r="CR398" s="25"/>
      <c r="CS398" s="25"/>
    </row>
    <row r="399" spans="2:97">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c r="AV399" s="25"/>
      <c r="AW399" s="25"/>
      <c r="AX399" s="25"/>
      <c r="AY399" s="25"/>
      <c r="AZ399" s="25"/>
      <c r="BA399" s="25"/>
      <c r="BB399" s="25"/>
      <c r="BC399" s="25"/>
      <c r="BD399" s="25"/>
      <c r="BE399" s="25"/>
      <c r="BF399" s="25"/>
      <c r="BG399" s="25"/>
      <c r="BH399" s="25"/>
      <c r="BI399" s="25"/>
      <c r="BJ399" s="25"/>
      <c r="BK399" s="25"/>
      <c r="BL399" s="25"/>
      <c r="BM399" s="25"/>
      <c r="BN399" s="25"/>
      <c r="BO399" s="25"/>
      <c r="BP399" s="25"/>
      <c r="BQ399" s="25"/>
      <c r="BR399" s="25"/>
      <c r="BS399" s="25"/>
      <c r="BT399" s="25"/>
      <c r="BU399" s="25"/>
      <c r="BV399" s="25"/>
      <c r="BW399" s="25"/>
      <c r="BX399" s="25"/>
      <c r="BY399" s="25"/>
      <c r="BZ399" s="25"/>
      <c r="CA399" s="25"/>
      <c r="CB399" s="25"/>
      <c r="CC399" s="25"/>
      <c r="CD399" s="25"/>
      <c r="CE399" s="25"/>
      <c r="CF399" s="25"/>
      <c r="CG399" s="25"/>
      <c r="CH399" s="25"/>
      <c r="CI399" s="25"/>
      <c r="CJ399" s="25"/>
      <c r="CK399" s="25"/>
      <c r="CL399" s="25"/>
      <c r="CM399" s="25"/>
      <c r="CN399" s="25"/>
      <c r="CO399" s="25"/>
      <c r="CP399" s="25"/>
      <c r="CQ399" s="25"/>
      <c r="CR399" s="25"/>
      <c r="CS399" s="25"/>
    </row>
    <row r="400" spans="2:97">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c r="AV400" s="25"/>
      <c r="AW400" s="25"/>
      <c r="AX400" s="25"/>
      <c r="AY400" s="25"/>
      <c r="AZ400" s="25"/>
      <c r="BA400" s="25"/>
      <c r="BB400" s="25"/>
      <c r="BC400" s="25"/>
      <c r="BD400" s="25"/>
      <c r="BE400" s="25"/>
      <c r="BF400" s="25"/>
      <c r="BG400" s="25"/>
      <c r="BH400" s="25"/>
      <c r="BI400" s="25"/>
      <c r="BJ400" s="25"/>
      <c r="BK400" s="25"/>
      <c r="BL400" s="25"/>
      <c r="BM400" s="25"/>
      <c r="BN400" s="25"/>
      <c r="BO400" s="25"/>
      <c r="BP400" s="25"/>
      <c r="BQ400" s="25"/>
      <c r="BR400" s="25"/>
      <c r="BS400" s="25"/>
      <c r="BT400" s="25"/>
      <c r="BU400" s="25"/>
      <c r="BV400" s="25"/>
      <c r="BW400" s="25"/>
      <c r="BX400" s="25"/>
      <c r="BY400" s="25"/>
      <c r="BZ400" s="25"/>
      <c r="CA400" s="25"/>
      <c r="CB400" s="25"/>
      <c r="CC400" s="25"/>
      <c r="CD400" s="25"/>
      <c r="CE400" s="25"/>
      <c r="CF400" s="25"/>
      <c r="CG400" s="25"/>
      <c r="CH400" s="25"/>
      <c r="CI400" s="25"/>
      <c r="CJ400" s="25"/>
      <c r="CK400" s="25"/>
      <c r="CL400" s="25"/>
      <c r="CM400" s="25"/>
      <c r="CN400" s="25"/>
      <c r="CO400" s="25"/>
      <c r="CP400" s="25"/>
      <c r="CQ400" s="25"/>
      <c r="CR400" s="25"/>
      <c r="CS400" s="25"/>
    </row>
    <row r="401" spans="2:97">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c r="AV401" s="25"/>
      <c r="AW401" s="25"/>
      <c r="AX401" s="25"/>
      <c r="AY401" s="25"/>
      <c r="AZ401" s="25"/>
      <c r="BA401" s="25"/>
      <c r="BB401" s="25"/>
      <c r="BC401" s="25"/>
      <c r="BD401" s="25"/>
      <c r="BE401" s="25"/>
      <c r="BF401" s="25"/>
      <c r="BG401" s="25"/>
      <c r="BH401" s="25"/>
      <c r="BI401" s="25"/>
      <c r="BJ401" s="25"/>
      <c r="BK401" s="25"/>
      <c r="BL401" s="25"/>
      <c r="BM401" s="25"/>
      <c r="BN401" s="25"/>
      <c r="BO401" s="25"/>
      <c r="BP401" s="25"/>
      <c r="BQ401" s="25"/>
      <c r="BR401" s="25"/>
      <c r="BS401" s="25"/>
      <c r="BT401" s="25"/>
      <c r="BU401" s="25"/>
      <c r="BV401" s="25"/>
      <c r="BW401" s="25"/>
      <c r="BX401" s="25"/>
      <c r="BY401" s="25"/>
      <c r="BZ401" s="25"/>
      <c r="CA401" s="25"/>
      <c r="CB401" s="25"/>
      <c r="CC401" s="25"/>
      <c r="CD401" s="25"/>
      <c r="CE401" s="25"/>
      <c r="CF401" s="25"/>
      <c r="CG401" s="25"/>
      <c r="CH401" s="25"/>
      <c r="CI401" s="25"/>
      <c r="CJ401" s="25"/>
      <c r="CK401" s="25"/>
      <c r="CL401" s="25"/>
      <c r="CM401" s="25"/>
      <c r="CN401" s="25"/>
      <c r="CO401" s="25"/>
      <c r="CP401" s="25"/>
      <c r="CQ401" s="25"/>
      <c r="CR401" s="25"/>
      <c r="CS401" s="25"/>
    </row>
    <row r="402" spans="2:97">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c r="AV402" s="25"/>
      <c r="AW402" s="25"/>
      <c r="AX402" s="25"/>
      <c r="AY402" s="25"/>
      <c r="AZ402" s="25"/>
      <c r="BA402" s="25"/>
      <c r="BB402" s="25"/>
      <c r="BC402" s="25"/>
      <c r="BD402" s="25"/>
      <c r="BE402" s="25"/>
      <c r="BF402" s="25"/>
      <c r="BG402" s="25"/>
      <c r="BH402" s="25"/>
      <c r="BI402" s="25"/>
      <c r="BJ402" s="25"/>
      <c r="BK402" s="25"/>
      <c r="BL402" s="25"/>
      <c r="BM402" s="25"/>
      <c r="BN402" s="25"/>
      <c r="BO402" s="25"/>
      <c r="BP402" s="25"/>
      <c r="BQ402" s="25"/>
      <c r="BR402" s="25"/>
      <c r="BS402" s="25"/>
      <c r="BT402" s="25"/>
      <c r="BU402" s="25"/>
      <c r="BV402" s="25"/>
      <c r="BW402" s="25"/>
      <c r="BX402" s="25"/>
      <c r="BY402" s="25"/>
      <c r="BZ402" s="25"/>
      <c r="CA402" s="25"/>
      <c r="CB402" s="25"/>
      <c r="CC402" s="25"/>
      <c r="CD402" s="25"/>
      <c r="CE402" s="25"/>
      <c r="CF402" s="25"/>
      <c r="CG402" s="25"/>
      <c r="CH402" s="25"/>
      <c r="CI402" s="25"/>
      <c r="CJ402" s="25"/>
      <c r="CK402" s="25"/>
      <c r="CL402" s="25"/>
      <c r="CM402" s="25"/>
      <c r="CN402" s="25"/>
      <c r="CO402" s="25"/>
      <c r="CP402" s="25"/>
      <c r="CQ402" s="25"/>
      <c r="CR402" s="25"/>
      <c r="CS402" s="25"/>
    </row>
    <row r="403" spans="2:97">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c r="AV403" s="25"/>
      <c r="AW403" s="25"/>
      <c r="AX403" s="25"/>
      <c r="AY403" s="25"/>
      <c r="AZ403" s="25"/>
      <c r="BA403" s="25"/>
      <c r="BB403" s="25"/>
      <c r="BC403" s="25"/>
      <c r="BD403" s="25"/>
      <c r="BE403" s="25"/>
      <c r="BF403" s="25"/>
      <c r="BG403" s="25"/>
      <c r="BH403" s="25"/>
      <c r="BI403" s="25"/>
      <c r="BJ403" s="25"/>
      <c r="BK403" s="25"/>
      <c r="BL403" s="25"/>
      <c r="BM403" s="25"/>
      <c r="BN403" s="25"/>
      <c r="BO403" s="25"/>
      <c r="BP403" s="25"/>
      <c r="BQ403" s="25"/>
      <c r="BR403" s="25"/>
      <c r="BS403" s="25"/>
      <c r="BT403" s="25"/>
      <c r="BU403" s="25"/>
      <c r="BV403" s="25"/>
      <c r="BW403" s="25"/>
      <c r="BX403" s="25"/>
      <c r="BY403" s="25"/>
      <c r="BZ403" s="25"/>
      <c r="CA403" s="25"/>
      <c r="CB403" s="25"/>
      <c r="CC403" s="25"/>
      <c r="CD403" s="25"/>
      <c r="CE403" s="25"/>
      <c r="CF403" s="25"/>
      <c r="CG403" s="25"/>
      <c r="CH403" s="25"/>
      <c r="CI403" s="25"/>
      <c r="CJ403" s="25"/>
      <c r="CK403" s="25"/>
      <c r="CL403" s="25"/>
      <c r="CM403" s="25"/>
      <c r="CN403" s="25"/>
      <c r="CO403" s="25"/>
      <c r="CP403" s="25"/>
      <c r="CQ403" s="25"/>
      <c r="CR403" s="25"/>
      <c r="CS403" s="25"/>
    </row>
    <row r="404" spans="2:97">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c r="AV404" s="25"/>
      <c r="AW404" s="25"/>
      <c r="AX404" s="25"/>
      <c r="AY404" s="25"/>
      <c r="AZ404" s="25"/>
      <c r="BA404" s="25"/>
      <c r="BB404" s="25"/>
      <c r="BC404" s="25"/>
      <c r="BD404" s="25"/>
      <c r="BE404" s="25"/>
      <c r="BF404" s="25"/>
      <c r="BG404" s="25"/>
      <c r="BH404" s="25"/>
      <c r="BI404" s="25"/>
      <c r="BJ404" s="25"/>
      <c r="BK404" s="25"/>
      <c r="BL404" s="25"/>
      <c r="BM404" s="25"/>
      <c r="BN404" s="25"/>
      <c r="BO404" s="25"/>
      <c r="BP404" s="25"/>
      <c r="BQ404" s="25"/>
      <c r="BR404" s="25"/>
      <c r="BS404" s="25"/>
      <c r="BT404" s="25"/>
      <c r="BU404" s="25"/>
      <c r="BV404" s="25"/>
      <c r="BW404" s="25"/>
      <c r="BX404" s="25"/>
      <c r="BY404" s="25"/>
      <c r="BZ404" s="25"/>
      <c r="CA404" s="25"/>
      <c r="CB404" s="25"/>
      <c r="CC404" s="25"/>
      <c r="CD404" s="25"/>
      <c r="CE404" s="25"/>
      <c r="CF404" s="25"/>
      <c r="CG404" s="25"/>
      <c r="CH404" s="25"/>
      <c r="CI404" s="25"/>
      <c r="CJ404" s="25"/>
      <c r="CK404" s="25"/>
      <c r="CL404" s="25"/>
      <c r="CM404" s="25"/>
      <c r="CN404" s="25"/>
      <c r="CO404" s="25"/>
      <c r="CP404" s="25"/>
      <c r="CQ404" s="25"/>
      <c r="CR404" s="25"/>
      <c r="CS404" s="25"/>
    </row>
    <row r="405" spans="2:97">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c r="AV405" s="25"/>
      <c r="AW405" s="25"/>
      <c r="AX405" s="25"/>
      <c r="AY405" s="25"/>
      <c r="AZ405" s="25"/>
      <c r="BA405" s="25"/>
      <c r="BB405" s="25"/>
      <c r="BC405" s="25"/>
      <c r="BD405" s="25"/>
      <c r="BE405" s="25"/>
      <c r="BF405" s="25"/>
      <c r="BG405" s="25"/>
      <c r="BH405" s="25"/>
      <c r="BI405" s="25"/>
      <c r="BJ405" s="25"/>
      <c r="BK405" s="25"/>
      <c r="BL405" s="25"/>
      <c r="BM405" s="25"/>
      <c r="BN405" s="25"/>
      <c r="BO405" s="25"/>
      <c r="BP405" s="25"/>
      <c r="BQ405" s="25"/>
      <c r="BR405" s="25"/>
      <c r="BS405" s="25"/>
      <c r="BT405" s="25"/>
      <c r="BU405" s="25"/>
      <c r="BV405" s="25"/>
      <c r="BW405" s="25"/>
      <c r="BX405" s="25"/>
      <c r="BY405" s="25"/>
      <c r="BZ405" s="25"/>
      <c r="CA405" s="25"/>
      <c r="CB405" s="25"/>
      <c r="CC405" s="25"/>
      <c r="CD405" s="25"/>
      <c r="CE405" s="25"/>
      <c r="CF405" s="25"/>
      <c r="CG405" s="25"/>
      <c r="CH405" s="25"/>
      <c r="CI405" s="25"/>
      <c r="CJ405" s="25"/>
      <c r="CK405" s="25"/>
      <c r="CL405" s="25"/>
      <c r="CM405" s="25"/>
      <c r="CN405" s="25"/>
      <c r="CO405" s="25"/>
      <c r="CP405" s="25"/>
      <c r="CQ405" s="25"/>
      <c r="CR405" s="25"/>
      <c r="CS405" s="25"/>
    </row>
    <row r="406" spans="2:97">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c r="AV406" s="25"/>
      <c r="AW406" s="25"/>
      <c r="AX406" s="25"/>
      <c r="AY406" s="25"/>
      <c r="AZ406" s="25"/>
      <c r="BA406" s="25"/>
      <c r="BB406" s="25"/>
      <c r="BC406" s="25"/>
      <c r="BD406" s="25"/>
      <c r="BE406" s="25"/>
      <c r="BF406" s="25"/>
      <c r="BG406" s="25"/>
      <c r="BH406" s="25"/>
      <c r="BI406" s="25"/>
      <c r="BJ406" s="25"/>
      <c r="BK406" s="25"/>
      <c r="BL406" s="25"/>
      <c r="BM406" s="25"/>
      <c r="BN406" s="25"/>
      <c r="BO406" s="25"/>
      <c r="BP406" s="25"/>
      <c r="BQ406" s="25"/>
      <c r="BR406" s="25"/>
      <c r="BS406" s="25"/>
      <c r="BT406" s="25"/>
      <c r="BU406" s="25"/>
      <c r="BV406" s="25"/>
      <c r="BW406" s="25"/>
      <c r="BX406" s="25"/>
      <c r="BY406" s="25"/>
      <c r="BZ406" s="25"/>
      <c r="CA406" s="25"/>
      <c r="CB406" s="25"/>
      <c r="CC406" s="25"/>
      <c r="CD406" s="25"/>
      <c r="CE406" s="25"/>
      <c r="CF406" s="25"/>
      <c r="CG406" s="25"/>
      <c r="CH406" s="25"/>
      <c r="CI406" s="25"/>
      <c r="CJ406" s="25"/>
      <c r="CK406" s="25"/>
      <c r="CL406" s="25"/>
      <c r="CM406" s="25"/>
      <c r="CN406" s="25"/>
      <c r="CO406" s="25"/>
      <c r="CP406" s="25"/>
      <c r="CQ406" s="25"/>
      <c r="CR406" s="25"/>
      <c r="CS406" s="25"/>
    </row>
    <row r="407" spans="2:97">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c r="AV407" s="25"/>
      <c r="AW407" s="25"/>
      <c r="AX407" s="25"/>
      <c r="AY407" s="25"/>
      <c r="AZ407" s="25"/>
      <c r="BA407" s="25"/>
      <c r="BB407" s="25"/>
      <c r="BC407" s="25"/>
      <c r="BD407" s="25"/>
      <c r="BE407" s="25"/>
      <c r="BF407" s="25"/>
      <c r="BG407" s="25"/>
      <c r="BH407" s="25"/>
      <c r="BI407" s="25"/>
      <c r="BJ407" s="25"/>
      <c r="BK407" s="25"/>
      <c r="BL407" s="25"/>
      <c r="BM407" s="25"/>
      <c r="BN407" s="25"/>
      <c r="BO407" s="25"/>
      <c r="BP407" s="25"/>
      <c r="BQ407" s="25"/>
      <c r="BR407" s="25"/>
      <c r="BS407" s="25"/>
      <c r="BT407" s="25"/>
      <c r="BU407" s="25"/>
      <c r="BV407" s="25"/>
      <c r="BW407" s="25"/>
      <c r="BX407" s="25"/>
      <c r="BY407" s="25"/>
      <c r="BZ407" s="25"/>
      <c r="CA407" s="25"/>
      <c r="CB407" s="25"/>
      <c r="CC407" s="25"/>
      <c r="CD407" s="25"/>
      <c r="CE407" s="25"/>
      <c r="CF407" s="25"/>
      <c r="CG407" s="25"/>
      <c r="CH407" s="25"/>
      <c r="CI407" s="25"/>
      <c r="CJ407" s="25"/>
      <c r="CK407" s="25"/>
      <c r="CL407" s="25"/>
      <c r="CM407" s="25"/>
      <c r="CN407" s="25"/>
      <c r="CO407" s="25"/>
      <c r="CP407" s="25"/>
      <c r="CQ407" s="25"/>
      <c r="CR407" s="25"/>
      <c r="CS407" s="25"/>
    </row>
    <row r="408" spans="2:97">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c r="AV408" s="25"/>
      <c r="AW408" s="25"/>
      <c r="AX408" s="25"/>
      <c r="AY408" s="25"/>
      <c r="AZ408" s="25"/>
      <c r="BA408" s="25"/>
      <c r="BB408" s="25"/>
      <c r="BC408" s="25"/>
      <c r="BD408" s="25"/>
      <c r="BE408" s="25"/>
      <c r="BF408" s="25"/>
      <c r="BG408" s="25"/>
      <c r="BH408" s="25"/>
      <c r="BI408" s="25"/>
      <c r="BJ408" s="25"/>
      <c r="BK408" s="25"/>
      <c r="BL408" s="25"/>
      <c r="BM408" s="25"/>
      <c r="BN408" s="25"/>
      <c r="BO408" s="25"/>
      <c r="BP408" s="25"/>
      <c r="BQ408" s="25"/>
      <c r="BR408" s="25"/>
      <c r="BS408" s="25"/>
      <c r="BT408" s="25"/>
      <c r="BU408" s="25"/>
      <c r="BV408" s="25"/>
      <c r="BW408" s="25"/>
      <c r="BX408" s="25"/>
      <c r="BY408" s="25"/>
      <c r="BZ408" s="25"/>
      <c r="CA408" s="25"/>
      <c r="CB408" s="25"/>
      <c r="CC408" s="25"/>
      <c r="CD408" s="25"/>
      <c r="CE408" s="25"/>
      <c r="CF408" s="25"/>
      <c r="CG408" s="25"/>
      <c r="CH408" s="25"/>
      <c r="CI408" s="25"/>
      <c r="CJ408" s="25"/>
      <c r="CK408" s="25"/>
      <c r="CL408" s="25"/>
      <c r="CM408" s="25"/>
      <c r="CN408" s="25"/>
      <c r="CO408" s="25"/>
      <c r="CP408" s="25"/>
      <c r="CQ408" s="25"/>
      <c r="CR408" s="25"/>
      <c r="CS408" s="25"/>
    </row>
    <row r="409" spans="2:97">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c r="AV409" s="25"/>
      <c r="AW409" s="25"/>
      <c r="AX409" s="25"/>
      <c r="AY409" s="25"/>
      <c r="AZ409" s="25"/>
      <c r="BA409" s="25"/>
      <c r="BB409" s="25"/>
      <c r="BC409" s="25"/>
      <c r="BD409" s="25"/>
      <c r="BE409" s="25"/>
      <c r="BF409" s="25"/>
      <c r="BG409" s="25"/>
      <c r="BH409" s="25"/>
      <c r="BI409" s="25"/>
      <c r="BJ409" s="25"/>
      <c r="BK409" s="25"/>
      <c r="BL409" s="25"/>
      <c r="BM409" s="25"/>
      <c r="BN409" s="25"/>
      <c r="BO409" s="25"/>
      <c r="BP409" s="25"/>
      <c r="BQ409" s="25"/>
      <c r="BR409" s="25"/>
      <c r="BS409" s="25"/>
      <c r="BT409" s="25"/>
      <c r="BU409" s="25"/>
      <c r="BV409" s="25"/>
      <c r="BW409" s="25"/>
      <c r="BX409" s="25"/>
      <c r="BY409" s="25"/>
      <c r="BZ409" s="25"/>
      <c r="CA409" s="25"/>
      <c r="CB409" s="25"/>
      <c r="CC409" s="25"/>
      <c r="CD409" s="25"/>
      <c r="CE409" s="25"/>
      <c r="CF409" s="25"/>
      <c r="CG409" s="25"/>
      <c r="CH409" s="25"/>
      <c r="CI409" s="25"/>
      <c r="CJ409" s="25"/>
      <c r="CK409" s="25"/>
      <c r="CL409" s="25"/>
      <c r="CM409" s="25"/>
      <c r="CN409" s="25"/>
      <c r="CO409" s="25"/>
      <c r="CP409" s="25"/>
      <c r="CQ409" s="25"/>
      <c r="CR409" s="25"/>
      <c r="CS409" s="25"/>
    </row>
    <row r="410" spans="2:97">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c r="AV410" s="25"/>
      <c r="AW410" s="25"/>
      <c r="AX410" s="25"/>
      <c r="AY410" s="25"/>
      <c r="AZ410" s="25"/>
      <c r="BA410" s="25"/>
      <c r="BB410" s="25"/>
      <c r="BC410" s="25"/>
      <c r="BD410" s="25"/>
      <c r="BE410" s="25"/>
      <c r="BF410" s="25"/>
      <c r="BG410" s="25"/>
      <c r="BH410" s="25"/>
      <c r="BI410" s="25"/>
      <c r="BJ410" s="25"/>
      <c r="BK410" s="25"/>
      <c r="BL410" s="25"/>
      <c r="BM410" s="25"/>
      <c r="BN410" s="25"/>
      <c r="BO410" s="25"/>
      <c r="BP410" s="25"/>
      <c r="BQ410" s="25"/>
      <c r="BR410" s="25"/>
      <c r="BS410" s="25"/>
      <c r="BT410" s="25"/>
      <c r="BU410" s="25"/>
      <c r="BV410" s="25"/>
      <c r="BW410" s="25"/>
      <c r="BX410" s="25"/>
      <c r="BY410" s="25"/>
      <c r="BZ410" s="25"/>
      <c r="CA410" s="25"/>
      <c r="CB410" s="25"/>
      <c r="CC410" s="25"/>
      <c r="CD410" s="25"/>
      <c r="CE410" s="25"/>
      <c r="CF410" s="25"/>
      <c r="CG410" s="25"/>
      <c r="CH410" s="25"/>
      <c r="CI410" s="25"/>
      <c r="CJ410" s="25"/>
      <c r="CK410" s="25"/>
      <c r="CL410" s="25"/>
      <c r="CM410" s="25"/>
      <c r="CN410" s="25"/>
      <c r="CO410" s="25"/>
      <c r="CP410" s="25"/>
      <c r="CQ410" s="25"/>
      <c r="CR410" s="25"/>
      <c r="CS410" s="25"/>
    </row>
    <row r="411" spans="2:97">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c r="AV411" s="25"/>
      <c r="AW411" s="25"/>
      <c r="AX411" s="25"/>
      <c r="AY411" s="25"/>
      <c r="AZ411" s="25"/>
      <c r="BA411" s="25"/>
      <c r="BB411" s="25"/>
      <c r="BC411" s="25"/>
      <c r="BD411" s="25"/>
      <c r="BE411" s="25"/>
      <c r="BF411" s="25"/>
      <c r="BG411" s="25"/>
      <c r="BH411" s="25"/>
      <c r="BI411" s="25"/>
      <c r="BJ411" s="25"/>
      <c r="BK411" s="25"/>
      <c r="BL411" s="25"/>
      <c r="BM411" s="25"/>
      <c r="BN411" s="25"/>
      <c r="BO411" s="25"/>
      <c r="BP411" s="25"/>
      <c r="BQ411" s="25"/>
      <c r="BR411" s="25"/>
      <c r="BS411" s="25"/>
      <c r="BT411" s="25"/>
      <c r="BU411" s="25"/>
      <c r="BV411" s="25"/>
      <c r="BW411" s="25"/>
      <c r="BX411" s="25"/>
      <c r="BY411" s="25"/>
      <c r="BZ411" s="25"/>
      <c r="CA411" s="25"/>
      <c r="CB411" s="25"/>
      <c r="CC411" s="25"/>
      <c r="CD411" s="25"/>
      <c r="CE411" s="25"/>
      <c r="CF411" s="25"/>
      <c r="CG411" s="25"/>
      <c r="CH411" s="25"/>
      <c r="CI411" s="25"/>
      <c r="CJ411" s="25"/>
      <c r="CK411" s="25"/>
      <c r="CL411" s="25"/>
      <c r="CM411" s="25"/>
      <c r="CN411" s="25"/>
      <c r="CO411" s="25"/>
      <c r="CP411" s="25"/>
      <c r="CQ411" s="25"/>
      <c r="CR411" s="25"/>
      <c r="CS411" s="25"/>
    </row>
    <row r="412" spans="2:97">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c r="AV412" s="25"/>
      <c r="AW412" s="25"/>
      <c r="AX412" s="25"/>
      <c r="AY412" s="25"/>
      <c r="AZ412" s="25"/>
      <c r="BA412" s="25"/>
      <c r="BB412" s="25"/>
      <c r="BC412" s="25"/>
      <c r="BD412" s="25"/>
      <c r="BE412" s="25"/>
      <c r="BF412" s="25"/>
      <c r="BG412" s="25"/>
      <c r="BH412" s="25"/>
      <c r="BI412" s="25"/>
      <c r="BJ412" s="25"/>
      <c r="BK412" s="25"/>
      <c r="BL412" s="25"/>
      <c r="BM412" s="25"/>
      <c r="BN412" s="25"/>
      <c r="BO412" s="25"/>
      <c r="BP412" s="25"/>
      <c r="BQ412" s="25"/>
      <c r="BR412" s="25"/>
      <c r="BS412" s="25"/>
      <c r="BT412" s="25"/>
      <c r="BU412" s="25"/>
      <c r="BV412" s="25"/>
      <c r="BW412" s="25"/>
      <c r="BX412" s="25"/>
      <c r="BY412" s="25"/>
      <c r="BZ412" s="25"/>
      <c r="CA412" s="25"/>
      <c r="CB412" s="25"/>
      <c r="CC412" s="25"/>
      <c r="CD412" s="25"/>
      <c r="CE412" s="25"/>
      <c r="CF412" s="25"/>
      <c r="CG412" s="25"/>
      <c r="CH412" s="25"/>
      <c r="CI412" s="25"/>
      <c r="CJ412" s="25"/>
      <c r="CK412" s="25"/>
      <c r="CL412" s="25"/>
      <c r="CM412" s="25"/>
      <c r="CN412" s="25"/>
      <c r="CO412" s="25"/>
      <c r="CP412" s="25"/>
      <c r="CQ412" s="25"/>
      <c r="CR412" s="25"/>
      <c r="CS412" s="25"/>
    </row>
    <row r="413" spans="2:97">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c r="AV413" s="25"/>
      <c r="AW413" s="25"/>
      <c r="AX413" s="25"/>
      <c r="AY413" s="25"/>
      <c r="AZ413" s="25"/>
      <c r="BA413" s="25"/>
      <c r="BB413" s="25"/>
      <c r="BC413" s="25"/>
      <c r="BD413" s="25"/>
      <c r="BE413" s="25"/>
      <c r="BF413" s="25"/>
      <c r="BG413" s="25"/>
      <c r="BH413" s="25"/>
      <c r="BI413" s="25"/>
      <c r="BJ413" s="25"/>
      <c r="BK413" s="25"/>
      <c r="BL413" s="25"/>
      <c r="BM413" s="25"/>
      <c r="BN413" s="25"/>
      <c r="BO413" s="25"/>
      <c r="BP413" s="25"/>
      <c r="BQ413" s="25"/>
      <c r="BR413" s="25"/>
      <c r="BS413" s="25"/>
      <c r="BT413" s="25"/>
      <c r="BU413" s="25"/>
      <c r="BV413" s="25"/>
      <c r="BW413" s="25"/>
      <c r="BX413" s="25"/>
      <c r="BY413" s="25"/>
      <c r="BZ413" s="25"/>
      <c r="CA413" s="25"/>
      <c r="CB413" s="25"/>
      <c r="CC413" s="25"/>
      <c r="CD413" s="25"/>
      <c r="CE413" s="25"/>
      <c r="CF413" s="25"/>
      <c r="CG413" s="25"/>
      <c r="CH413" s="25"/>
      <c r="CI413" s="25"/>
      <c r="CJ413" s="25"/>
      <c r="CK413" s="25"/>
      <c r="CL413" s="25"/>
      <c r="CM413" s="25"/>
      <c r="CN413" s="25"/>
      <c r="CO413" s="25"/>
      <c r="CP413" s="25"/>
      <c r="CQ413" s="25"/>
      <c r="CR413" s="25"/>
      <c r="CS413" s="25"/>
    </row>
    <row r="414" spans="2:97">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c r="AV414" s="25"/>
      <c r="AW414" s="25"/>
      <c r="AX414" s="25"/>
      <c r="AY414" s="25"/>
      <c r="AZ414" s="25"/>
      <c r="BA414" s="25"/>
      <c r="BB414" s="25"/>
      <c r="BC414" s="25"/>
      <c r="BD414" s="25"/>
      <c r="BE414" s="25"/>
      <c r="BF414" s="25"/>
      <c r="BG414" s="25"/>
      <c r="BH414" s="25"/>
      <c r="BI414" s="25"/>
      <c r="BJ414" s="25"/>
      <c r="BK414" s="25"/>
      <c r="BL414" s="25"/>
      <c r="BM414" s="25"/>
      <c r="BN414" s="25"/>
      <c r="BO414" s="25"/>
      <c r="BP414" s="25"/>
      <c r="BQ414" s="25"/>
      <c r="BR414" s="25"/>
      <c r="BS414" s="25"/>
      <c r="BT414" s="25"/>
      <c r="BU414" s="25"/>
      <c r="BV414" s="25"/>
      <c r="BW414" s="25"/>
      <c r="BX414" s="25"/>
      <c r="BY414" s="25"/>
      <c r="BZ414" s="25"/>
      <c r="CA414" s="25"/>
      <c r="CB414" s="25"/>
      <c r="CC414" s="25"/>
      <c r="CD414" s="25"/>
      <c r="CE414" s="25"/>
      <c r="CF414" s="25"/>
      <c r="CG414" s="25"/>
      <c r="CH414" s="25"/>
      <c r="CI414" s="25"/>
      <c r="CJ414" s="25"/>
      <c r="CK414" s="25"/>
      <c r="CL414" s="25"/>
      <c r="CM414" s="25"/>
      <c r="CN414" s="25"/>
      <c r="CO414" s="25"/>
      <c r="CP414" s="25"/>
      <c r="CQ414" s="25"/>
      <c r="CR414" s="25"/>
      <c r="CS414" s="25"/>
    </row>
    <row r="415" spans="2:97">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c r="AV415" s="25"/>
      <c r="AW415" s="25"/>
      <c r="AX415" s="25"/>
      <c r="AY415" s="25"/>
      <c r="AZ415" s="25"/>
      <c r="BA415" s="25"/>
      <c r="BB415" s="25"/>
      <c r="BC415" s="25"/>
      <c r="BD415" s="25"/>
      <c r="BE415" s="25"/>
      <c r="BF415" s="25"/>
      <c r="BG415" s="25"/>
      <c r="BH415" s="25"/>
      <c r="BI415" s="25"/>
      <c r="BJ415" s="25"/>
      <c r="BK415" s="25"/>
      <c r="BL415" s="25"/>
      <c r="BM415" s="25"/>
      <c r="BN415" s="25"/>
      <c r="BO415" s="25"/>
      <c r="BP415" s="25"/>
      <c r="BQ415" s="25"/>
      <c r="BR415" s="25"/>
      <c r="BS415" s="25"/>
      <c r="BT415" s="25"/>
      <c r="BU415" s="25"/>
      <c r="BV415" s="25"/>
      <c r="BW415" s="25"/>
      <c r="BX415" s="25"/>
      <c r="BY415" s="25"/>
      <c r="BZ415" s="25"/>
      <c r="CA415" s="25"/>
      <c r="CB415" s="25"/>
      <c r="CC415" s="25"/>
      <c r="CD415" s="25"/>
      <c r="CE415" s="25"/>
      <c r="CF415" s="25"/>
      <c r="CG415" s="25"/>
      <c r="CH415" s="25"/>
      <c r="CI415" s="25"/>
      <c r="CJ415" s="25"/>
      <c r="CK415" s="25"/>
      <c r="CL415" s="25"/>
      <c r="CM415" s="25"/>
      <c r="CN415" s="25"/>
      <c r="CO415" s="25"/>
      <c r="CP415" s="25"/>
      <c r="CQ415" s="25"/>
      <c r="CR415" s="25"/>
      <c r="CS415" s="25"/>
    </row>
    <row r="416" spans="2:97">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c r="AV416" s="25"/>
      <c r="AW416" s="25"/>
      <c r="AX416" s="25"/>
      <c r="AY416" s="25"/>
      <c r="AZ416" s="25"/>
      <c r="BA416" s="25"/>
      <c r="BB416" s="25"/>
      <c r="BC416" s="25"/>
      <c r="BD416" s="25"/>
      <c r="BE416" s="25"/>
      <c r="BF416" s="25"/>
      <c r="BG416" s="25"/>
      <c r="BH416" s="25"/>
      <c r="BI416" s="25"/>
      <c r="BJ416" s="25"/>
      <c r="BK416" s="25"/>
      <c r="BL416" s="25"/>
      <c r="BM416" s="25"/>
      <c r="BN416" s="25"/>
      <c r="BO416" s="25"/>
      <c r="BP416" s="25"/>
      <c r="BQ416" s="25"/>
      <c r="BR416" s="25"/>
      <c r="BS416" s="25"/>
      <c r="BT416" s="25"/>
      <c r="BU416" s="25"/>
      <c r="BV416" s="25"/>
      <c r="BW416" s="25"/>
      <c r="BX416" s="25"/>
      <c r="BY416" s="25"/>
      <c r="BZ416" s="25"/>
      <c r="CA416" s="25"/>
      <c r="CB416" s="25"/>
      <c r="CC416" s="25"/>
      <c r="CD416" s="25"/>
      <c r="CE416" s="25"/>
      <c r="CF416" s="25"/>
      <c r="CG416" s="25"/>
      <c r="CH416" s="25"/>
      <c r="CI416" s="25"/>
      <c r="CJ416" s="25"/>
      <c r="CK416" s="25"/>
      <c r="CL416" s="25"/>
      <c r="CM416" s="25"/>
      <c r="CN416" s="25"/>
      <c r="CO416" s="25"/>
      <c r="CP416" s="25"/>
      <c r="CQ416" s="25"/>
      <c r="CR416" s="25"/>
      <c r="CS416" s="25"/>
    </row>
    <row r="417" spans="2:97">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c r="AV417" s="25"/>
      <c r="AW417" s="25"/>
      <c r="AX417" s="25"/>
      <c r="AY417" s="25"/>
      <c r="AZ417" s="25"/>
      <c r="BA417" s="25"/>
      <c r="BB417" s="25"/>
      <c r="BC417" s="25"/>
      <c r="BD417" s="25"/>
      <c r="BE417" s="25"/>
      <c r="BF417" s="25"/>
      <c r="BG417" s="25"/>
      <c r="BH417" s="25"/>
      <c r="BI417" s="25"/>
      <c r="BJ417" s="25"/>
      <c r="BK417" s="25"/>
      <c r="BL417" s="25"/>
      <c r="BM417" s="25"/>
      <c r="BN417" s="25"/>
      <c r="BO417" s="25"/>
      <c r="BP417" s="25"/>
      <c r="BQ417" s="25"/>
      <c r="BR417" s="25"/>
      <c r="BS417" s="25"/>
      <c r="BT417" s="25"/>
      <c r="BU417" s="25"/>
      <c r="BV417" s="25"/>
      <c r="BW417" s="25"/>
      <c r="BX417" s="25"/>
      <c r="BY417" s="25"/>
      <c r="BZ417" s="25"/>
      <c r="CA417" s="25"/>
      <c r="CB417" s="25"/>
      <c r="CC417" s="25"/>
      <c r="CD417" s="25"/>
      <c r="CE417" s="25"/>
      <c r="CF417" s="25"/>
      <c r="CG417" s="25"/>
      <c r="CH417" s="25"/>
      <c r="CI417" s="25"/>
      <c r="CJ417" s="25"/>
      <c r="CK417" s="25"/>
      <c r="CL417" s="25"/>
      <c r="CM417" s="25"/>
      <c r="CN417" s="25"/>
      <c r="CO417" s="25"/>
      <c r="CP417" s="25"/>
      <c r="CQ417" s="25"/>
      <c r="CR417" s="25"/>
      <c r="CS417" s="25"/>
    </row>
    <row r="418" spans="2:97">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c r="AV418" s="25"/>
      <c r="AW418" s="25"/>
      <c r="AX418" s="25"/>
      <c r="AY418" s="25"/>
      <c r="AZ418" s="25"/>
      <c r="BA418" s="25"/>
      <c r="BB418" s="25"/>
      <c r="BC418" s="25"/>
      <c r="BD418" s="25"/>
      <c r="BE418" s="25"/>
      <c r="BF418" s="25"/>
      <c r="BG418" s="25"/>
      <c r="BH418" s="25"/>
      <c r="BI418" s="25"/>
      <c r="BJ418" s="25"/>
      <c r="BK418" s="25"/>
      <c r="BL418" s="25"/>
      <c r="BM418" s="25"/>
      <c r="BN418" s="25"/>
      <c r="BO418" s="25"/>
      <c r="BP418" s="25"/>
      <c r="BQ418" s="25"/>
      <c r="BR418" s="25"/>
      <c r="BS418" s="25"/>
      <c r="BT418" s="25"/>
      <c r="BU418" s="25"/>
      <c r="BV418" s="25"/>
      <c r="BW418" s="25"/>
      <c r="BX418" s="25"/>
      <c r="BY418" s="25"/>
      <c r="BZ418" s="25"/>
      <c r="CA418" s="25"/>
      <c r="CB418" s="25"/>
      <c r="CC418" s="25"/>
      <c r="CD418" s="25"/>
      <c r="CE418" s="25"/>
      <c r="CF418" s="25"/>
      <c r="CG418" s="25"/>
      <c r="CH418" s="25"/>
      <c r="CI418" s="25"/>
      <c r="CJ418" s="25"/>
      <c r="CK418" s="25"/>
      <c r="CL418" s="25"/>
      <c r="CM418" s="25"/>
      <c r="CN418" s="25"/>
      <c r="CO418" s="25"/>
      <c r="CP418" s="25"/>
      <c r="CQ418" s="25"/>
      <c r="CR418" s="25"/>
      <c r="CS418" s="25"/>
    </row>
    <row r="419" spans="2:97">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c r="AV419" s="25"/>
      <c r="AW419" s="25"/>
      <c r="AX419" s="25"/>
      <c r="AY419" s="25"/>
      <c r="AZ419" s="25"/>
      <c r="BA419" s="25"/>
      <c r="BB419" s="25"/>
      <c r="BC419" s="25"/>
      <c r="BD419" s="25"/>
      <c r="BE419" s="25"/>
      <c r="BF419" s="25"/>
      <c r="BG419" s="25"/>
      <c r="BH419" s="25"/>
      <c r="BI419" s="25"/>
      <c r="BJ419" s="25"/>
      <c r="BK419" s="25"/>
      <c r="BL419" s="25"/>
      <c r="BM419" s="25"/>
      <c r="BN419" s="25"/>
      <c r="BO419" s="25"/>
      <c r="BP419" s="25"/>
      <c r="BQ419" s="25"/>
      <c r="BR419" s="25"/>
      <c r="BS419" s="25"/>
      <c r="BT419" s="25"/>
      <c r="BU419" s="25"/>
      <c r="BV419" s="25"/>
      <c r="BW419" s="25"/>
      <c r="BX419" s="25"/>
      <c r="BY419" s="25"/>
      <c r="BZ419" s="25"/>
      <c r="CA419" s="25"/>
      <c r="CB419" s="25"/>
      <c r="CC419" s="25"/>
      <c r="CD419" s="25"/>
      <c r="CE419" s="25"/>
      <c r="CF419" s="25"/>
      <c r="CG419" s="25"/>
      <c r="CH419" s="25"/>
      <c r="CI419" s="25"/>
      <c r="CJ419" s="25"/>
      <c r="CK419" s="25"/>
      <c r="CL419" s="25"/>
      <c r="CM419" s="25"/>
      <c r="CN419" s="25"/>
      <c r="CO419" s="25"/>
      <c r="CP419" s="25"/>
      <c r="CQ419" s="25"/>
      <c r="CR419" s="25"/>
      <c r="CS419" s="25"/>
    </row>
    <row r="420" spans="2:97">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c r="AV420" s="25"/>
      <c r="AW420" s="25"/>
      <c r="AX420" s="25"/>
      <c r="AY420" s="25"/>
      <c r="AZ420" s="25"/>
      <c r="BA420" s="25"/>
      <c r="BB420" s="25"/>
      <c r="BC420" s="25"/>
      <c r="BD420" s="25"/>
      <c r="BE420" s="25"/>
      <c r="BF420" s="25"/>
      <c r="BG420" s="25"/>
      <c r="BH420" s="25"/>
      <c r="BI420" s="25"/>
      <c r="BJ420" s="25"/>
      <c r="BK420" s="25"/>
      <c r="BL420" s="25"/>
      <c r="BM420" s="25"/>
      <c r="BN420" s="25"/>
      <c r="BO420" s="25"/>
      <c r="BP420" s="25"/>
      <c r="BQ420" s="25"/>
      <c r="BR420" s="25"/>
      <c r="BS420" s="25"/>
      <c r="BT420" s="25"/>
      <c r="BU420" s="25"/>
      <c r="BV420" s="25"/>
      <c r="BW420" s="25"/>
      <c r="BX420" s="25"/>
      <c r="BY420" s="25"/>
      <c r="BZ420" s="25"/>
      <c r="CA420" s="25"/>
      <c r="CB420" s="25"/>
      <c r="CC420" s="25"/>
      <c r="CD420" s="25"/>
      <c r="CE420" s="25"/>
      <c r="CF420" s="25"/>
      <c r="CG420" s="25"/>
      <c r="CH420" s="25"/>
      <c r="CI420" s="25"/>
      <c r="CJ420" s="25"/>
      <c r="CK420" s="25"/>
      <c r="CL420" s="25"/>
      <c r="CM420" s="25"/>
      <c r="CN420" s="25"/>
      <c r="CO420" s="25"/>
      <c r="CP420" s="25"/>
      <c r="CQ420" s="25"/>
      <c r="CR420" s="25"/>
      <c r="CS420" s="25"/>
    </row>
    <row r="421" spans="2:97">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c r="AV421" s="25"/>
      <c r="AW421" s="25"/>
      <c r="AX421" s="25"/>
      <c r="AY421" s="25"/>
      <c r="AZ421" s="25"/>
      <c r="BA421" s="25"/>
      <c r="BB421" s="25"/>
      <c r="BC421" s="25"/>
      <c r="BD421" s="25"/>
      <c r="BE421" s="25"/>
      <c r="BF421" s="25"/>
      <c r="BG421" s="25"/>
      <c r="BH421" s="25"/>
      <c r="BI421" s="25"/>
      <c r="BJ421" s="25"/>
      <c r="BK421" s="25"/>
      <c r="BL421" s="25"/>
      <c r="BM421" s="25"/>
      <c r="BN421" s="25"/>
      <c r="BO421" s="25"/>
      <c r="BP421" s="25"/>
      <c r="BQ421" s="25"/>
      <c r="BR421" s="25"/>
      <c r="BS421" s="25"/>
      <c r="BT421" s="25"/>
      <c r="BU421" s="25"/>
      <c r="BV421" s="25"/>
      <c r="BW421" s="25"/>
      <c r="BX421" s="25"/>
      <c r="BY421" s="25"/>
      <c r="BZ421" s="25"/>
      <c r="CA421" s="25"/>
      <c r="CB421" s="25"/>
      <c r="CC421" s="25"/>
      <c r="CD421" s="25"/>
      <c r="CE421" s="25"/>
      <c r="CF421" s="25"/>
      <c r="CG421" s="25"/>
      <c r="CH421" s="25"/>
      <c r="CI421" s="25"/>
      <c r="CJ421" s="25"/>
      <c r="CK421" s="25"/>
      <c r="CL421" s="25"/>
      <c r="CM421" s="25"/>
      <c r="CN421" s="25"/>
      <c r="CO421" s="25"/>
      <c r="CP421" s="25"/>
      <c r="CQ421" s="25"/>
      <c r="CR421" s="25"/>
      <c r="CS421" s="25"/>
    </row>
    <row r="422" spans="2:97">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c r="AV422" s="25"/>
      <c r="AW422" s="25"/>
      <c r="AX422" s="25"/>
      <c r="AY422" s="25"/>
      <c r="AZ422" s="25"/>
      <c r="BA422" s="25"/>
      <c r="BB422" s="25"/>
      <c r="BC422" s="25"/>
      <c r="BD422" s="25"/>
      <c r="BE422" s="25"/>
      <c r="BF422" s="25"/>
      <c r="BG422" s="25"/>
      <c r="BH422" s="25"/>
      <c r="BI422" s="25"/>
      <c r="BJ422" s="25"/>
      <c r="BK422" s="25"/>
      <c r="BL422" s="25"/>
      <c r="BM422" s="25"/>
      <c r="BN422" s="25"/>
      <c r="BO422" s="25"/>
      <c r="BP422" s="25"/>
      <c r="BQ422" s="25"/>
      <c r="BR422" s="25"/>
      <c r="BS422" s="25"/>
      <c r="BT422" s="25"/>
      <c r="BU422" s="25"/>
      <c r="BV422" s="25"/>
      <c r="BW422" s="25"/>
      <c r="BX422" s="25"/>
      <c r="BY422" s="25"/>
      <c r="BZ422" s="25"/>
      <c r="CA422" s="25"/>
      <c r="CB422" s="25"/>
      <c r="CC422" s="25"/>
      <c r="CD422" s="25"/>
      <c r="CE422" s="25"/>
      <c r="CF422" s="25"/>
      <c r="CG422" s="25"/>
      <c r="CH422" s="25"/>
      <c r="CI422" s="25"/>
      <c r="CJ422" s="25"/>
      <c r="CK422" s="25"/>
      <c r="CL422" s="25"/>
      <c r="CM422" s="25"/>
      <c r="CN422" s="25"/>
      <c r="CO422" s="25"/>
      <c r="CP422" s="25"/>
      <c r="CQ422" s="25"/>
      <c r="CR422" s="25"/>
      <c r="CS422" s="25"/>
    </row>
    <row r="423" spans="2:97">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c r="AV423" s="25"/>
      <c r="AW423" s="25"/>
      <c r="AX423" s="25"/>
      <c r="AY423" s="25"/>
      <c r="AZ423" s="25"/>
      <c r="BA423" s="25"/>
      <c r="BB423" s="25"/>
      <c r="BC423" s="25"/>
      <c r="BD423" s="25"/>
      <c r="BE423" s="25"/>
      <c r="BF423" s="25"/>
      <c r="BG423" s="25"/>
      <c r="BH423" s="25"/>
      <c r="BI423" s="25"/>
      <c r="BJ423" s="25"/>
      <c r="BK423" s="25"/>
      <c r="BL423" s="25"/>
      <c r="BM423" s="25"/>
      <c r="BN423" s="25"/>
      <c r="BO423" s="25"/>
      <c r="BP423" s="25"/>
      <c r="BQ423" s="25"/>
      <c r="BR423" s="25"/>
      <c r="BS423" s="25"/>
      <c r="BT423" s="25"/>
      <c r="BU423" s="25"/>
      <c r="BV423" s="25"/>
      <c r="BW423" s="25"/>
      <c r="BX423" s="25"/>
      <c r="BY423" s="25"/>
      <c r="BZ423" s="25"/>
      <c r="CA423" s="25"/>
      <c r="CB423" s="25"/>
      <c r="CC423" s="25"/>
      <c r="CD423" s="25"/>
      <c r="CE423" s="25"/>
      <c r="CF423" s="25"/>
      <c r="CG423" s="25"/>
      <c r="CH423" s="25"/>
      <c r="CI423" s="25"/>
      <c r="CJ423" s="25"/>
      <c r="CK423" s="25"/>
      <c r="CL423" s="25"/>
      <c r="CM423" s="25"/>
      <c r="CN423" s="25"/>
      <c r="CO423" s="25"/>
      <c r="CP423" s="25"/>
      <c r="CQ423" s="25"/>
      <c r="CR423" s="25"/>
      <c r="CS423" s="25"/>
    </row>
    <row r="424" spans="2:97">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c r="AV424" s="25"/>
      <c r="AW424" s="25"/>
      <c r="AX424" s="25"/>
      <c r="AY424" s="25"/>
      <c r="AZ424" s="25"/>
      <c r="BA424" s="25"/>
      <c r="BB424" s="25"/>
      <c r="BC424" s="25"/>
      <c r="BD424" s="25"/>
      <c r="BE424" s="25"/>
      <c r="BF424" s="25"/>
      <c r="BG424" s="25"/>
      <c r="BH424" s="25"/>
      <c r="BI424" s="25"/>
      <c r="BJ424" s="25"/>
      <c r="BK424" s="25"/>
      <c r="BL424" s="25"/>
      <c r="BM424" s="25"/>
      <c r="BN424" s="25"/>
      <c r="BO424" s="25"/>
      <c r="BP424" s="25"/>
      <c r="BQ424" s="25"/>
      <c r="BR424" s="25"/>
      <c r="BS424" s="25"/>
      <c r="BT424" s="25"/>
      <c r="BU424" s="25"/>
      <c r="BV424" s="25"/>
      <c r="BW424" s="25"/>
      <c r="BX424" s="25"/>
      <c r="BY424" s="25"/>
      <c r="BZ424" s="25"/>
      <c r="CA424" s="25"/>
      <c r="CB424" s="25"/>
      <c r="CC424" s="25"/>
      <c r="CD424" s="25"/>
      <c r="CE424" s="25"/>
      <c r="CF424" s="25"/>
      <c r="CG424" s="25"/>
      <c r="CH424" s="25"/>
      <c r="CI424" s="25"/>
      <c r="CJ424" s="25"/>
      <c r="CK424" s="25"/>
      <c r="CL424" s="25"/>
      <c r="CM424" s="25"/>
      <c r="CN424" s="25"/>
      <c r="CO424" s="25"/>
      <c r="CP424" s="25"/>
      <c r="CQ424" s="25"/>
      <c r="CR424" s="25"/>
      <c r="CS424" s="25"/>
    </row>
    <row r="425" spans="2:97">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c r="AV425" s="25"/>
      <c r="AW425" s="25"/>
      <c r="AX425" s="25"/>
      <c r="AY425" s="25"/>
      <c r="AZ425" s="25"/>
      <c r="BA425" s="25"/>
      <c r="BB425" s="25"/>
      <c r="BC425" s="25"/>
      <c r="BD425" s="25"/>
      <c r="BE425" s="25"/>
      <c r="BF425" s="25"/>
      <c r="BG425" s="25"/>
      <c r="BH425" s="25"/>
      <c r="BI425" s="25"/>
      <c r="BJ425" s="25"/>
      <c r="BK425" s="25"/>
      <c r="BL425" s="25"/>
      <c r="BM425" s="25"/>
      <c r="BN425" s="25"/>
      <c r="BO425" s="25"/>
      <c r="BP425" s="25"/>
      <c r="BQ425" s="25"/>
      <c r="BR425" s="25"/>
      <c r="BS425" s="25"/>
      <c r="BT425" s="25"/>
      <c r="BU425" s="25"/>
      <c r="BV425" s="25"/>
      <c r="BW425" s="25"/>
      <c r="BX425" s="25"/>
      <c r="BY425" s="25"/>
      <c r="BZ425" s="25"/>
      <c r="CA425" s="25"/>
      <c r="CB425" s="25"/>
      <c r="CC425" s="25"/>
      <c r="CD425" s="25"/>
      <c r="CE425" s="25"/>
      <c r="CF425" s="25"/>
      <c r="CG425" s="25"/>
      <c r="CH425" s="25"/>
      <c r="CI425" s="25"/>
      <c r="CJ425" s="25"/>
      <c r="CK425" s="25"/>
      <c r="CL425" s="25"/>
      <c r="CM425" s="25"/>
      <c r="CN425" s="25"/>
      <c r="CO425" s="25"/>
      <c r="CP425" s="25"/>
      <c r="CQ425" s="25"/>
      <c r="CR425" s="25"/>
      <c r="CS425" s="25"/>
    </row>
    <row r="426" spans="2:97">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c r="AV426" s="25"/>
      <c r="AW426" s="25"/>
      <c r="AX426" s="25"/>
      <c r="AY426" s="25"/>
      <c r="AZ426" s="25"/>
      <c r="BA426" s="25"/>
      <c r="BB426" s="25"/>
      <c r="BC426" s="25"/>
      <c r="BD426" s="25"/>
      <c r="BE426" s="25"/>
      <c r="BF426" s="25"/>
      <c r="BG426" s="25"/>
      <c r="BH426" s="25"/>
      <c r="BI426" s="25"/>
      <c r="BJ426" s="25"/>
      <c r="BK426" s="25"/>
      <c r="BL426" s="25"/>
      <c r="BM426" s="25"/>
      <c r="BN426" s="25"/>
      <c r="BO426" s="25"/>
      <c r="BP426" s="25"/>
      <c r="BQ426" s="25"/>
      <c r="BR426" s="25"/>
      <c r="BS426" s="25"/>
      <c r="BT426" s="25"/>
      <c r="BU426" s="25"/>
      <c r="BV426" s="25"/>
      <c r="BW426" s="25"/>
      <c r="BX426" s="25"/>
      <c r="BY426" s="25"/>
      <c r="BZ426" s="25"/>
      <c r="CA426" s="25"/>
      <c r="CB426" s="25"/>
      <c r="CC426" s="25"/>
      <c r="CD426" s="25"/>
      <c r="CE426" s="25"/>
      <c r="CF426" s="25"/>
      <c r="CG426" s="25"/>
      <c r="CH426" s="25"/>
      <c r="CI426" s="25"/>
      <c r="CJ426" s="25"/>
      <c r="CK426" s="25"/>
      <c r="CL426" s="25"/>
      <c r="CM426" s="25"/>
      <c r="CN426" s="25"/>
      <c r="CO426" s="25"/>
      <c r="CP426" s="25"/>
      <c r="CQ426" s="25"/>
      <c r="CR426" s="25"/>
      <c r="CS426" s="25"/>
    </row>
    <row r="427" spans="2:97">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c r="AV427" s="25"/>
      <c r="AW427" s="25"/>
      <c r="AX427" s="25"/>
      <c r="AY427" s="25"/>
      <c r="AZ427" s="25"/>
      <c r="BA427" s="25"/>
      <c r="BB427" s="25"/>
      <c r="BC427" s="25"/>
      <c r="BD427" s="25"/>
      <c r="BE427" s="25"/>
      <c r="BF427" s="25"/>
      <c r="BG427" s="25"/>
      <c r="BH427" s="25"/>
      <c r="BI427" s="25"/>
      <c r="BJ427" s="25"/>
      <c r="BK427" s="25"/>
      <c r="BL427" s="25"/>
      <c r="BM427" s="25"/>
      <c r="BN427" s="25"/>
      <c r="BO427" s="25"/>
      <c r="BP427" s="25"/>
      <c r="BQ427" s="25"/>
      <c r="BR427" s="25"/>
      <c r="BS427" s="25"/>
      <c r="BT427" s="25"/>
      <c r="BU427" s="25"/>
      <c r="BV427" s="25"/>
      <c r="BW427" s="25"/>
      <c r="BX427" s="25"/>
      <c r="BY427" s="25"/>
      <c r="BZ427" s="25"/>
      <c r="CA427" s="25"/>
      <c r="CB427" s="25"/>
      <c r="CC427" s="25"/>
      <c r="CD427" s="25"/>
      <c r="CE427" s="25"/>
      <c r="CF427" s="25"/>
      <c r="CG427" s="25"/>
      <c r="CH427" s="25"/>
      <c r="CI427" s="25"/>
      <c r="CJ427" s="25"/>
      <c r="CK427" s="25"/>
      <c r="CL427" s="25"/>
      <c r="CM427" s="25"/>
      <c r="CN427" s="25"/>
      <c r="CO427" s="25"/>
      <c r="CP427" s="25"/>
      <c r="CQ427" s="25"/>
      <c r="CR427" s="25"/>
      <c r="CS427" s="25"/>
    </row>
    <row r="428" spans="2:97">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c r="AV428" s="25"/>
      <c r="AW428" s="25"/>
      <c r="AX428" s="25"/>
      <c r="AY428" s="25"/>
      <c r="AZ428" s="25"/>
      <c r="BA428" s="25"/>
      <c r="BB428" s="25"/>
      <c r="BC428" s="25"/>
      <c r="BD428" s="25"/>
      <c r="BE428" s="25"/>
      <c r="BF428" s="25"/>
      <c r="BG428" s="25"/>
      <c r="BH428" s="25"/>
      <c r="BI428" s="25"/>
      <c r="BJ428" s="25"/>
      <c r="BK428" s="25"/>
      <c r="BL428" s="25"/>
      <c r="BM428" s="25"/>
      <c r="BN428" s="25"/>
      <c r="BO428" s="25"/>
      <c r="BP428" s="25"/>
      <c r="BQ428" s="25"/>
      <c r="BR428" s="25"/>
      <c r="BS428" s="25"/>
      <c r="BT428" s="25"/>
      <c r="BU428" s="25"/>
      <c r="BV428" s="25"/>
      <c r="BW428" s="25"/>
      <c r="BX428" s="25"/>
      <c r="BY428" s="25"/>
      <c r="BZ428" s="25"/>
      <c r="CA428" s="25"/>
      <c r="CB428" s="25"/>
      <c r="CC428" s="25"/>
      <c r="CD428" s="25"/>
      <c r="CE428" s="25"/>
      <c r="CF428" s="25"/>
      <c r="CG428" s="25"/>
      <c r="CH428" s="25"/>
      <c r="CI428" s="25"/>
      <c r="CJ428" s="25"/>
      <c r="CK428" s="25"/>
      <c r="CL428" s="25"/>
      <c r="CM428" s="25"/>
      <c r="CN428" s="25"/>
      <c r="CO428" s="25"/>
      <c r="CP428" s="25"/>
      <c r="CQ428" s="25"/>
      <c r="CR428" s="25"/>
      <c r="CS428" s="25"/>
    </row>
    <row r="429" spans="2:97">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c r="AV429" s="25"/>
      <c r="AW429" s="25"/>
      <c r="AX429" s="25"/>
      <c r="AY429" s="25"/>
      <c r="AZ429" s="25"/>
      <c r="BA429" s="25"/>
      <c r="BB429" s="25"/>
      <c r="BC429" s="25"/>
      <c r="BD429" s="25"/>
      <c r="BE429" s="25"/>
      <c r="BF429" s="25"/>
      <c r="BG429" s="25"/>
      <c r="BH429" s="25"/>
      <c r="BI429" s="25"/>
      <c r="BJ429" s="25"/>
      <c r="BK429" s="25"/>
      <c r="BL429" s="25"/>
      <c r="BM429" s="25"/>
      <c r="BN429" s="25"/>
      <c r="BO429" s="25"/>
      <c r="BP429" s="25"/>
      <c r="BQ429" s="25"/>
      <c r="BR429" s="25"/>
      <c r="BS429" s="25"/>
      <c r="BT429" s="25"/>
      <c r="BU429" s="25"/>
      <c r="BV429" s="25"/>
      <c r="BW429" s="25"/>
      <c r="BX429" s="25"/>
      <c r="BY429" s="25"/>
      <c r="BZ429" s="25"/>
      <c r="CA429" s="25"/>
      <c r="CB429" s="25"/>
      <c r="CC429" s="25"/>
      <c r="CD429" s="25"/>
      <c r="CE429" s="25"/>
      <c r="CF429" s="25"/>
      <c r="CG429" s="25"/>
      <c r="CH429" s="25"/>
      <c r="CI429" s="25"/>
      <c r="CJ429" s="25"/>
      <c r="CK429" s="25"/>
      <c r="CL429" s="25"/>
      <c r="CM429" s="25"/>
      <c r="CN429" s="25"/>
      <c r="CO429" s="25"/>
      <c r="CP429" s="25"/>
      <c r="CQ429" s="25"/>
      <c r="CR429" s="25"/>
      <c r="CS429" s="25"/>
    </row>
    <row r="430" spans="2:97">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c r="AV430" s="25"/>
      <c r="AW430" s="25"/>
      <c r="AX430" s="25"/>
      <c r="AY430" s="25"/>
      <c r="AZ430" s="25"/>
      <c r="BA430" s="25"/>
      <c r="BB430" s="25"/>
      <c r="BC430" s="25"/>
      <c r="BD430" s="25"/>
      <c r="BE430" s="25"/>
      <c r="BF430" s="25"/>
      <c r="BG430" s="25"/>
      <c r="BH430" s="25"/>
      <c r="BI430" s="25"/>
      <c r="BJ430" s="25"/>
      <c r="BK430" s="25"/>
      <c r="BL430" s="25"/>
      <c r="BM430" s="25"/>
      <c r="BN430" s="25"/>
      <c r="BO430" s="25"/>
      <c r="BP430" s="25"/>
      <c r="BQ430" s="25"/>
      <c r="BR430" s="25"/>
      <c r="BS430" s="25"/>
      <c r="BT430" s="25"/>
      <c r="BU430" s="25"/>
      <c r="BV430" s="25"/>
      <c r="BW430" s="25"/>
      <c r="BX430" s="25"/>
      <c r="BY430" s="25"/>
      <c r="BZ430" s="25"/>
      <c r="CA430" s="25"/>
      <c r="CB430" s="25"/>
      <c r="CC430" s="25"/>
      <c r="CD430" s="25"/>
      <c r="CE430" s="25"/>
      <c r="CF430" s="25"/>
      <c r="CG430" s="25"/>
      <c r="CH430" s="25"/>
      <c r="CI430" s="25"/>
      <c r="CJ430" s="25"/>
      <c r="CK430" s="25"/>
      <c r="CL430" s="25"/>
      <c r="CM430" s="25"/>
      <c r="CN430" s="25"/>
      <c r="CO430" s="25"/>
      <c r="CP430" s="25"/>
      <c r="CQ430" s="25"/>
      <c r="CR430" s="25"/>
      <c r="CS430" s="25"/>
    </row>
    <row r="431" spans="2:97">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c r="AV431" s="25"/>
      <c r="AW431" s="25"/>
      <c r="AX431" s="25"/>
      <c r="AY431" s="25"/>
      <c r="AZ431" s="25"/>
      <c r="BA431" s="25"/>
      <c r="BB431" s="25"/>
      <c r="BC431" s="25"/>
      <c r="BD431" s="25"/>
      <c r="BE431" s="25"/>
      <c r="BF431" s="25"/>
      <c r="BG431" s="25"/>
      <c r="BH431" s="25"/>
      <c r="BI431" s="25"/>
      <c r="BJ431" s="25"/>
      <c r="BK431" s="25"/>
      <c r="BL431" s="25"/>
      <c r="BM431" s="25"/>
      <c r="BN431" s="25"/>
      <c r="BO431" s="25"/>
      <c r="BP431" s="25"/>
      <c r="BQ431" s="25"/>
      <c r="BR431" s="25"/>
      <c r="BS431" s="25"/>
      <c r="BT431" s="25"/>
      <c r="BU431" s="25"/>
      <c r="BV431" s="25"/>
      <c r="BW431" s="25"/>
      <c r="BX431" s="25"/>
      <c r="BY431" s="25"/>
      <c r="BZ431" s="25"/>
      <c r="CA431" s="25"/>
      <c r="CB431" s="25"/>
      <c r="CC431" s="25"/>
      <c r="CD431" s="25"/>
      <c r="CE431" s="25"/>
      <c r="CF431" s="25"/>
      <c r="CG431" s="25"/>
      <c r="CH431" s="25"/>
      <c r="CI431" s="25"/>
      <c r="CJ431" s="25"/>
      <c r="CK431" s="25"/>
      <c r="CL431" s="25"/>
      <c r="CM431" s="25"/>
      <c r="CN431" s="25"/>
      <c r="CO431" s="25"/>
      <c r="CP431" s="25"/>
      <c r="CQ431" s="25"/>
      <c r="CR431" s="25"/>
      <c r="CS431" s="25"/>
    </row>
    <row r="432" spans="2:97">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c r="AV432" s="25"/>
      <c r="AW432" s="25"/>
      <c r="AX432" s="25"/>
      <c r="AY432" s="25"/>
      <c r="AZ432" s="25"/>
      <c r="BA432" s="25"/>
      <c r="BB432" s="25"/>
      <c r="BC432" s="25"/>
      <c r="BD432" s="25"/>
      <c r="BE432" s="25"/>
      <c r="BF432" s="25"/>
      <c r="BG432" s="25"/>
      <c r="BH432" s="25"/>
      <c r="BI432" s="25"/>
      <c r="BJ432" s="25"/>
      <c r="BK432" s="25"/>
      <c r="BL432" s="25"/>
      <c r="BM432" s="25"/>
      <c r="BN432" s="25"/>
      <c r="BO432" s="25"/>
      <c r="BP432" s="25"/>
      <c r="BQ432" s="25"/>
      <c r="BR432" s="25"/>
      <c r="BS432" s="25"/>
      <c r="BT432" s="25"/>
      <c r="BU432" s="25"/>
      <c r="BV432" s="25"/>
      <c r="BW432" s="25"/>
      <c r="BX432" s="25"/>
      <c r="BY432" s="25"/>
      <c r="BZ432" s="25"/>
      <c r="CA432" s="25"/>
      <c r="CB432" s="25"/>
      <c r="CC432" s="25"/>
      <c r="CD432" s="25"/>
      <c r="CE432" s="25"/>
      <c r="CF432" s="25"/>
      <c r="CG432" s="25"/>
      <c r="CH432" s="25"/>
      <c r="CI432" s="25"/>
      <c r="CJ432" s="25"/>
      <c r="CK432" s="25"/>
      <c r="CL432" s="25"/>
      <c r="CM432" s="25"/>
      <c r="CN432" s="25"/>
      <c r="CO432" s="25"/>
      <c r="CP432" s="25"/>
      <c r="CQ432" s="25"/>
      <c r="CR432" s="25"/>
      <c r="CS432" s="25"/>
    </row>
    <row r="433" spans="2:97">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c r="AV433" s="25"/>
      <c r="AW433" s="25"/>
      <c r="AX433" s="25"/>
      <c r="AY433" s="25"/>
      <c r="AZ433" s="25"/>
      <c r="BA433" s="25"/>
      <c r="BB433" s="25"/>
      <c r="BC433" s="25"/>
      <c r="BD433" s="25"/>
      <c r="BE433" s="25"/>
      <c r="BF433" s="25"/>
      <c r="BG433" s="25"/>
      <c r="BH433" s="25"/>
      <c r="BI433" s="25"/>
      <c r="BJ433" s="25"/>
      <c r="BK433" s="25"/>
      <c r="BL433" s="25"/>
      <c r="BM433" s="25"/>
      <c r="BN433" s="25"/>
      <c r="BO433" s="25"/>
      <c r="BP433" s="25"/>
      <c r="BQ433" s="25"/>
      <c r="BR433" s="25"/>
      <c r="BS433" s="25"/>
      <c r="BT433" s="25"/>
      <c r="BU433" s="25"/>
      <c r="BV433" s="25"/>
      <c r="BW433" s="25"/>
      <c r="BX433" s="25"/>
      <c r="BY433" s="25"/>
      <c r="BZ433" s="25"/>
      <c r="CA433" s="25"/>
      <c r="CB433" s="25"/>
      <c r="CC433" s="25"/>
      <c r="CD433" s="25"/>
      <c r="CE433" s="25"/>
      <c r="CF433" s="25"/>
      <c r="CG433" s="25"/>
      <c r="CH433" s="25"/>
      <c r="CI433" s="25"/>
      <c r="CJ433" s="25"/>
      <c r="CK433" s="25"/>
      <c r="CL433" s="25"/>
      <c r="CM433" s="25"/>
      <c r="CN433" s="25"/>
      <c r="CO433" s="25"/>
      <c r="CP433" s="25"/>
      <c r="CQ433" s="25"/>
      <c r="CR433" s="25"/>
      <c r="CS433" s="25"/>
    </row>
    <row r="434" spans="2:97">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c r="AV434" s="25"/>
      <c r="AW434" s="25"/>
      <c r="AX434" s="25"/>
      <c r="AY434" s="25"/>
      <c r="AZ434" s="25"/>
      <c r="BA434" s="25"/>
      <c r="BB434" s="25"/>
      <c r="BC434" s="25"/>
      <c r="BD434" s="25"/>
      <c r="BE434" s="25"/>
      <c r="BF434" s="25"/>
      <c r="BG434" s="25"/>
      <c r="BH434" s="25"/>
      <c r="BI434" s="25"/>
      <c r="BJ434" s="25"/>
      <c r="BK434" s="25"/>
      <c r="BL434" s="25"/>
      <c r="BM434" s="25"/>
      <c r="BN434" s="25"/>
      <c r="BO434" s="25"/>
      <c r="BP434" s="25"/>
      <c r="BQ434" s="25"/>
      <c r="BR434" s="25"/>
      <c r="BS434" s="25"/>
      <c r="BT434" s="25"/>
      <c r="BU434" s="25"/>
      <c r="BV434" s="25"/>
      <c r="BW434" s="25"/>
      <c r="BX434" s="25"/>
      <c r="BY434" s="25"/>
      <c r="BZ434" s="25"/>
      <c r="CA434" s="25"/>
      <c r="CB434" s="25"/>
      <c r="CC434" s="25"/>
      <c r="CD434" s="25"/>
      <c r="CE434" s="25"/>
      <c r="CF434" s="25"/>
      <c r="CG434" s="25"/>
      <c r="CH434" s="25"/>
      <c r="CI434" s="25"/>
      <c r="CJ434" s="25"/>
      <c r="CK434" s="25"/>
      <c r="CL434" s="25"/>
      <c r="CM434" s="25"/>
      <c r="CN434" s="25"/>
      <c r="CO434" s="25"/>
      <c r="CP434" s="25"/>
      <c r="CQ434" s="25"/>
      <c r="CR434" s="25"/>
      <c r="CS434" s="25"/>
    </row>
    <row r="435" spans="2:97">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c r="AV435" s="25"/>
      <c r="AW435" s="25"/>
      <c r="AX435" s="25"/>
      <c r="AY435" s="25"/>
      <c r="AZ435" s="25"/>
      <c r="BA435" s="25"/>
      <c r="BB435" s="25"/>
      <c r="BC435" s="25"/>
      <c r="BD435" s="25"/>
      <c r="BE435" s="25"/>
      <c r="BF435" s="25"/>
      <c r="BG435" s="25"/>
      <c r="BH435" s="25"/>
      <c r="BI435" s="25"/>
      <c r="BJ435" s="25"/>
      <c r="BK435" s="25"/>
      <c r="BL435" s="25"/>
      <c r="BM435" s="25"/>
      <c r="BN435" s="25"/>
      <c r="BO435" s="25"/>
      <c r="BP435" s="25"/>
      <c r="BQ435" s="25"/>
      <c r="BR435" s="25"/>
      <c r="BS435" s="25"/>
      <c r="BT435" s="25"/>
      <c r="BU435" s="25"/>
      <c r="BV435" s="25"/>
      <c r="BW435" s="25"/>
      <c r="BX435" s="25"/>
      <c r="BY435" s="25"/>
      <c r="BZ435" s="25"/>
      <c r="CA435" s="25"/>
      <c r="CB435" s="25"/>
      <c r="CC435" s="25"/>
      <c r="CD435" s="25"/>
      <c r="CE435" s="25"/>
      <c r="CF435" s="25"/>
      <c r="CG435" s="25"/>
      <c r="CH435" s="25"/>
      <c r="CI435" s="25"/>
      <c r="CJ435" s="25"/>
      <c r="CK435" s="25"/>
      <c r="CL435" s="25"/>
      <c r="CM435" s="25"/>
      <c r="CN435" s="25"/>
      <c r="CO435" s="25"/>
      <c r="CP435" s="25"/>
      <c r="CQ435" s="25"/>
      <c r="CR435" s="25"/>
      <c r="CS435" s="25"/>
    </row>
    <row r="436" spans="2:97">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c r="AV436" s="25"/>
      <c r="AW436" s="25"/>
      <c r="AX436" s="25"/>
      <c r="AY436" s="25"/>
      <c r="AZ436" s="25"/>
      <c r="BA436" s="25"/>
      <c r="BB436" s="25"/>
      <c r="BC436" s="25"/>
      <c r="BD436" s="25"/>
      <c r="BE436" s="25"/>
      <c r="BF436" s="25"/>
      <c r="BG436" s="25"/>
      <c r="BH436" s="25"/>
      <c r="BI436" s="25"/>
      <c r="BJ436" s="25"/>
      <c r="BK436" s="25"/>
      <c r="BL436" s="25"/>
      <c r="BM436" s="25"/>
      <c r="BN436" s="25"/>
      <c r="BO436" s="25"/>
      <c r="BP436" s="25"/>
      <c r="BQ436" s="25"/>
      <c r="BR436" s="25"/>
      <c r="BS436" s="25"/>
      <c r="BT436" s="25"/>
      <c r="BU436" s="25"/>
      <c r="BV436" s="25"/>
      <c r="BW436" s="25"/>
      <c r="BX436" s="25"/>
      <c r="BY436" s="25"/>
      <c r="BZ436" s="25"/>
      <c r="CA436" s="25"/>
      <c r="CB436" s="25"/>
      <c r="CC436" s="25"/>
      <c r="CD436" s="25"/>
      <c r="CE436" s="25"/>
      <c r="CF436" s="25"/>
      <c r="CG436" s="25"/>
      <c r="CH436" s="25"/>
      <c r="CI436" s="25"/>
      <c r="CJ436" s="25"/>
      <c r="CK436" s="25"/>
      <c r="CL436" s="25"/>
      <c r="CM436" s="25"/>
      <c r="CN436" s="25"/>
      <c r="CO436" s="25"/>
      <c r="CP436" s="25"/>
      <c r="CQ436" s="25"/>
      <c r="CR436" s="25"/>
      <c r="CS436" s="25"/>
    </row>
    <row r="437" spans="2:97">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c r="AV437" s="25"/>
      <c r="AW437" s="25"/>
      <c r="AX437" s="25"/>
      <c r="AY437" s="25"/>
      <c r="AZ437" s="25"/>
      <c r="BA437" s="25"/>
      <c r="BB437" s="25"/>
      <c r="BC437" s="25"/>
      <c r="BD437" s="25"/>
      <c r="BE437" s="25"/>
      <c r="BF437" s="25"/>
      <c r="BG437" s="25"/>
      <c r="BH437" s="25"/>
      <c r="BI437" s="25"/>
      <c r="BJ437" s="25"/>
      <c r="BK437" s="25"/>
      <c r="BL437" s="25"/>
      <c r="BM437" s="25"/>
      <c r="BN437" s="25"/>
      <c r="BO437" s="25"/>
      <c r="BP437" s="25"/>
      <c r="BQ437" s="25"/>
      <c r="BR437" s="25"/>
      <c r="BS437" s="25"/>
      <c r="BT437" s="25"/>
      <c r="BU437" s="25"/>
      <c r="BV437" s="25"/>
      <c r="BW437" s="25"/>
      <c r="BX437" s="25"/>
      <c r="BY437" s="25"/>
      <c r="BZ437" s="25"/>
      <c r="CA437" s="25"/>
      <c r="CB437" s="25"/>
      <c r="CC437" s="25"/>
      <c r="CD437" s="25"/>
      <c r="CE437" s="25"/>
      <c r="CF437" s="25"/>
      <c r="CG437" s="25"/>
      <c r="CH437" s="25"/>
      <c r="CI437" s="25"/>
      <c r="CJ437" s="25"/>
      <c r="CK437" s="25"/>
      <c r="CL437" s="25"/>
      <c r="CM437" s="25"/>
      <c r="CN437" s="25"/>
      <c r="CO437" s="25"/>
      <c r="CP437" s="25"/>
      <c r="CQ437" s="25"/>
      <c r="CR437" s="25"/>
      <c r="CS437" s="25"/>
    </row>
    <row r="438" spans="2:97">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c r="AV438" s="25"/>
      <c r="AW438" s="25"/>
      <c r="AX438" s="25"/>
      <c r="AY438" s="25"/>
      <c r="AZ438" s="25"/>
      <c r="BA438" s="25"/>
      <c r="BB438" s="25"/>
      <c r="BC438" s="25"/>
      <c r="BD438" s="25"/>
      <c r="BE438" s="25"/>
      <c r="BF438" s="25"/>
      <c r="BG438" s="25"/>
      <c r="BH438" s="25"/>
      <c r="BI438" s="25"/>
      <c r="BJ438" s="25"/>
      <c r="BK438" s="25"/>
      <c r="BL438" s="25"/>
      <c r="BM438" s="25"/>
      <c r="BN438" s="25"/>
      <c r="BO438" s="25"/>
      <c r="BP438" s="25"/>
      <c r="BQ438" s="25"/>
      <c r="BR438" s="25"/>
      <c r="BS438" s="25"/>
      <c r="BT438" s="25"/>
      <c r="BU438" s="25"/>
      <c r="BV438" s="25"/>
      <c r="BW438" s="25"/>
      <c r="BX438" s="25"/>
      <c r="BY438" s="25"/>
      <c r="BZ438" s="25"/>
      <c r="CA438" s="25"/>
      <c r="CB438" s="25"/>
      <c r="CC438" s="25"/>
      <c r="CD438" s="25"/>
      <c r="CE438" s="25"/>
      <c r="CF438" s="25"/>
      <c r="CG438" s="25"/>
      <c r="CH438" s="25"/>
      <c r="CI438" s="25"/>
      <c r="CJ438" s="25"/>
      <c r="CK438" s="25"/>
      <c r="CL438" s="25"/>
      <c r="CM438" s="25"/>
      <c r="CN438" s="25"/>
      <c r="CO438" s="25"/>
      <c r="CP438" s="25"/>
      <c r="CQ438" s="25"/>
      <c r="CR438" s="25"/>
      <c r="CS438" s="25"/>
    </row>
    <row r="439" spans="2:97">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c r="AV439" s="25"/>
      <c r="AW439" s="25"/>
      <c r="AX439" s="25"/>
      <c r="AY439" s="25"/>
      <c r="AZ439" s="25"/>
      <c r="BA439" s="25"/>
      <c r="BB439" s="25"/>
      <c r="BC439" s="25"/>
      <c r="BD439" s="25"/>
      <c r="BE439" s="25"/>
      <c r="BF439" s="25"/>
      <c r="BG439" s="25"/>
      <c r="BH439" s="25"/>
      <c r="BI439" s="25"/>
      <c r="BJ439" s="25"/>
      <c r="BK439" s="25"/>
      <c r="BL439" s="25"/>
      <c r="BM439" s="25"/>
      <c r="BN439" s="25"/>
      <c r="BO439" s="25"/>
      <c r="BP439" s="25"/>
      <c r="BQ439" s="25"/>
      <c r="BR439" s="25"/>
      <c r="BS439" s="25"/>
      <c r="BT439" s="25"/>
      <c r="BU439" s="25"/>
      <c r="BV439" s="25"/>
      <c r="BW439" s="25"/>
      <c r="BX439" s="25"/>
      <c r="BY439" s="25"/>
      <c r="BZ439" s="25"/>
      <c r="CA439" s="25"/>
      <c r="CB439" s="25"/>
      <c r="CC439" s="25"/>
      <c r="CD439" s="25"/>
      <c r="CE439" s="25"/>
      <c r="CF439" s="25"/>
      <c r="CG439" s="25"/>
      <c r="CH439" s="25"/>
      <c r="CI439" s="25"/>
      <c r="CJ439" s="25"/>
      <c r="CK439" s="25"/>
      <c r="CL439" s="25"/>
      <c r="CM439" s="25"/>
      <c r="CN439" s="25"/>
      <c r="CO439" s="25"/>
      <c r="CP439" s="25"/>
      <c r="CQ439" s="25"/>
      <c r="CR439" s="25"/>
      <c r="CS439" s="25"/>
    </row>
    <row r="440" spans="2:97">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c r="AV440" s="25"/>
      <c r="AW440" s="25"/>
      <c r="AX440" s="25"/>
      <c r="AY440" s="25"/>
      <c r="AZ440" s="25"/>
      <c r="BA440" s="25"/>
      <c r="BB440" s="25"/>
      <c r="BC440" s="25"/>
      <c r="BD440" s="25"/>
      <c r="BE440" s="25"/>
      <c r="BF440" s="25"/>
      <c r="BG440" s="25"/>
      <c r="BH440" s="25"/>
      <c r="BI440" s="25"/>
      <c r="BJ440" s="25"/>
      <c r="BK440" s="25"/>
      <c r="BL440" s="25"/>
      <c r="BM440" s="25"/>
      <c r="BN440" s="25"/>
      <c r="BO440" s="25"/>
      <c r="BP440" s="25"/>
      <c r="BQ440" s="25"/>
      <c r="BR440" s="25"/>
      <c r="BS440" s="25"/>
      <c r="BT440" s="25"/>
      <c r="BU440" s="25"/>
      <c r="BV440" s="25"/>
      <c r="BW440" s="25"/>
      <c r="BX440" s="25"/>
      <c r="BY440" s="25"/>
      <c r="BZ440" s="25"/>
      <c r="CA440" s="25"/>
      <c r="CB440" s="25"/>
      <c r="CC440" s="25"/>
      <c r="CD440" s="25"/>
      <c r="CE440" s="25"/>
      <c r="CF440" s="25"/>
      <c r="CG440" s="25"/>
      <c r="CH440" s="25"/>
      <c r="CI440" s="25"/>
      <c r="CJ440" s="25"/>
      <c r="CK440" s="25"/>
      <c r="CL440" s="25"/>
      <c r="CM440" s="25"/>
      <c r="CN440" s="25"/>
      <c r="CO440" s="25"/>
      <c r="CP440" s="25"/>
      <c r="CQ440" s="25"/>
      <c r="CR440" s="25"/>
      <c r="CS440" s="25"/>
    </row>
    <row r="441" spans="2:97">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c r="AV441" s="25"/>
      <c r="AW441" s="25"/>
      <c r="AX441" s="25"/>
      <c r="AY441" s="25"/>
      <c r="AZ441" s="25"/>
      <c r="BA441" s="25"/>
      <c r="BB441" s="25"/>
      <c r="BC441" s="25"/>
      <c r="BD441" s="25"/>
      <c r="BE441" s="25"/>
      <c r="BF441" s="25"/>
      <c r="BG441" s="25"/>
      <c r="BH441" s="25"/>
      <c r="BI441" s="25"/>
      <c r="BJ441" s="25"/>
      <c r="BK441" s="25"/>
      <c r="BL441" s="25"/>
      <c r="BM441" s="25"/>
      <c r="BN441" s="25"/>
      <c r="BO441" s="25"/>
      <c r="BP441" s="25"/>
      <c r="BQ441" s="25"/>
      <c r="BR441" s="25"/>
      <c r="BS441" s="25"/>
      <c r="BT441" s="25"/>
      <c r="BU441" s="25"/>
      <c r="BV441" s="25"/>
      <c r="BW441" s="25"/>
      <c r="BX441" s="25"/>
      <c r="BY441" s="25"/>
      <c r="BZ441" s="25"/>
      <c r="CA441" s="25"/>
      <c r="CB441" s="25"/>
      <c r="CC441" s="25"/>
      <c r="CD441" s="25"/>
      <c r="CE441" s="25"/>
      <c r="CF441" s="25"/>
      <c r="CG441" s="25"/>
      <c r="CH441" s="25"/>
      <c r="CI441" s="25"/>
      <c r="CJ441" s="25"/>
      <c r="CK441" s="25"/>
      <c r="CL441" s="25"/>
      <c r="CM441" s="25"/>
      <c r="CN441" s="25"/>
      <c r="CO441" s="25"/>
      <c r="CP441" s="25"/>
      <c r="CQ441" s="25"/>
      <c r="CR441" s="25"/>
      <c r="CS441" s="25"/>
    </row>
    <row r="442" spans="2:97">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c r="AV442" s="25"/>
      <c r="AW442" s="25"/>
      <c r="AX442" s="25"/>
      <c r="AY442" s="25"/>
      <c r="AZ442" s="25"/>
      <c r="BA442" s="25"/>
      <c r="BB442" s="25"/>
      <c r="BC442" s="25"/>
      <c r="BD442" s="25"/>
      <c r="BE442" s="25"/>
      <c r="BF442" s="25"/>
      <c r="BG442" s="25"/>
      <c r="BH442" s="25"/>
      <c r="BI442" s="25"/>
      <c r="BJ442" s="25"/>
      <c r="BK442" s="25"/>
      <c r="BL442" s="25"/>
      <c r="BM442" s="25"/>
      <c r="BN442" s="25"/>
      <c r="BO442" s="25"/>
      <c r="BP442" s="25"/>
      <c r="BQ442" s="25"/>
      <c r="BR442" s="25"/>
      <c r="BS442" s="25"/>
      <c r="BT442" s="25"/>
      <c r="BU442" s="25"/>
      <c r="BV442" s="25"/>
      <c r="BW442" s="25"/>
      <c r="BX442" s="25"/>
      <c r="BY442" s="25"/>
      <c r="BZ442" s="25"/>
      <c r="CA442" s="25"/>
      <c r="CB442" s="25"/>
      <c r="CC442" s="25"/>
      <c r="CD442" s="25"/>
      <c r="CE442" s="25"/>
      <c r="CF442" s="25"/>
      <c r="CG442" s="25"/>
      <c r="CH442" s="25"/>
      <c r="CI442" s="25"/>
      <c r="CJ442" s="25"/>
      <c r="CK442" s="25"/>
      <c r="CL442" s="25"/>
      <c r="CM442" s="25"/>
      <c r="CN442" s="25"/>
      <c r="CO442" s="25"/>
      <c r="CP442" s="25"/>
      <c r="CQ442" s="25"/>
      <c r="CR442" s="25"/>
      <c r="CS442" s="25"/>
    </row>
    <row r="443" spans="2:97">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c r="AV443" s="25"/>
      <c r="AW443" s="25"/>
      <c r="AX443" s="25"/>
      <c r="AY443" s="25"/>
      <c r="AZ443" s="25"/>
      <c r="BA443" s="25"/>
      <c r="BB443" s="25"/>
      <c r="BC443" s="25"/>
      <c r="BD443" s="25"/>
      <c r="BE443" s="25"/>
      <c r="BF443" s="25"/>
      <c r="BG443" s="25"/>
      <c r="BH443" s="25"/>
      <c r="BI443" s="25"/>
      <c r="BJ443" s="25"/>
      <c r="BK443" s="25"/>
      <c r="BL443" s="25"/>
      <c r="BM443" s="25"/>
      <c r="BN443" s="25"/>
      <c r="BO443" s="25"/>
      <c r="BP443" s="25"/>
      <c r="BQ443" s="25"/>
      <c r="BR443" s="25"/>
      <c r="BS443" s="25"/>
      <c r="BT443" s="25"/>
      <c r="BU443" s="25"/>
      <c r="BV443" s="25"/>
      <c r="BW443" s="25"/>
      <c r="BX443" s="25"/>
      <c r="BY443" s="25"/>
      <c r="BZ443" s="25"/>
      <c r="CA443" s="25"/>
      <c r="CB443" s="25"/>
      <c r="CC443" s="25"/>
      <c r="CD443" s="25"/>
      <c r="CE443" s="25"/>
      <c r="CF443" s="25"/>
      <c r="CG443" s="25"/>
      <c r="CH443" s="25"/>
      <c r="CI443" s="25"/>
      <c r="CJ443" s="25"/>
      <c r="CK443" s="25"/>
      <c r="CL443" s="25"/>
      <c r="CM443" s="25"/>
      <c r="CN443" s="25"/>
      <c r="CO443" s="25"/>
      <c r="CP443" s="25"/>
      <c r="CQ443" s="25"/>
      <c r="CR443" s="25"/>
      <c r="CS443" s="25"/>
    </row>
    <row r="444" spans="2:97">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c r="AV444" s="25"/>
      <c r="AW444" s="25"/>
      <c r="AX444" s="25"/>
      <c r="AY444" s="25"/>
      <c r="AZ444" s="25"/>
      <c r="BA444" s="25"/>
      <c r="BB444" s="25"/>
      <c r="BC444" s="25"/>
      <c r="BD444" s="25"/>
      <c r="BE444" s="25"/>
      <c r="BF444" s="25"/>
      <c r="BG444" s="25"/>
      <c r="BH444" s="25"/>
      <c r="BI444" s="25"/>
      <c r="BJ444" s="25"/>
      <c r="BK444" s="25"/>
      <c r="BL444" s="25"/>
      <c r="BM444" s="25"/>
      <c r="BN444" s="25"/>
      <c r="BO444" s="25"/>
      <c r="BP444" s="25"/>
      <c r="BQ444" s="25"/>
      <c r="BR444" s="25"/>
      <c r="BS444" s="25"/>
      <c r="BT444" s="25"/>
      <c r="BU444" s="25"/>
      <c r="BV444" s="25"/>
      <c r="BW444" s="25"/>
      <c r="BX444" s="25"/>
      <c r="BY444" s="25"/>
      <c r="BZ444" s="25"/>
      <c r="CA444" s="25"/>
      <c r="CB444" s="25"/>
      <c r="CC444" s="25"/>
      <c r="CD444" s="25"/>
      <c r="CE444" s="25"/>
      <c r="CF444" s="25"/>
      <c r="CG444" s="25"/>
      <c r="CH444" s="25"/>
      <c r="CI444" s="25"/>
      <c r="CJ444" s="25"/>
      <c r="CK444" s="25"/>
      <c r="CL444" s="25"/>
      <c r="CM444" s="25"/>
      <c r="CN444" s="25"/>
      <c r="CO444" s="25"/>
      <c r="CP444" s="25"/>
      <c r="CQ444" s="25"/>
      <c r="CR444" s="25"/>
      <c r="CS444" s="25"/>
    </row>
    <row r="445" spans="2:97">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c r="AV445" s="25"/>
      <c r="AW445" s="25"/>
      <c r="AX445" s="25"/>
      <c r="AY445" s="25"/>
      <c r="AZ445" s="25"/>
      <c r="BA445" s="25"/>
      <c r="BB445" s="25"/>
      <c r="BC445" s="25"/>
      <c r="BD445" s="25"/>
      <c r="BE445" s="25"/>
      <c r="BF445" s="25"/>
      <c r="BG445" s="25"/>
      <c r="BH445" s="25"/>
      <c r="BI445" s="25"/>
      <c r="BJ445" s="25"/>
      <c r="BK445" s="25"/>
      <c r="BL445" s="25"/>
      <c r="BM445" s="25"/>
      <c r="BN445" s="25"/>
      <c r="BO445" s="25"/>
      <c r="BP445" s="25"/>
      <c r="BQ445" s="25"/>
      <c r="BR445" s="25"/>
      <c r="BS445" s="25"/>
      <c r="BT445" s="25"/>
      <c r="BU445" s="25"/>
      <c r="BV445" s="25"/>
      <c r="BW445" s="25"/>
      <c r="BX445" s="25"/>
      <c r="BY445" s="25"/>
      <c r="BZ445" s="25"/>
      <c r="CA445" s="25"/>
      <c r="CB445" s="25"/>
      <c r="CC445" s="25"/>
      <c r="CD445" s="25"/>
      <c r="CE445" s="25"/>
      <c r="CF445" s="25"/>
      <c r="CG445" s="25"/>
      <c r="CH445" s="25"/>
      <c r="CI445" s="25"/>
      <c r="CJ445" s="25"/>
      <c r="CK445" s="25"/>
      <c r="CL445" s="25"/>
      <c r="CM445" s="25"/>
      <c r="CN445" s="25"/>
      <c r="CO445" s="25"/>
      <c r="CP445" s="25"/>
      <c r="CQ445" s="25"/>
      <c r="CR445" s="25"/>
      <c r="CS445" s="25"/>
    </row>
    <row r="446" spans="2:97">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c r="AV446" s="25"/>
      <c r="AW446" s="25"/>
      <c r="AX446" s="25"/>
      <c r="AY446" s="25"/>
      <c r="AZ446" s="25"/>
      <c r="BA446" s="25"/>
      <c r="BB446" s="25"/>
      <c r="BC446" s="25"/>
      <c r="BD446" s="25"/>
      <c r="BE446" s="25"/>
      <c r="BF446" s="25"/>
      <c r="BG446" s="25"/>
      <c r="BH446" s="25"/>
      <c r="BI446" s="25"/>
      <c r="BJ446" s="25"/>
      <c r="BK446" s="25"/>
      <c r="BL446" s="25"/>
      <c r="BM446" s="25"/>
      <c r="BN446" s="25"/>
      <c r="BO446" s="25"/>
      <c r="BP446" s="25"/>
      <c r="BQ446" s="25"/>
      <c r="BR446" s="25"/>
      <c r="BS446" s="25"/>
      <c r="BT446" s="25"/>
      <c r="BU446" s="25"/>
      <c r="BV446" s="25"/>
      <c r="BW446" s="25"/>
      <c r="BX446" s="25"/>
      <c r="BY446" s="25"/>
      <c r="BZ446" s="25"/>
      <c r="CA446" s="25"/>
      <c r="CB446" s="25"/>
      <c r="CC446" s="25"/>
      <c r="CD446" s="25"/>
      <c r="CE446" s="25"/>
      <c r="CF446" s="25"/>
      <c r="CG446" s="25"/>
      <c r="CH446" s="25"/>
      <c r="CI446" s="25"/>
      <c r="CJ446" s="25"/>
      <c r="CK446" s="25"/>
      <c r="CL446" s="25"/>
      <c r="CM446" s="25"/>
      <c r="CN446" s="25"/>
      <c r="CO446" s="25"/>
      <c r="CP446" s="25"/>
      <c r="CQ446" s="25"/>
      <c r="CR446" s="25"/>
      <c r="CS446" s="25"/>
    </row>
    <row r="447" spans="2:97">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c r="AV447" s="25"/>
      <c r="AW447" s="25"/>
      <c r="AX447" s="25"/>
      <c r="AY447" s="25"/>
      <c r="AZ447" s="25"/>
      <c r="BA447" s="25"/>
      <c r="BB447" s="25"/>
      <c r="BC447" s="25"/>
      <c r="BD447" s="25"/>
      <c r="BE447" s="25"/>
      <c r="BF447" s="25"/>
      <c r="BG447" s="25"/>
      <c r="BH447" s="25"/>
      <c r="BI447" s="25"/>
      <c r="BJ447" s="25"/>
      <c r="BK447" s="25"/>
      <c r="BL447" s="25"/>
      <c r="BM447" s="25"/>
      <c r="BN447" s="25"/>
      <c r="BO447" s="25"/>
      <c r="BP447" s="25"/>
      <c r="BQ447" s="25"/>
      <c r="BR447" s="25"/>
      <c r="BS447" s="25"/>
      <c r="BT447" s="25"/>
      <c r="BU447" s="25"/>
      <c r="BV447" s="25"/>
      <c r="BW447" s="25"/>
      <c r="BX447" s="25"/>
      <c r="BY447" s="25"/>
      <c r="BZ447" s="25"/>
      <c r="CA447" s="25"/>
      <c r="CB447" s="25"/>
      <c r="CC447" s="25"/>
      <c r="CD447" s="25"/>
      <c r="CE447" s="25"/>
      <c r="CF447" s="25"/>
      <c r="CG447" s="25"/>
      <c r="CH447" s="25"/>
      <c r="CI447" s="25"/>
      <c r="CJ447" s="25"/>
      <c r="CK447" s="25"/>
      <c r="CL447" s="25"/>
      <c r="CM447" s="25"/>
      <c r="CN447" s="25"/>
      <c r="CO447" s="25"/>
      <c r="CP447" s="25"/>
      <c r="CQ447" s="25"/>
      <c r="CR447" s="25"/>
      <c r="CS447" s="25"/>
    </row>
    <row r="448" spans="2:97">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c r="AV448" s="25"/>
      <c r="AW448" s="25"/>
      <c r="AX448" s="25"/>
      <c r="AY448" s="25"/>
      <c r="AZ448" s="25"/>
      <c r="BA448" s="25"/>
      <c r="BB448" s="25"/>
      <c r="BC448" s="25"/>
      <c r="BD448" s="25"/>
      <c r="BE448" s="25"/>
      <c r="BF448" s="25"/>
      <c r="BG448" s="25"/>
      <c r="BH448" s="25"/>
      <c r="BI448" s="25"/>
      <c r="BJ448" s="25"/>
      <c r="BK448" s="25"/>
      <c r="BL448" s="25"/>
      <c r="BM448" s="25"/>
      <c r="BN448" s="25"/>
      <c r="BO448" s="25"/>
      <c r="BP448" s="25"/>
      <c r="BQ448" s="25"/>
      <c r="BR448" s="25"/>
      <c r="BS448" s="25"/>
      <c r="BT448" s="25"/>
      <c r="BU448" s="25"/>
      <c r="BV448" s="25"/>
      <c r="BW448" s="25"/>
      <c r="BX448" s="25"/>
      <c r="BY448" s="25"/>
      <c r="BZ448" s="25"/>
      <c r="CA448" s="25"/>
      <c r="CB448" s="25"/>
      <c r="CC448" s="25"/>
      <c r="CD448" s="25"/>
      <c r="CE448" s="25"/>
      <c r="CF448" s="25"/>
      <c r="CG448" s="25"/>
      <c r="CH448" s="25"/>
      <c r="CI448" s="25"/>
      <c r="CJ448" s="25"/>
      <c r="CK448" s="25"/>
      <c r="CL448" s="25"/>
      <c r="CM448" s="25"/>
      <c r="CN448" s="25"/>
      <c r="CO448" s="25"/>
      <c r="CP448" s="25"/>
      <c r="CQ448" s="25"/>
      <c r="CR448" s="25"/>
      <c r="CS448" s="25"/>
    </row>
    <row r="449" spans="2:97">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c r="AV449" s="25"/>
      <c r="AW449" s="25"/>
      <c r="AX449" s="25"/>
      <c r="AY449" s="25"/>
      <c r="AZ449" s="25"/>
      <c r="BA449" s="25"/>
      <c r="BB449" s="25"/>
      <c r="BC449" s="25"/>
      <c r="BD449" s="25"/>
      <c r="BE449" s="25"/>
      <c r="BF449" s="25"/>
      <c r="BG449" s="25"/>
      <c r="BH449" s="25"/>
      <c r="BI449" s="25"/>
      <c r="BJ449" s="25"/>
      <c r="BK449" s="25"/>
      <c r="BL449" s="25"/>
      <c r="BM449" s="25"/>
      <c r="BN449" s="25"/>
      <c r="BO449" s="25"/>
      <c r="BP449" s="25"/>
      <c r="BQ449" s="25"/>
      <c r="BR449" s="25"/>
      <c r="BS449" s="25"/>
      <c r="BT449" s="25"/>
      <c r="BU449" s="25"/>
      <c r="BV449" s="25"/>
      <c r="BW449" s="25"/>
      <c r="BX449" s="25"/>
      <c r="BY449" s="25"/>
      <c r="BZ449" s="25"/>
      <c r="CA449" s="25"/>
      <c r="CB449" s="25"/>
      <c r="CC449" s="25"/>
      <c r="CD449" s="25"/>
      <c r="CE449" s="25"/>
      <c r="CF449" s="25"/>
      <c r="CG449" s="25"/>
      <c r="CH449" s="25"/>
      <c r="CI449" s="25"/>
      <c r="CJ449" s="25"/>
      <c r="CK449" s="25"/>
      <c r="CL449" s="25"/>
      <c r="CM449" s="25"/>
      <c r="CN449" s="25"/>
      <c r="CO449" s="25"/>
      <c r="CP449" s="25"/>
      <c r="CQ449" s="25"/>
      <c r="CR449" s="25"/>
      <c r="CS449" s="25"/>
    </row>
    <row r="450" spans="2:97">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c r="AV450" s="25"/>
      <c r="AW450" s="25"/>
      <c r="AX450" s="25"/>
      <c r="AY450" s="25"/>
      <c r="AZ450" s="25"/>
      <c r="BA450" s="25"/>
      <c r="BB450" s="25"/>
      <c r="BC450" s="25"/>
      <c r="BD450" s="25"/>
      <c r="BE450" s="25"/>
      <c r="BF450" s="25"/>
      <c r="BG450" s="25"/>
      <c r="BH450" s="25"/>
      <c r="BI450" s="25"/>
      <c r="BJ450" s="25"/>
      <c r="BK450" s="25"/>
      <c r="BL450" s="25"/>
      <c r="BM450" s="25"/>
      <c r="BN450" s="25"/>
      <c r="BO450" s="25"/>
      <c r="BP450" s="25"/>
      <c r="BQ450" s="25"/>
      <c r="BR450" s="25"/>
      <c r="BS450" s="25"/>
      <c r="BT450" s="25"/>
      <c r="BU450" s="25"/>
      <c r="BV450" s="25"/>
      <c r="BW450" s="25"/>
      <c r="BX450" s="25"/>
      <c r="BY450" s="25"/>
      <c r="BZ450" s="25"/>
      <c r="CA450" s="25"/>
      <c r="CB450" s="25"/>
      <c r="CC450" s="25"/>
      <c r="CD450" s="25"/>
      <c r="CE450" s="25"/>
      <c r="CF450" s="25"/>
      <c r="CG450" s="25"/>
      <c r="CH450" s="25"/>
      <c r="CI450" s="25"/>
      <c r="CJ450" s="25"/>
      <c r="CK450" s="25"/>
      <c r="CL450" s="25"/>
      <c r="CM450" s="25"/>
      <c r="CN450" s="25"/>
      <c r="CO450" s="25"/>
      <c r="CP450" s="25"/>
      <c r="CQ450" s="25"/>
      <c r="CR450" s="25"/>
      <c r="CS450" s="25"/>
    </row>
    <row r="451" spans="2:97">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c r="AV451" s="25"/>
      <c r="AW451" s="25"/>
      <c r="AX451" s="25"/>
      <c r="AY451" s="25"/>
      <c r="AZ451" s="25"/>
      <c r="BA451" s="25"/>
      <c r="BB451" s="25"/>
      <c r="BC451" s="25"/>
      <c r="BD451" s="25"/>
      <c r="BE451" s="25"/>
      <c r="BF451" s="25"/>
      <c r="BG451" s="25"/>
      <c r="BH451" s="25"/>
      <c r="BI451" s="25"/>
      <c r="BJ451" s="25"/>
      <c r="BK451" s="25"/>
      <c r="BL451" s="25"/>
      <c r="BM451" s="25"/>
      <c r="BN451" s="25"/>
      <c r="BO451" s="25"/>
      <c r="BP451" s="25"/>
      <c r="BQ451" s="25"/>
      <c r="BR451" s="25"/>
      <c r="BS451" s="25"/>
      <c r="BT451" s="25"/>
      <c r="BU451" s="25"/>
      <c r="BV451" s="25"/>
      <c r="BW451" s="25"/>
      <c r="BX451" s="25"/>
      <c r="BY451" s="25"/>
      <c r="BZ451" s="25"/>
      <c r="CA451" s="25"/>
      <c r="CB451" s="25"/>
      <c r="CC451" s="25"/>
      <c r="CD451" s="25"/>
      <c r="CE451" s="25"/>
      <c r="CF451" s="25"/>
      <c r="CG451" s="25"/>
      <c r="CH451" s="25"/>
      <c r="CI451" s="25"/>
      <c r="CJ451" s="25"/>
      <c r="CK451" s="25"/>
      <c r="CL451" s="25"/>
      <c r="CM451" s="25"/>
      <c r="CN451" s="25"/>
      <c r="CO451" s="25"/>
      <c r="CP451" s="25"/>
      <c r="CQ451" s="25"/>
      <c r="CR451" s="25"/>
      <c r="CS451" s="25"/>
    </row>
    <row r="452" spans="2:97">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c r="AV452" s="25"/>
      <c r="AW452" s="25"/>
      <c r="AX452" s="25"/>
      <c r="AY452" s="25"/>
      <c r="AZ452" s="25"/>
      <c r="BA452" s="25"/>
      <c r="BB452" s="25"/>
      <c r="BC452" s="25"/>
      <c r="BD452" s="25"/>
      <c r="BE452" s="25"/>
      <c r="BF452" s="25"/>
      <c r="BG452" s="25"/>
      <c r="BH452" s="25"/>
      <c r="BI452" s="25"/>
      <c r="BJ452" s="25"/>
      <c r="BK452" s="25"/>
      <c r="BL452" s="25"/>
      <c r="BM452" s="25"/>
      <c r="BN452" s="25"/>
      <c r="BO452" s="25"/>
      <c r="BP452" s="25"/>
      <c r="BQ452" s="25"/>
      <c r="BR452" s="25"/>
      <c r="BS452" s="25"/>
      <c r="BT452" s="25"/>
      <c r="BU452" s="25"/>
      <c r="BV452" s="25"/>
      <c r="BW452" s="25"/>
      <c r="BX452" s="25"/>
      <c r="BY452" s="25"/>
      <c r="BZ452" s="25"/>
      <c r="CA452" s="25"/>
      <c r="CB452" s="25"/>
      <c r="CC452" s="25"/>
      <c r="CD452" s="25"/>
      <c r="CE452" s="25"/>
      <c r="CF452" s="25"/>
      <c r="CG452" s="25"/>
      <c r="CH452" s="25"/>
      <c r="CI452" s="25"/>
      <c r="CJ452" s="25"/>
      <c r="CK452" s="25"/>
      <c r="CL452" s="25"/>
      <c r="CM452" s="25"/>
      <c r="CN452" s="25"/>
      <c r="CO452" s="25"/>
      <c r="CP452" s="25"/>
      <c r="CQ452" s="25"/>
      <c r="CR452" s="25"/>
      <c r="CS452" s="25"/>
    </row>
    <row r="453" spans="2:97">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c r="AV453" s="25"/>
      <c r="AW453" s="25"/>
      <c r="AX453" s="25"/>
      <c r="AY453" s="25"/>
      <c r="AZ453" s="25"/>
      <c r="BA453" s="25"/>
      <c r="BB453" s="25"/>
      <c r="BC453" s="25"/>
      <c r="BD453" s="25"/>
      <c r="BE453" s="25"/>
      <c r="BF453" s="25"/>
      <c r="BG453" s="25"/>
      <c r="BH453" s="25"/>
      <c r="BI453" s="25"/>
      <c r="BJ453" s="25"/>
      <c r="BK453" s="25"/>
      <c r="BL453" s="25"/>
      <c r="BM453" s="25"/>
      <c r="BN453" s="25"/>
      <c r="BO453" s="25"/>
      <c r="BP453" s="25"/>
      <c r="BQ453" s="25"/>
      <c r="BR453" s="25"/>
      <c r="BS453" s="25"/>
      <c r="BT453" s="25"/>
      <c r="BU453" s="25"/>
      <c r="BV453" s="25"/>
      <c r="BW453" s="25"/>
      <c r="BX453" s="25"/>
      <c r="BY453" s="25"/>
      <c r="BZ453" s="25"/>
      <c r="CA453" s="25"/>
      <c r="CB453" s="25"/>
      <c r="CC453" s="25"/>
      <c r="CD453" s="25"/>
      <c r="CE453" s="25"/>
      <c r="CF453" s="25"/>
      <c r="CG453" s="25"/>
      <c r="CH453" s="25"/>
      <c r="CI453" s="25"/>
      <c r="CJ453" s="25"/>
      <c r="CK453" s="25"/>
      <c r="CL453" s="25"/>
      <c r="CM453" s="25"/>
      <c r="CN453" s="25"/>
      <c r="CO453" s="25"/>
      <c r="CP453" s="25"/>
      <c r="CQ453" s="25"/>
      <c r="CR453" s="25"/>
      <c r="CS453" s="25"/>
    </row>
    <row r="454" spans="2:97">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c r="AV454" s="25"/>
      <c r="AW454" s="25"/>
      <c r="AX454" s="25"/>
      <c r="AY454" s="25"/>
      <c r="AZ454" s="25"/>
      <c r="BA454" s="25"/>
      <c r="BB454" s="25"/>
      <c r="BC454" s="25"/>
      <c r="BD454" s="25"/>
      <c r="BE454" s="25"/>
      <c r="BF454" s="25"/>
      <c r="BG454" s="25"/>
      <c r="BH454" s="25"/>
      <c r="BI454" s="25"/>
      <c r="BJ454" s="25"/>
      <c r="BK454" s="25"/>
      <c r="BL454" s="25"/>
      <c r="BM454" s="25"/>
      <c r="BN454" s="25"/>
      <c r="BO454" s="25"/>
      <c r="BP454" s="25"/>
      <c r="BQ454" s="25"/>
      <c r="BR454" s="25"/>
      <c r="BS454" s="25"/>
      <c r="BT454" s="25"/>
      <c r="BU454" s="25"/>
      <c r="BV454" s="25"/>
      <c r="BW454" s="25"/>
      <c r="BX454" s="25"/>
      <c r="BY454" s="25"/>
      <c r="BZ454" s="25"/>
      <c r="CA454" s="25"/>
      <c r="CB454" s="25"/>
      <c r="CC454" s="25"/>
      <c r="CD454" s="25"/>
      <c r="CE454" s="25"/>
      <c r="CF454" s="25"/>
      <c r="CG454" s="25"/>
      <c r="CH454" s="25"/>
      <c r="CI454" s="25"/>
      <c r="CJ454" s="25"/>
      <c r="CK454" s="25"/>
      <c r="CL454" s="25"/>
      <c r="CM454" s="25"/>
      <c r="CN454" s="25"/>
      <c r="CO454" s="25"/>
      <c r="CP454" s="25"/>
      <c r="CQ454" s="25"/>
      <c r="CR454" s="25"/>
      <c r="CS454" s="25"/>
    </row>
    <row r="455" spans="2:97">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c r="AV455" s="25"/>
      <c r="AW455" s="25"/>
      <c r="AX455" s="25"/>
      <c r="AY455" s="25"/>
      <c r="AZ455" s="25"/>
      <c r="BA455" s="25"/>
      <c r="BB455" s="25"/>
      <c r="BC455" s="25"/>
      <c r="BD455" s="25"/>
      <c r="BE455" s="25"/>
      <c r="BF455" s="25"/>
      <c r="BG455" s="25"/>
      <c r="BH455" s="25"/>
      <c r="BI455" s="25"/>
      <c r="BJ455" s="25"/>
      <c r="BK455" s="25"/>
      <c r="BL455" s="25"/>
      <c r="BM455" s="25"/>
      <c r="BN455" s="25"/>
      <c r="BO455" s="25"/>
      <c r="BP455" s="25"/>
      <c r="BQ455" s="25"/>
      <c r="BR455" s="25"/>
      <c r="BS455" s="25"/>
      <c r="BT455" s="25"/>
      <c r="BU455" s="25"/>
      <c r="BV455" s="25"/>
      <c r="BW455" s="25"/>
      <c r="BX455" s="25"/>
      <c r="BY455" s="25"/>
      <c r="BZ455" s="25"/>
      <c r="CA455" s="25"/>
      <c r="CB455" s="25"/>
      <c r="CC455" s="25"/>
      <c r="CD455" s="25"/>
      <c r="CE455" s="25"/>
      <c r="CF455" s="25"/>
      <c r="CG455" s="25"/>
      <c r="CH455" s="25"/>
      <c r="CI455" s="25"/>
      <c r="CJ455" s="25"/>
      <c r="CK455" s="25"/>
      <c r="CL455" s="25"/>
      <c r="CM455" s="25"/>
      <c r="CN455" s="25"/>
      <c r="CO455" s="25"/>
      <c r="CP455" s="25"/>
      <c r="CQ455" s="25"/>
      <c r="CR455" s="25"/>
      <c r="CS455" s="25"/>
    </row>
    <row r="456" spans="2:97">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c r="AV456" s="25"/>
      <c r="AW456" s="25"/>
      <c r="AX456" s="25"/>
      <c r="AY456" s="25"/>
      <c r="AZ456" s="25"/>
      <c r="BA456" s="25"/>
      <c r="BB456" s="25"/>
      <c r="BC456" s="25"/>
      <c r="BD456" s="25"/>
      <c r="BE456" s="25"/>
      <c r="BF456" s="25"/>
      <c r="BG456" s="25"/>
      <c r="BH456" s="25"/>
      <c r="BI456" s="25"/>
      <c r="BJ456" s="25"/>
      <c r="BK456" s="25"/>
      <c r="BL456" s="25"/>
      <c r="BM456" s="25"/>
      <c r="BN456" s="25"/>
      <c r="BO456" s="25"/>
      <c r="BP456" s="25"/>
      <c r="BQ456" s="25"/>
      <c r="BR456" s="25"/>
      <c r="BS456" s="25"/>
      <c r="BT456" s="25"/>
      <c r="BU456" s="25"/>
      <c r="BV456" s="25"/>
      <c r="BW456" s="25"/>
      <c r="BX456" s="25"/>
      <c r="BY456" s="25"/>
      <c r="BZ456" s="25"/>
      <c r="CA456" s="25"/>
      <c r="CB456" s="25"/>
      <c r="CC456" s="25"/>
      <c r="CD456" s="25"/>
      <c r="CE456" s="25"/>
      <c r="CF456" s="25"/>
      <c r="CG456" s="25"/>
      <c r="CH456" s="25"/>
      <c r="CI456" s="25"/>
      <c r="CJ456" s="25"/>
      <c r="CK456" s="25"/>
      <c r="CL456" s="25"/>
      <c r="CM456" s="25"/>
      <c r="CN456" s="25"/>
      <c r="CO456" s="25"/>
      <c r="CP456" s="25"/>
      <c r="CQ456" s="25"/>
      <c r="CR456" s="25"/>
      <c r="CS456" s="25"/>
    </row>
    <row r="457" spans="2:97">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c r="AV457" s="25"/>
      <c r="AW457" s="25"/>
      <c r="AX457" s="25"/>
      <c r="AY457" s="25"/>
      <c r="AZ457" s="25"/>
      <c r="BA457" s="25"/>
      <c r="BB457" s="25"/>
      <c r="BC457" s="25"/>
      <c r="BD457" s="25"/>
      <c r="BE457" s="25"/>
      <c r="BF457" s="25"/>
      <c r="BG457" s="25"/>
      <c r="BH457" s="25"/>
      <c r="BI457" s="25"/>
      <c r="BJ457" s="25"/>
      <c r="BK457" s="25"/>
      <c r="BL457" s="25"/>
      <c r="BM457" s="25"/>
      <c r="BN457" s="25"/>
      <c r="BO457" s="25"/>
      <c r="BP457" s="25"/>
      <c r="BQ457" s="25"/>
      <c r="BR457" s="25"/>
      <c r="BS457" s="25"/>
      <c r="BT457" s="25"/>
      <c r="BU457" s="25"/>
      <c r="BV457" s="25"/>
      <c r="BW457" s="25"/>
      <c r="BX457" s="25"/>
      <c r="BY457" s="25"/>
      <c r="BZ457" s="25"/>
      <c r="CA457" s="25"/>
      <c r="CB457" s="25"/>
      <c r="CC457" s="25"/>
      <c r="CD457" s="25"/>
      <c r="CE457" s="25"/>
      <c r="CF457" s="25"/>
      <c r="CG457" s="25"/>
      <c r="CH457" s="25"/>
      <c r="CI457" s="25"/>
      <c r="CJ457" s="25"/>
      <c r="CK457" s="25"/>
      <c r="CL457" s="25"/>
      <c r="CM457" s="25"/>
      <c r="CN457" s="25"/>
      <c r="CO457" s="25"/>
      <c r="CP457" s="25"/>
      <c r="CQ457" s="25"/>
      <c r="CR457" s="25"/>
      <c r="CS457" s="25"/>
    </row>
    <row r="458" spans="2:97">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c r="AV458" s="25"/>
      <c r="AW458" s="25"/>
      <c r="AX458" s="25"/>
      <c r="AY458" s="25"/>
      <c r="AZ458" s="25"/>
      <c r="BA458" s="25"/>
      <c r="BB458" s="25"/>
      <c r="BC458" s="25"/>
      <c r="BD458" s="25"/>
      <c r="BE458" s="25"/>
      <c r="BF458" s="25"/>
      <c r="BG458" s="25"/>
      <c r="BH458" s="25"/>
      <c r="BI458" s="25"/>
      <c r="BJ458" s="25"/>
      <c r="BK458" s="25"/>
      <c r="BL458" s="25"/>
      <c r="BM458" s="25"/>
      <c r="BN458" s="25"/>
      <c r="BO458" s="25"/>
      <c r="BP458" s="25"/>
      <c r="BQ458" s="25"/>
      <c r="BR458" s="25"/>
      <c r="BS458" s="25"/>
      <c r="BT458" s="25"/>
      <c r="BU458" s="25"/>
      <c r="BV458" s="25"/>
      <c r="BW458" s="25"/>
      <c r="BX458" s="25"/>
      <c r="BY458" s="25"/>
      <c r="BZ458" s="25"/>
      <c r="CA458" s="25"/>
      <c r="CB458" s="25"/>
      <c r="CC458" s="25"/>
      <c r="CD458" s="25"/>
      <c r="CE458" s="25"/>
      <c r="CF458" s="25"/>
      <c r="CG458" s="25"/>
      <c r="CH458" s="25"/>
      <c r="CI458" s="25"/>
      <c r="CJ458" s="25"/>
      <c r="CK458" s="25"/>
      <c r="CL458" s="25"/>
      <c r="CM458" s="25"/>
      <c r="CN458" s="25"/>
      <c r="CO458" s="25"/>
      <c r="CP458" s="25"/>
      <c r="CQ458" s="25"/>
      <c r="CR458" s="25"/>
      <c r="CS458" s="25"/>
    </row>
    <row r="459" spans="2:97">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c r="AV459" s="25"/>
      <c r="AW459" s="25"/>
      <c r="AX459" s="25"/>
      <c r="AY459" s="25"/>
      <c r="AZ459" s="25"/>
      <c r="BA459" s="25"/>
      <c r="BB459" s="25"/>
      <c r="BC459" s="25"/>
      <c r="BD459" s="25"/>
      <c r="BE459" s="25"/>
      <c r="BF459" s="25"/>
      <c r="BG459" s="25"/>
      <c r="BH459" s="25"/>
      <c r="BI459" s="25"/>
      <c r="BJ459" s="25"/>
      <c r="BK459" s="25"/>
      <c r="BL459" s="25"/>
      <c r="BM459" s="25"/>
      <c r="BN459" s="25"/>
      <c r="BO459" s="25"/>
      <c r="BP459" s="25"/>
      <c r="BQ459" s="25"/>
      <c r="BR459" s="25"/>
      <c r="BS459" s="25"/>
      <c r="BT459" s="25"/>
      <c r="BU459" s="25"/>
      <c r="BV459" s="25"/>
      <c r="BW459" s="25"/>
      <c r="BX459" s="25"/>
      <c r="BY459" s="25"/>
      <c r="BZ459" s="25"/>
      <c r="CA459" s="25"/>
      <c r="CB459" s="25"/>
      <c r="CC459" s="25"/>
      <c r="CD459" s="25"/>
      <c r="CE459" s="25"/>
      <c r="CF459" s="25"/>
      <c r="CG459" s="25"/>
      <c r="CH459" s="25"/>
      <c r="CI459" s="25"/>
      <c r="CJ459" s="25"/>
      <c r="CK459" s="25"/>
      <c r="CL459" s="25"/>
      <c r="CM459" s="25"/>
      <c r="CN459" s="25"/>
      <c r="CO459" s="25"/>
      <c r="CP459" s="25"/>
      <c r="CQ459" s="25"/>
      <c r="CR459" s="25"/>
      <c r="CS459" s="25"/>
    </row>
    <row r="460" spans="2:97">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c r="AV460" s="25"/>
      <c r="AW460" s="25"/>
      <c r="AX460" s="25"/>
      <c r="AY460" s="25"/>
      <c r="AZ460" s="25"/>
      <c r="BA460" s="25"/>
      <c r="BB460" s="25"/>
      <c r="BC460" s="25"/>
      <c r="BD460" s="25"/>
      <c r="BE460" s="25"/>
      <c r="BF460" s="25"/>
      <c r="BG460" s="25"/>
      <c r="BH460" s="25"/>
      <c r="BI460" s="25"/>
      <c r="BJ460" s="25"/>
      <c r="BK460" s="25"/>
      <c r="BL460" s="25"/>
      <c r="BM460" s="25"/>
      <c r="BN460" s="25"/>
      <c r="BO460" s="25"/>
      <c r="BP460" s="25"/>
      <c r="BQ460" s="25"/>
      <c r="BR460" s="25"/>
      <c r="BS460" s="25"/>
      <c r="BT460" s="25"/>
      <c r="BU460" s="25"/>
      <c r="BV460" s="25"/>
      <c r="BW460" s="25"/>
      <c r="BX460" s="25"/>
      <c r="BY460" s="25"/>
      <c r="BZ460" s="25"/>
      <c r="CA460" s="25"/>
      <c r="CB460" s="25"/>
      <c r="CC460" s="25"/>
      <c r="CD460" s="25"/>
      <c r="CE460" s="25"/>
      <c r="CF460" s="25"/>
      <c r="CG460" s="25"/>
      <c r="CH460" s="25"/>
      <c r="CI460" s="25"/>
      <c r="CJ460" s="25"/>
      <c r="CK460" s="25"/>
      <c r="CL460" s="25"/>
      <c r="CM460" s="25"/>
      <c r="CN460" s="25"/>
      <c r="CO460" s="25"/>
      <c r="CP460" s="25"/>
      <c r="CQ460" s="25"/>
      <c r="CR460" s="25"/>
      <c r="CS460" s="25"/>
    </row>
    <row r="461" spans="2:97">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c r="AV461" s="25"/>
      <c r="AW461" s="25"/>
      <c r="AX461" s="25"/>
      <c r="AY461" s="25"/>
      <c r="AZ461" s="25"/>
      <c r="BA461" s="25"/>
      <c r="BB461" s="25"/>
      <c r="BC461" s="25"/>
      <c r="BD461" s="25"/>
      <c r="BE461" s="25"/>
      <c r="BF461" s="25"/>
      <c r="BG461" s="25"/>
      <c r="BH461" s="25"/>
      <c r="BI461" s="25"/>
      <c r="BJ461" s="25"/>
      <c r="BK461" s="25"/>
      <c r="BL461" s="25"/>
      <c r="BM461" s="25"/>
      <c r="BN461" s="25"/>
      <c r="BO461" s="25"/>
      <c r="BP461" s="25"/>
      <c r="BQ461" s="25"/>
      <c r="BR461" s="25"/>
      <c r="BS461" s="25"/>
      <c r="BT461" s="25"/>
      <c r="BU461" s="25"/>
      <c r="BV461" s="25"/>
      <c r="BW461" s="25"/>
      <c r="BX461" s="25"/>
      <c r="BY461" s="25"/>
      <c r="BZ461" s="25"/>
      <c r="CA461" s="25"/>
      <c r="CB461" s="25"/>
      <c r="CC461" s="25"/>
      <c r="CD461" s="25"/>
      <c r="CE461" s="25"/>
      <c r="CF461" s="25"/>
      <c r="CG461" s="25"/>
      <c r="CH461" s="25"/>
      <c r="CI461" s="25"/>
      <c r="CJ461" s="25"/>
      <c r="CK461" s="25"/>
      <c r="CL461" s="25"/>
      <c r="CM461" s="25"/>
      <c r="CN461" s="25"/>
      <c r="CO461" s="25"/>
      <c r="CP461" s="25"/>
      <c r="CQ461" s="25"/>
      <c r="CR461" s="25"/>
      <c r="CS461" s="25"/>
    </row>
    <row r="462" spans="2:97">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c r="AV462" s="25"/>
      <c r="AW462" s="25"/>
      <c r="AX462" s="25"/>
      <c r="AY462" s="25"/>
      <c r="AZ462" s="25"/>
      <c r="BA462" s="25"/>
      <c r="BB462" s="25"/>
      <c r="BC462" s="25"/>
      <c r="BD462" s="25"/>
      <c r="BE462" s="25"/>
      <c r="BF462" s="25"/>
      <c r="BG462" s="25"/>
      <c r="BH462" s="25"/>
      <c r="BI462" s="25"/>
      <c r="BJ462" s="25"/>
      <c r="BK462" s="25"/>
      <c r="BL462" s="25"/>
      <c r="BM462" s="25"/>
      <c r="BN462" s="25"/>
      <c r="BO462" s="25"/>
      <c r="BP462" s="25"/>
      <c r="BQ462" s="25"/>
      <c r="BR462" s="25"/>
      <c r="BS462" s="25"/>
      <c r="BT462" s="25"/>
      <c r="BU462" s="25"/>
      <c r="BV462" s="25"/>
      <c r="BW462" s="25"/>
      <c r="BX462" s="25"/>
      <c r="BY462" s="25"/>
      <c r="BZ462" s="25"/>
      <c r="CA462" s="25"/>
      <c r="CB462" s="25"/>
      <c r="CC462" s="25"/>
      <c r="CD462" s="25"/>
      <c r="CE462" s="25"/>
      <c r="CF462" s="25"/>
      <c r="CG462" s="25"/>
      <c r="CH462" s="25"/>
      <c r="CI462" s="25"/>
      <c r="CJ462" s="25"/>
      <c r="CK462" s="25"/>
      <c r="CL462" s="25"/>
      <c r="CM462" s="25"/>
      <c r="CN462" s="25"/>
      <c r="CO462" s="25"/>
      <c r="CP462" s="25"/>
      <c r="CQ462" s="25"/>
      <c r="CR462" s="25"/>
      <c r="CS462" s="25"/>
    </row>
    <row r="463" spans="2:97">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c r="AV463" s="25"/>
      <c r="AW463" s="25"/>
      <c r="AX463" s="25"/>
      <c r="AY463" s="25"/>
      <c r="AZ463" s="25"/>
      <c r="BA463" s="25"/>
      <c r="BB463" s="25"/>
      <c r="BC463" s="25"/>
      <c r="BD463" s="25"/>
      <c r="BE463" s="25"/>
      <c r="BF463" s="25"/>
      <c r="BG463" s="25"/>
      <c r="BH463" s="25"/>
      <c r="BI463" s="25"/>
      <c r="BJ463" s="25"/>
      <c r="BK463" s="25"/>
      <c r="BL463" s="25"/>
      <c r="BM463" s="25"/>
      <c r="BN463" s="25"/>
      <c r="BO463" s="25"/>
      <c r="BP463" s="25"/>
      <c r="BQ463" s="25"/>
      <c r="BR463" s="25"/>
      <c r="BS463" s="25"/>
      <c r="BT463" s="25"/>
      <c r="BU463" s="25"/>
      <c r="BV463" s="25"/>
      <c r="BW463" s="25"/>
      <c r="BX463" s="25"/>
      <c r="BY463" s="25"/>
      <c r="BZ463" s="25"/>
      <c r="CA463" s="25"/>
      <c r="CB463" s="25"/>
      <c r="CC463" s="25"/>
      <c r="CD463" s="25"/>
      <c r="CE463" s="25"/>
      <c r="CF463" s="25"/>
      <c r="CG463" s="25"/>
      <c r="CH463" s="25"/>
      <c r="CI463" s="25"/>
      <c r="CJ463" s="25"/>
      <c r="CK463" s="25"/>
      <c r="CL463" s="25"/>
      <c r="CM463" s="25"/>
      <c r="CN463" s="25"/>
      <c r="CO463" s="25"/>
      <c r="CP463" s="25"/>
      <c r="CQ463" s="25"/>
      <c r="CR463" s="25"/>
      <c r="CS463" s="25"/>
    </row>
    <row r="464" spans="2:97">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c r="AV464" s="25"/>
      <c r="AW464" s="25"/>
      <c r="AX464" s="25"/>
      <c r="AY464" s="25"/>
      <c r="AZ464" s="25"/>
      <c r="BA464" s="25"/>
      <c r="BB464" s="25"/>
      <c r="BC464" s="25"/>
      <c r="BD464" s="25"/>
      <c r="BE464" s="25"/>
      <c r="BF464" s="25"/>
      <c r="BG464" s="25"/>
      <c r="BH464" s="25"/>
      <c r="BI464" s="25"/>
      <c r="BJ464" s="25"/>
      <c r="BK464" s="25"/>
      <c r="BL464" s="25"/>
      <c r="BM464" s="25"/>
      <c r="BN464" s="25"/>
      <c r="BO464" s="25"/>
      <c r="BP464" s="25"/>
      <c r="BQ464" s="25"/>
      <c r="BR464" s="25"/>
      <c r="BS464" s="25"/>
      <c r="BT464" s="25"/>
      <c r="BU464" s="25"/>
      <c r="BV464" s="25"/>
      <c r="BW464" s="25"/>
      <c r="BX464" s="25"/>
      <c r="BY464" s="25"/>
      <c r="BZ464" s="25"/>
      <c r="CA464" s="25"/>
      <c r="CB464" s="25"/>
      <c r="CC464" s="25"/>
      <c r="CD464" s="25"/>
      <c r="CE464" s="25"/>
      <c r="CF464" s="25"/>
      <c r="CG464" s="25"/>
      <c r="CH464" s="25"/>
      <c r="CI464" s="25"/>
      <c r="CJ464" s="25"/>
      <c r="CK464" s="25"/>
      <c r="CL464" s="25"/>
      <c r="CM464" s="25"/>
      <c r="CN464" s="25"/>
      <c r="CO464" s="25"/>
      <c r="CP464" s="25"/>
      <c r="CQ464" s="25"/>
      <c r="CR464" s="25"/>
      <c r="CS464" s="25"/>
    </row>
    <row r="465" spans="2:97">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c r="AV465" s="25"/>
      <c r="AW465" s="25"/>
      <c r="AX465" s="25"/>
      <c r="AY465" s="25"/>
      <c r="AZ465" s="25"/>
      <c r="BA465" s="25"/>
      <c r="BB465" s="25"/>
      <c r="BC465" s="25"/>
      <c r="BD465" s="25"/>
      <c r="BE465" s="25"/>
      <c r="BF465" s="25"/>
      <c r="BG465" s="25"/>
      <c r="BH465" s="25"/>
      <c r="BI465" s="25"/>
      <c r="BJ465" s="25"/>
      <c r="BK465" s="25"/>
      <c r="BL465" s="25"/>
      <c r="BM465" s="25"/>
      <c r="BN465" s="25"/>
      <c r="BO465" s="25"/>
      <c r="BP465" s="25"/>
      <c r="BQ465" s="25"/>
      <c r="BR465" s="25"/>
      <c r="BS465" s="25"/>
      <c r="BT465" s="25"/>
      <c r="BU465" s="25"/>
      <c r="BV465" s="25"/>
      <c r="BW465" s="25"/>
      <c r="BX465" s="25"/>
      <c r="BY465" s="25"/>
      <c r="BZ465" s="25"/>
      <c r="CA465" s="25"/>
      <c r="CB465" s="25"/>
      <c r="CC465" s="25"/>
      <c r="CD465" s="25"/>
      <c r="CE465" s="25"/>
      <c r="CF465" s="25"/>
      <c r="CG465" s="25"/>
      <c r="CH465" s="25"/>
      <c r="CI465" s="25"/>
      <c r="CJ465" s="25"/>
      <c r="CK465" s="25"/>
      <c r="CL465" s="25"/>
      <c r="CM465" s="25"/>
      <c r="CN465" s="25"/>
      <c r="CO465" s="25"/>
      <c r="CP465" s="25"/>
      <c r="CQ465" s="25"/>
      <c r="CR465" s="25"/>
      <c r="CS465" s="25"/>
    </row>
    <row r="466" spans="2:97">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c r="AV466" s="25"/>
      <c r="AW466" s="25"/>
      <c r="AX466" s="25"/>
      <c r="AY466" s="25"/>
      <c r="AZ466" s="25"/>
      <c r="BA466" s="25"/>
      <c r="BB466" s="25"/>
      <c r="BC466" s="25"/>
      <c r="BD466" s="25"/>
      <c r="BE466" s="25"/>
      <c r="BF466" s="25"/>
      <c r="BG466" s="25"/>
      <c r="BH466" s="25"/>
      <c r="BI466" s="25"/>
      <c r="BJ466" s="25"/>
      <c r="BK466" s="25"/>
      <c r="BL466" s="25"/>
      <c r="BM466" s="25"/>
      <c r="BN466" s="25"/>
      <c r="BO466" s="25"/>
      <c r="BP466" s="25"/>
      <c r="BQ466" s="25"/>
      <c r="BR466" s="25"/>
      <c r="BS466" s="25"/>
      <c r="BT466" s="25"/>
      <c r="BU466" s="25"/>
      <c r="BV466" s="25"/>
      <c r="BW466" s="25"/>
      <c r="BX466" s="25"/>
      <c r="BY466" s="25"/>
      <c r="BZ466" s="25"/>
      <c r="CA466" s="25"/>
      <c r="CB466" s="25"/>
      <c r="CC466" s="25"/>
      <c r="CD466" s="25"/>
      <c r="CE466" s="25"/>
      <c r="CF466" s="25"/>
      <c r="CG466" s="25"/>
      <c r="CH466" s="25"/>
      <c r="CI466" s="25"/>
      <c r="CJ466" s="25"/>
      <c r="CK466" s="25"/>
      <c r="CL466" s="25"/>
      <c r="CM466" s="25"/>
      <c r="CN466" s="25"/>
      <c r="CO466" s="25"/>
      <c r="CP466" s="25"/>
      <c r="CQ466" s="25"/>
      <c r="CR466" s="25"/>
      <c r="CS466" s="25"/>
    </row>
    <row r="467" spans="2:97">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c r="AV467" s="25"/>
      <c r="AW467" s="25"/>
      <c r="AX467" s="25"/>
      <c r="AY467" s="25"/>
      <c r="AZ467" s="25"/>
      <c r="BA467" s="25"/>
      <c r="BB467" s="25"/>
      <c r="BC467" s="25"/>
      <c r="BD467" s="25"/>
      <c r="BE467" s="25"/>
      <c r="BF467" s="25"/>
      <c r="BG467" s="25"/>
      <c r="BH467" s="25"/>
      <c r="BI467" s="25"/>
      <c r="BJ467" s="25"/>
      <c r="BK467" s="25"/>
      <c r="BL467" s="25"/>
      <c r="BM467" s="25"/>
      <c r="BN467" s="25"/>
      <c r="BO467" s="25"/>
      <c r="BP467" s="25"/>
      <c r="BQ467" s="25"/>
      <c r="BR467" s="25"/>
      <c r="BS467" s="25"/>
      <c r="BT467" s="25"/>
      <c r="BU467" s="25"/>
      <c r="BV467" s="25"/>
      <c r="BW467" s="25"/>
      <c r="BX467" s="25"/>
      <c r="BY467" s="25"/>
      <c r="BZ467" s="25"/>
      <c r="CA467" s="25"/>
      <c r="CB467" s="25"/>
      <c r="CC467" s="25"/>
      <c r="CD467" s="25"/>
      <c r="CE467" s="25"/>
      <c r="CF467" s="25"/>
      <c r="CG467" s="25"/>
      <c r="CH467" s="25"/>
      <c r="CI467" s="25"/>
      <c r="CJ467" s="25"/>
      <c r="CK467" s="25"/>
      <c r="CL467" s="25"/>
      <c r="CM467" s="25"/>
      <c r="CN467" s="25"/>
      <c r="CO467" s="25"/>
      <c r="CP467" s="25"/>
      <c r="CQ467" s="25"/>
      <c r="CR467" s="25"/>
      <c r="CS467" s="25"/>
    </row>
    <row r="468" spans="2:97">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c r="AV468" s="25"/>
      <c r="AW468" s="25"/>
      <c r="AX468" s="25"/>
      <c r="AY468" s="25"/>
      <c r="AZ468" s="25"/>
      <c r="BA468" s="25"/>
      <c r="BB468" s="25"/>
      <c r="BC468" s="25"/>
      <c r="BD468" s="25"/>
      <c r="BE468" s="25"/>
      <c r="BF468" s="25"/>
      <c r="BG468" s="25"/>
      <c r="BH468" s="25"/>
      <c r="BI468" s="25"/>
      <c r="BJ468" s="25"/>
      <c r="BK468" s="25"/>
      <c r="BL468" s="25"/>
      <c r="BM468" s="25"/>
      <c r="BN468" s="25"/>
      <c r="BO468" s="25"/>
      <c r="BP468" s="25"/>
      <c r="BQ468" s="25"/>
      <c r="BR468" s="25"/>
      <c r="BS468" s="25"/>
      <c r="BT468" s="25"/>
      <c r="BU468" s="25"/>
      <c r="BV468" s="25"/>
      <c r="BW468" s="25"/>
      <c r="BX468" s="25"/>
      <c r="BY468" s="25"/>
      <c r="BZ468" s="25"/>
      <c r="CA468" s="25"/>
      <c r="CB468" s="25"/>
      <c r="CC468" s="25"/>
      <c r="CD468" s="25"/>
      <c r="CE468" s="25"/>
      <c r="CF468" s="25"/>
      <c r="CG468" s="25"/>
      <c r="CH468" s="25"/>
      <c r="CI468" s="25"/>
      <c r="CJ468" s="25"/>
      <c r="CK468" s="25"/>
      <c r="CL468" s="25"/>
      <c r="CM468" s="25"/>
      <c r="CN468" s="25"/>
      <c r="CO468" s="25"/>
      <c r="CP468" s="25"/>
      <c r="CQ468" s="25"/>
      <c r="CR468" s="25"/>
      <c r="CS468" s="25"/>
    </row>
    <row r="469" spans="2:97">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c r="AV469" s="25"/>
      <c r="AW469" s="25"/>
      <c r="AX469" s="25"/>
      <c r="AY469" s="25"/>
      <c r="AZ469" s="25"/>
      <c r="BA469" s="25"/>
      <c r="BB469" s="25"/>
      <c r="BC469" s="25"/>
      <c r="BD469" s="25"/>
      <c r="BE469" s="25"/>
      <c r="BF469" s="25"/>
      <c r="BG469" s="25"/>
      <c r="BH469" s="25"/>
      <c r="BI469" s="25"/>
      <c r="BJ469" s="25"/>
      <c r="BK469" s="25"/>
      <c r="BL469" s="25"/>
      <c r="BM469" s="25"/>
      <c r="BN469" s="25"/>
      <c r="BO469" s="25"/>
      <c r="BP469" s="25"/>
      <c r="BQ469" s="25"/>
      <c r="BR469" s="25"/>
      <c r="BS469" s="25"/>
      <c r="BT469" s="25"/>
      <c r="BU469" s="25"/>
      <c r="BV469" s="25"/>
      <c r="BW469" s="25"/>
      <c r="BX469" s="25"/>
      <c r="BY469" s="25"/>
      <c r="BZ469" s="25"/>
      <c r="CA469" s="25"/>
      <c r="CB469" s="25"/>
      <c r="CC469" s="25"/>
      <c r="CD469" s="25"/>
      <c r="CE469" s="25"/>
      <c r="CF469" s="25"/>
      <c r="CG469" s="25"/>
      <c r="CH469" s="25"/>
      <c r="CI469" s="25"/>
      <c r="CJ469" s="25"/>
      <c r="CK469" s="25"/>
      <c r="CL469" s="25"/>
      <c r="CM469" s="25"/>
      <c r="CN469" s="25"/>
      <c r="CO469" s="25"/>
      <c r="CP469" s="25"/>
      <c r="CQ469" s="25"/>
      <c r="CR469" s="25"/>
      <c r="CS469" s="25"/>
    </row>
    <row r="470" spans="2:97">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c r="AV470" s="25"/>
      <c r="AW470" s="25"/>
      <c r="AX470" s="25"/>
      <c r="AY470" s="25"/>
      <c r="AZ470" s="25"/>
      <c r="BA470" s="25"/>
      <c r="BB470" s="25"/>
      <c r="BC470" s="25"/>
      <c r="BD470" s="25"/>
      <c r="BE470" s="25"/>
      <c r="BF470" s="25"/>
      <c r="BG470" s="25"/>
      <c r="BH470" s="25"/>
      <c r="BI470" s="25"/>
      <c r="BJ470" s="25"/>
      <c r="BK470" s="25"/>
      <c r="BL470" s="25"/>
      <c r="BM470" s="25"/>
      <c r="BN470" s="25"/>
      <c r="BO470" s="25"/>
      <c r="BP470" s="25"/>
      <c r="BQ470" s="25"/>
      <c r="BR470" s="25"/>
      <c r="BS470" s="25"/>
      <c r="BT470" s="25"/>
      <c r="BU470" s="25"/>
      <c r="BV470" s="25"/>
      <c r="BW470" s="25"/>
      <c r="BX470" s="25"/>
      <c r="BY470" s="25"/>
      <c r="BZ470" s="25"/>
      <c r="CA470" s="25"/>
      <c r="CB470" s="25"/>
      <c r="CC470" s="25"/>
      <c r="CD470" s="25"/>
      <c r="CE470" s="25"/>
      <c r="CF470" s="25"/>
      <c r="CG470" s="25"/>
      <c r="CH470" s="25"/>
      <c r="CI470" s="25"/>
      <c r="CJ470" s="25"/>
      <c r="CK470" s="25"/>
      <c r="CL470" s="25"/>
      <c r="CM470" s="25"/>
      <c r="CN470" s="25"/>
      <c r="CO470" s="25"/>
      <c r="CP470" s="25"/>
      <c r="CQ470" s="25"/>
      <c r="CR470" s="25"/>
      <c r="CS470" s="25"/>
    </row>
    <row r="471" spans="2:97">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c r="AV471" s="25"/>
      <c r="AW471" s="25"/>
      <c r="AX471" s="25"/>
      <c r="AY471" s="25"/>
      <c r="AZ471" s="25"/>
      <c r="BA471" s="25"/>
      <c r="BB471" s="25"/>
      <c r="BC471" s="25"/>
      <c r="BD471" s="25"/>
      <c r="BE471" s="25"/>
      <c r="BF471" s="25"/>
      <c r="BG471" s="25"/>
      <c r="BH471" s="25"/>
      <c r="BI471" s="25"/>
      <c r="BJ471" s="25"/>
      <c r="BK471" s="25"/>
      <c r="BL471" s="25"/>
      <c r="BM471" s="25"/>
      <c r="BN471" s="25"/>
      <c r="BO471" s="25"/>
      <c r="BP471" s="25"/>
      <c r="BQ471" s="25"/>
      <c r="BR471" s="25"/>
      <c r="BS471" s="25"/>
      <c r="BT471" s="25"/>
      <c r="BU471" s="25"/>
      <c r="BV471" s="25"/>
      <c r="BW471" s="25"/>
      <c r="BX471" s="25"/>
      <c r="BY471" s="25"/>
      <c r="BZ471" s="25"/>
      <c r="CA471" s="25"/>
      <c r="CB471" s="25"/>
      <c r="CC471" s="25"/>
      <c r="CD471" s="25"/>
      <c r="CE471" s="25"/>
      <c r="CF471" s="25"/>
      <c r="CG471" s="25"/>
      <c r="CH471" s="25"/>
      <c r="CI471" s="25"/>
      <c r="CJ471" s="25"/>
      <c r="CK471" s="25"/>
      <c r="CL471" s="25"/>
      <c r="CM471" s="25"/>
      <c r="CN471" s="25"/>
      <c r="CO471" s="25"/>
      <c r="CP471" s="25"/>
      <c r="CQ471" s="25"/>
      <c r="CR471" s="25"/>
      <c r="CS471" s="25"/>
    </row>
    <row r="472" spans="2:97">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c r="AV472" s="25"/>
      <c r="AW472" s="25"/>
      <c r="AX472" s="25"/>
      <c r="AY472" s="25"/>
      <c r="AZ472" s="25"/>
      <c r="BA472" s="25"/>
      <c r="BB472" s="25"/>
      <c r="BC472" s="25"/>
      <c r="BD472" s="25"/>
      <c r="BE472" s="25"/>
      <c r="BF472" s="25"/>
      <c r="BG472" s="25"/>
      <c r="BH472" s="25"/>
      <c r="BI472" s="25"/>
      <c r="BJ472" s="25"/>
      <c r="BK472" s="25"/>
      <c r="BL472" s="25"/>
      <c r="BM472" s="25"/>
      <c r="BN472" s="25"/>
      <c r="BO472" s="25"/>
      <c r="BP472" s="25"/>
      <c r="BQ472" s="25"/>
      <c r="BR472" s="25"/>
      <c r="BS472" s="25"/>
      <c r="BT472" s="25"/>
      <c r="BU472" s="25"/>
      <c r="BV472" s="25"/>
      <c r="BW472" s="25"/>
      <c r="BX472" s="25"/>
      <c r="BY472" s="25"/>
      <c r="BZ472" s="25"/>
      <c r="CA472" s="25"/>
      <c r="CB472" s="25"/>
      <c r="CC472" s="25"/>
      <c r="CD472" s="25"/>
      <c r="CE472" s="25"/>
      <c r="CF472" s="25"/>
      <c r="CG472" s="25"/>
      <c r="CH472" s="25"/>
      <c r="CI472" s="25"/>
      <c r="CJ472" s="25"/>
      <c r="CK472" s="25"/>
      <c r="CL472" s="25"/>
      <c r="CM472" s="25"/>
      <c r="CN472" s="25"/>
      <c r="CO472" s="25"/>
      <c r="CP472" s="25"/>
      <c r="CQ472" s="25"/>
      <c r="CR472" s="25"/>
      <c r="CS472" s="25"/>
    </row>
    <row r="473" spans="2:97">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c r="AV473" s="25"/>
      <c r="AW473" s="25"/>
      <c r="AX473" s="25"/>
      <c r="AY473" s="25"/>
      <c r="AZ473" s="25"/>
      <c r="BA473" s="25"/>
      <c r="BB473" s="25"/>
      <c r="BC473" s="25"/>
      <c r="BD473" s="25"/>
      <c r="BE473" s="25"/>
      <c r="BF473" s="25"/>
      <c r="BG473" s="25"/>
      <c r="BH473" s="25"/>
      <c r="BI473" s="25"/>
      <c r="BJ473" s="25"/>
      <c r="BK473" s="25"/>
      <c r="BL473" s="25"/>
      <c r="BM473" s="25"/>
      <c r="BN473" s="25"/>
      <c r="BO473" s="25"/>
      <c r="BP473" s="25"/>
      <c r="BQ473" s="25"/>
      <c r="BR473" s="25"/>
      <c r="BS473" s="25"/>
      <c r="BT473" s="25"/>
      <c r="BU473" s="25"/>
      <c r="BV473" s="25"/>
      <c r="BW473" s="25"/>
      <c r="BX473" s="25"/>
      <c r="BY473" s="25"/>
      <c r="BZ473" s="25"/>
      <c r="CA473" s="25"/>
      <c r="CB473" s="25"/>
      <c r="CC473" s="25"/>
      <c r="CD473" s="25"/>
      <c r="CE473" s="25"/>
      <c r="CF473" s="25"/>
      <c r="CG473" s="25"/>
      <c r="CH473" s="25"/>
      <c r="CI473" s="25"/>
      <c r="CJ473" s="25"/>
      <c r="CK473" s="25"/>
      <c r="CL473" s="25"/>
      <c r="CM473" s="25"/>
      <c r="CN473" s="25"/>
      <c r="CO473" s="25"/>
      <c r="CP473" s="25"/>
      <c r="CQ473" s="25"/>
      <c r="CR473" s="25"/>
      <c r="CS473" s="25"/>
    </row>
    <row r="474" spans="2:97">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c r="AV474" s="25"/>
      <c r="AW474" s="25"/>
      <c r="AX474" s="25"/>
      <c r="AY474" s="25"/>
      <c r="AZ474" s="25"/>
      <c r="BA474" s="25"/>
      <c r="BB474" s="25"/>
      <c r="BC474" s="25"/>
      <c r="BD474" s="25"/>
      <c r="BE474" s="25"/>
      <c r="BF474" s="25"/>
      <c r="BG474" s="25"/>
      <c r="BH474" s="25"/>
      <c r="BI474" s="25"/>
      <c r="BJ474" s="25"/>
      <c r="BK474" s="25"/>
      <c r="BL474" s="25"/>
      <c r="BM474" s="25"/>
      <c r="BN474" s="25"/>
      <c r="BO474" s="25"/>
      <c r="BP474" s="25"/>
      <c r="BQ474" s="25"/>
      <c r="BR474" s="25"/>
      <c r="BS474" s="25"/>
      <c r="BT474" s="25"/>
      <c r="BU474" s="25"/>
      <c r="BV474" s="25"/>
      <c r="BW474" s="25"/>
      <c r="BX474" s="25"/>
      <c r="BY474" s="25"/>
      <c r="BZ474" s="25"/>
      <c r="CA474" s="25"/>
      <c r="CB474" s="25"/>
      <c r="CC474" s="25"/>
      <c r="CD474" s="25"/>
      <c r="CE474" s="25"/>
      <c r="CF474" s="25"/>
      <c r="CG474" s="25"/>
      <c r="CH474" s="25"/>
      <c r="CI474" s="25"/>
      <c r="CJ474" s="25"/>
      <c r="CK474" s="25"/>
      <c r="CL474" s="25"/>
      <c r="CM474" s="25"/>
      <c r="CN474" s="25"/>
      <c r="CO474" s="25"/>
      <c r="CP474" s="25"/>
      <c r="CQ474" s="25"/>
      <c r="CR474" s="25"/>
      <c r="CS474" s="25"/>
    </row>
    <row r="475" spans="2:97">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c r="AV475" s="25"/>
      <c r="AW475" s="25"/>
      <c r="AX475" s="25"/>
      <c r="AY475" s="25"/>
      <c r="AZ475" s="25"/>
      <c r="BA475" s="25"/>
      <c r="BB475" s="25"/>
      <c r="BC475" s="25"/>
      <c r="BD475" s="25"/>
      <c r="BE475" s="25"/>
      <c r="BF475" s="25"/>
      <c r="BG475" s="25"/>
      <c r="BH475" s="25"/>
      <c r="BI475" s="25"/>
      <c r="BJ475" s="25"/>
      <c r="BK475" s="25"/>
      <c r="BL475" s="25"/>
      <c r="BM475" s="25"/>
      <c r="BN475" s="25"/>
      <c r="BO475" s="25"/>
      <c r="BP475" s="25"/>
      <c r="BQ475" s="25"/>
      <c r="BR475" s="25"/>
      <c r="BS475" s="25"/>
      <c r="BT475" s="25"/>
      <c r="BU475" s="25"/>
      <c r="BV475" s="25"/>
      <c r="BW475" s="25"/>
      <c r="BX475" s="25"/>
      <c r="BY475" s="25"/>
      <c r="BZ475" s="25"/>
      <c r="CA475" s="25"/>
      <c r="CB475" s="25"/>
      <c r="CC475" s="25"/>
      <c r="CD475" s="25"/>
      <c r="CE475" s="25"/>
      <c r="CF475" s="25"/>
      <c r="CG475" s="25"/>
      <c r="CH475" s="25"/>
      <c r="CI475" s="25"/>
      <c r="CJ475" s="25"/>
      <c r="CK475" s="25"/>
      <c r="CL475" s="25"/>
      <c r="CM475" s="25"/>
      <c r="CN475" s="25"/>
      <c r="CO475" s="25"/>
      <c r="CP475" s="25"/>
      <c r="CQ475" s="25"/>
      <c r="CR475" s="25"/>
      <c r="CS475" s="25"/>
    </row>
    <row r="476" spans="2:97">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c r="AV476" s="25"/>
      <c r="AW476" s="25"/>
      <c r="AX476" s="25"/>
      <c r="AY476" s="25"/>
      <c r="AZ476" s="25"/>
      <c r="BA476" s="25"/>
      <c r="BB476" s="25"/>
      <c r="BC476" s="25"/>
      <c r="BD476" s="25"/>
      <c r="BE476" s="25"/>
      <c r="BF476" s="25"/>
      <c r="BG476" s="25"/>
      <c r="BH476" s="25"/>
      <c r="BI476" s="25"/>
      <c r="BJ476" s="25"/>
      <c r="BK476" s="25"/>
      <c r="BL476" s="25"/>
      <c r="BM476" s="25"/>
      <c r="BN476" s="25"/>
      <c r="BO476" s="25"/>
      <c r="BP476" s="25"/>
      <c r="BQ476" s="25"/>
      <c r="BR476" s="25"/>
      <c r="BS476" s="25"/>
      <c r="BT476" s="25"/>
      <c r="BU476" s="25"/>
      <c r="BV476" s="25"/>
      <c r="BW476" s="25"/>
      <c r="BX476" s="25"/>
      <c r="BY476" s="25"/>
      <c r="BZ476" s="25"/>
      <c r="CA476" s="25"/>
      <c r="CB476" s="25"/>
      <c r="CC476" s="25"/>
      <c r="CD476" s="25"/>
      <c r="CE476" s="25"/>
      <c r="CF476" s="25"/>
      <c r="CG476" s="25"/>
      <c r="CH476" s="25"/>
      <c r="CI476" s="25"/>
      <c r="CJ476" s="25"/>
      <c r="CK476" s="25"/>
      <c r="CL476" s="25"/>
      <c r="CM476" s="25"/>
      <c r="CN476" s="25"/>
      <c r="CO476" s="25"/>
      <c r="CP476" s="25"/>
      <c r="CQ476" s="25"/>
      <c r="CR476" s="25"/>
      <c r="CS476" s="25"/>
    </row>
    <row r="477" spans="2:97">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c r="AV477" s="25"/>
      <c r="AW477" s="25"/>
      <c r="AX477" s="25"/>
      <c r="AY477" s="25"/>
      <c r="AZ477" s="25"/>
      <c r="BA477" s="25"/>
      <c r="BB477" s="25"/>
      <c r="BC477" s="25"/>
      <c r="BD477" s="25"/>
      <c r="BE477" s="25"/>
      <c r="BF477" s="25"/>
      <c r="BG477" s="25"/>
      <c r="BH477" s="25"/>
      <c r="BI477" s="25"/>
      <c r="BJ477" s="25"/>
      <c r="BK477" s="25"/>
      <c r="BL477" s="25"/>
      <c r="BM477" s="25"/>
      <c r="BN477" s="25"/>
      <c r="BO477" s="25"/>
      <c r="BP477" s="25"/>
      <c r="BQ477" s="25"/>
      <c r="BR477" s="25"/>
      <c r="BS477" s="25"/>
      <c r="BT477" s="25"/>
      <c r="BU477" s="25"/>
      <c r="BV477" s="25"/>
      <c r="BW477" s="25"/>
      <c r="BX477" s="25"/>
      <c r="BY477" s="25"/>
      <c r="BZ477" s="25"/>
      <c r="CA477" s="25"/>
      <c r="CB477" s="25"/>
      <c r="CC477" s="25"/>
      <c r="CD477" s="25"/>
      <c r="CE477" s="25"/>
      <c r="CF477" s="25"/>
      <c r="CG477" s="25"/>
      <c r="CH477" s="25"/>
      <c r="CI477" s="25"/>
      <c r="CJ477" s="25"/>
      <c r="CK477" s="25"/>
      <c r="CL477" s="25"/>
      <c r="CM477" s="25"/>
      <c r="CN477" s="25"/>
      <c r="CO477" s="25"/>
      <c r="CP477" s="25"/>
      <c r="CQ477" s="25"/>
      <c r="CR477" s="25"/>
      <c r="CS477" s="25"/>
    </row>
    <row r="478" spans="2:97">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c r="AV478" s="25"/>
      <c r="AW478" s="25"/>
      <c r="AX478" s="25"/>
      <c r="AY478" s="25"/>
      <c r="AZ478" s="25"/>
      <c r="BA478" s="25"/>
      <c r="BB478" s="25"/>
      <c r="BC478" s="25"/>
      <c r="BD478" s="25"/>
      <c r="BE478" s="25"/>
      <c r="BF478" s="25"/>
      <c r="BG478" s="25"/>
      <c r="BH478" s="25"/>
      <c r="BI478" s="25"/>
      <c r="BJ478" s="25"/>
      <c r="BK478" s="25"/>
      <c r="BL478" s="25"/>
      <c r="BM478" s="25"/>
      <c r="BN478" s="25"/>
      <c r="BO478" s="25"/>
      <c r="BP478" s="25"/>
      <c r="BQ478" s="25"/>
      <c r="BR478" s="25"/>
      <c r="BS478" s="25"/>
      <c r="BT478" s="25"/>
      <c r="BU478" s="25"/>
      <c r="BV478" s="25"/>
      <c r="BW478" s="25"/>
      <c r="BX478" s="25"/>
      <c r="BY478" s="25"/>
      <c r="BZ478" s="25"/>
      <c r="CA478" s="25"/>
      <c r="CB478" s="25"/>
      <c r="CC478" s="25"/>
      <c r="CD478" s="25"/>
      <c r="CE478" s="25"/>
      <c r="CF478" s="25"/>
      <c r="CG478" s="25"/>
      <c r="CH478" s="25"/>
      <c r="CI478" s="25"/>
      <c r="CJ478" s="25"/>
      <c r="CK478" s="25"/>
      <c r="CL478" s="25"/>
      <c r="CM478" s="25"/>
      <c r="CN478" s="25"/>
      <c r="CO478" s="25"/>
      <c r="CP478" s="25"/>
      <c r="CQ478" s="25"/>
      <c r="CR478" s="25"/>
      <c r="CS478" s="25"/>
    </row>
    <row r="479" spans="2:97">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c r="AV479" s="25"/>
      <c r="AW479" s="25"/>
      <c r="AX479" s="25"/>
      <c r="AY479" s="25"/>
      <c r="AZ479" s="25"/>
      <c r="BA479" s="25"/>
      <c r="BB479" s="25"/>
      <c r="BC479" s="25"/>
      <c r="BD479" s="25"/>
      <c r="BE479" s="25"/>
      <c r="BF479" s="25"/>
      <c r="BG479" s="25"/>
      <c r="BH479" s="25"/>
      <c r="BI479" s="25"/>
      <c r="BJ479" s="25"/>
      <c r="BK479" s="25"/>
      <c r="BL479" s="25"/>
      <c r="BM479" s="25"/>
      <c r="BN479" s="25"/>
      <c r="BO479" s="25"/>
      <c r="BP479" s="25"/>
      <c r="BQ479" s="25"/>
      <c r="BR479" s="25"/>
      <c r="BS479" s="25"/>
      <c r="BT479" s="25"/>
      <c r="BU479" s="25"/>
      <c r="BV479" s="25"/>
      <c r="BW479" s="25"/>
      <c r="BX479" s="25"/>
      <c r="BY479" s="25"/>
      <c r="BZ479" s="25"/>
      <c r="CA479" s="25"/>
      <c r="CB479" s="25"/>
      <c r="CC479" s="25"/>
      <c r="CD479" s="25"/>
      <c r="CE479" s="25"/>
      <c r="CF479" s="25"/>
      <c r="CG479" s="25"/>
      <c r="CH479" s="25"/>
      <c r="CI479" s="25"/>
      <c r="CJ479" s="25"/>
      <c r="CK479" s="25"/>
      <c r="CL479" s="25"/>
      <c r="CM479" s="25"/>
      <c r="CN479" s="25"/>
      <c r="CO479" s="25"/>
      <c r="CP479" s="25"/>
      <c r="CQ479" s="25"/>
      <c r="CR479" s="25"/>
      <c r="CS479" s="25"/>
    </row>
    <row r="480" spans="2:97">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c r="AV480" s="25"/>
      <c r="AW480" s="25"/>
      <c r="AX480" s="25"/>
      <c r="AY480" s="25"/>
      <c r="AZ480" s="25"/>
      <c r="BA480" s="25"/>
      <c r="BB480" s="25"/>
      <c r="BC480" s="25"/>
      <c r="BD480" s="25"/>
      <c r="BE480" s="25"/>
      <c r="BF480" s="25"/>
      <c r="BG480" s="25"/>
      <c r="BH480" s="25"/>
      <c r="BI480" s="25"/>
      <c r="BJ480" s="25"/>
      <c r="BK480" s="25"/>
      <c r="BL480" s="25"/>
      <c r="BM480" s="25"/>
      <c r="BN480" s="25"/>
      <c r="BO480" s="25"/>
      <c r="BP480" s="25"/>
      <c r="BQ480" s="25"/>
      <c r="BR480" s="25"/>
      <c r="BS480" s="25"/>
      <c r="BT480" s="25"/>
      <c r="BU480" s="25"/>
      <c r="BV480" s="25"/>
      <c r="BW480" s="25"/>
      <c r="BX480" s="25"/>
      <c r="BY480" s="25"/>
      <c r="BZ480" s="25"/>
      <c r="CA480" s="25"/>
      <c r="CB480" s="25"/>
      <c r="CC480" s="25"/>
      <c r="CD480" s="25"/>
      <c r="CE480" s="25"/>
      <c r="CF480" s="25"/>
      <c r="CG480" s="25"/>
      <c r="CH480" s="25"/>
      <c r="CI480" s="25"/>
      <c r="CJ480" s="25"/>
      <c r="CK480" s="25"/>
      <c r="CL480" s="25"/>
      <c r="CM480" s="25"/>
      <c r="CN480" s="25"/>
      <c r="CO480" s="25"/>
      <c r="CP480" s="25"/>
      <c r="CQ480" s="25"/>
      <c r="CR480" s="25"/>
      <c r="CS480" s="25"/>
    </row>
    <row r="481" spans="2:97">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c r="AV481" s="25"/>
      <c r="AW481" s="25"/>
      <c r="AX481" s="25"/>
      <c r="AY481" s="25"/>
      <c r="AZ481" s="25"/>
      <c r="BA481" s="25"/>
      <c r="BB481" s="25"/>
      <c r="BC481" s="25"/>
      <c r="BD481" s="25"/>
      <c r="BE481" s="25"/>
      <c r="BF481" s="25"/>
      <c r="BG481" s="25"/>
      <c r="BH481" s="25"/>
      <c r="BI481" s="25"/>
      <c r="BJ481" s="25"/>
      <c r="BK481" s="25"/>
      <c r="BL481" s="25"/>
      <c r="BM481" s="25"/>
      <c r="BN481" s="25"/>
      <c r="BO481" s="25"/>
      <c r="BP481" s="25"/>
      <c r="BQ481" s="25"/>
      <c r="BR481" s="25"/>
      <c r="BS481" s="25"/>
      <c r="BT481" s="25"/>
      <c r="BU481" s="25"/>
      <c r="BV481" s="25"/>
      <c r="BW481" s="25"/>
      <c r="BX481" s="25"/>
      <c r="BY481" s="25"/>
      <c r="BZ481" s="25"/>
      <c r="CA481" s="25"/>
      <c r="CB481" s="25"/>
      <c r="CC481" s="25"/>
      <c r="CD481" s="25"/>
      <c r="CE481" s="25"/>
      <c r="CF481" s="25"/>
      <c r="CG481" s="25"/>
      <c r="CH481" s="25"/>
      <c r="CI481" s="25"/>
      <c r="CJ481" s="25"/>
      <c r="CK481" s="25"/>
      <c r="CL481" s="25"/>
      <c r="CM481" s="25"/>
      <c r="CN481" s="25"/>
      <c r="CO481" s="25"/>
      <c r="CP481" s="25"/>
      <c r="CQ481" s="25"/>
      <c r="CR481" s="25"/>
      <c r="CS481" s="25"/>
    </row>
    <row r="482" spans="2:97">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c r="AV482" s="25"/>
      <c r="AW482" s="25"/>
      <c r="AX482" s="25"/>
      <c r="AY482" s="25"/>
      <c r="AZ482" s="25"/>
      <c r="BA482" s="25"/>
      <c r="BB482" s="25"/>
      <c r="BC482" s="25"/>
      <c r="BD482" s="25"/>
      <c r="BE482" s="25"/>
      <c r="BF482" s="25"/>
      <c r="BG482" s="25"/>
      <c r="BH482" s="25"/>
      <c r="BI482" s="25"/>
      <c r="BJ482" s="25"/>
      <c r="BK482" s="25"/>
      <c r="BL482" s="25"/>
      <c r="BM482" s="25"/>
      <c r="BN482" s="25"/>
      <c r="BO482" s="25"/>
      <c r="BP482" s="25"/>
      <c r="BQ482" s="25"/>
      <c r="BR482" s="25"/>
      <c r="BS482" s="25"/>
      <c r="BT482" s="25"/>
      <c r="BU482" s="25"/>
      <c r="BV482" s="25"/>
      <c r="BW482" s="25"/>
      <c r="BX482" s="25"/>
      <c r="BY482" s="25"/>
      <c r="BZ482" s="25"/>
      <c r="CA482" s="25"/>
      <c r="CB482" s="25"/>
      <c r="CC482" s="25"/>
      <c r="CD482" s="25"/>
      <c r="CE482" s="25"/>
      <c r="CF482" s="25"/>
      <c r="CG482" s="25"/>
      <c r="CH482" s="25"/>
      <c r="CI482" s="25"/>
      <c r="CJ482" s="25"/>
      <c r="CK482" s="25"/>
      <c r="CL482" s="25"/>
      <c r="CM482" s="25"/>
      <c r="CN482" s="25"/>
      <c r="CO482" s="25"/>
      <c r="CP482" s="25"/>
      <c r="CQ482" s="25"/>
      <c r="CR482" s="25"/>
      <c r="CS482" s="25"/>
    </row>
    <row r="483" spans="2:97">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c r="AV483" s="25"/>
      <c r="AW483" s="25"/>
      <c r="AX483" s="25"/>
      <c r="AY483" s="25"/>
      <c r="AZ483" s="25"/>
      <c r="BA483" s="25"/>
      <c r="BB483" s="25"/>
      <c r="BC483" s="25"/>
      <c r="BD483" s="25"/>
      <c r="BE483" s="25"/>
      <c r="BF483" s="25"/>
      <c r="BG483" s="25"/>
      <c r="BH483" s="25"/>
      <c r="BI483" s="25"/>
      <c r="BJ483" s="25"/>
      <c r="BK483" s="25"/>
      <c r="BL483" s="25"/>
      <c r="BM483" s="25"/>
      <c r="BN483" s="25"/>
      <c r="BO483" s="25"/>
      <c r="BP483" s="25"/>
      <c r="BQ483" s="25"/>
      <c r="BR483" s="25"/>
      <c r="BS483" s="25"/>
      <c r="BT483" s="25"/>
      <c r="BU483" s="25"/>
      <c r="BV483" s="25"/>
      <c r="BW483" s="25"/>
      <c r="BX483" s="25"/>
      <c r="BY483" s="25"/>
      <c r="BZ483" s="25"/>
      <c r="CA483" s="25"/>
      <c r="CB483" s="25"/>
      <c r="CC483" s="25"/>
      <c r="CD483" s="25"/>
      <c r="CE483" s="25"/>
      <c r="CF483" s="25"/>
      <c r="CG483" s="25"/>
      <c r="CH483" s="25"/>
      <c r="CI483" s="25"/>
      <c r="CJ483" s="25"/>
      <c r="CK483" s="25"/>
      <c r="CL483" s="25"/>
      <c r="CM483" s="25"/>
      <c r="CN483" s="25"/>
      <c r="CO483" s="25"/>
      <c r="CP483" s="25"/>
      <c r="CQ483" s="25"/>
      <c r="CR483" s="25"/>
      <c r="CS483" s="25"/>
    </row>
    <row r="484" spans="2:97">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c r="AV484" s="25"/>
      <c r="AW484" s="25"/>
      <c r="AX484" s="25"/>
      <c r="AY484" s="25"/>
      <c r="AZ484" s="25"/>
      <c r="BA484" s="25"/>
      <c r="BB484" s="25"/>
      <c r="BC484" s="25"/>
      <c r="BD484" s="25"/>
      <c r="BE484" s="25"/>
      <c r="BF484" s="25"/>
      <c r="BG484" s="25"/>
      <c r="BH484" s="25"/>
      <c r="BI484" s="25"/>
      <c r="BJ484" s="25"/>
      <c r="BK484" s="25"/>
      <c r="BL484" s="25"/>
      <c r="BM484" s="25"/>
      <c r="BN484" s="25"/>
      <c r="BO484" s="25"/>
      <c r="BP484" s="25"/>
      <c r="BQ484" s="25"/>
      <c r="BR484" s="25"/>
      <c r="BS484" s="25"/>
      <c r="BT484" s="25"/>
      <c r="BU484" s="25"/>
      <c r="BV484" s="25"/>
      <c r="BW484" s="25"/>
      <c r="BX484" s="25"/>
      <c r="BY484" s="25"/>
      <c r="BZ484" s="25"/>
      <c r="CA484" s="25"/>
      <c r="CB484" s="25"/>
      <c r="CC484" s="25"/>
      <c r="CD484" s="25"/>
      <c r="CE484" s="25"/>
      <c r="CF484" s="25"/>
      <c r="CG484" s="25"/>
      <c r="CH484" s="25"/>
      <c r="CI484" s="25"/>
      <c r="CJ484" s="25"/>
      <c r="CK484" s="25"/>
      <c r="CL484" s="25"/>
      <c r="CM484" s="25"/>
      <c r="CN484" s="25"/>
      <c r="CO484" s="25"/>
      <c r="CP484" s="25"/>
      <c r="CQ484" s="25"/>
      <c r="CR484" s="25"/>
      <c r="CS484" s="25"/>
    </row>
    <row r="485" spans="2:97">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5"/>
      <c r="AV485" s="25"/>
      <c r="AW485" s="25"/>
      <c r="AX485" s="25"/>
      <c r="AY485" s="25"/>
      <c r="AZ485" s="25"/>
      <c r="BA485" s="25"/>
      <c r="BB485" s="25"/>
      <c r="BC485" s="25"/>
      <c r="BD485" s="25"/>
      <c r="BE485" s="25"/>
      <c r="BF485" s="25"/>
      <c r="BG485" s="25"/>
      <c r="BH485" s="25"/>
      <c r="BI485" s="25"/>
      <c r="BJ485" s="25"/>
      <c r="BK485" s="25"/>
      <c r="BL485" s="25"/>
      <c r="BM485" s="25"/>
      <c r="BN485" s="25"/>
      <c r="BO485" s="25"/>
      <c r="BP485" s="25"/>
      <c r="BQ485" s="25"/>
      <c r="BR485" s="25"/>
      <c r="BS485" s="25"/>
      <c r="BT485" s="25"/>
      <c r="BU485" s="25"/>
      <c r="BV485" s="25"/>
      <c r="BW485" s="25"/>
      <c r="BX485" s="25"/>
      <c r="BY485" s="25"/>
      <c r="BZ485" s="25"/>
      <c r="CA485" s="25"/>
      <c r="CB485" s="25"/>
      <c r="CC485" s="25"/>
      <c r="CD485" s="25"/>
      <c r="CE485" s="25"/>
      <c r="CF485" s="25"/>
      <c r="CG485" s="25"/>
      <c r="CH485" s="25"/>
      <c r="CI485" s="25"/>
      <c r="CJ485" s="25"/>
      <c r="CK485" s="25"/>
      <c r="CL485" s="25"/>
      <c r="CM485" s="25"/>
      <c r="CN485" s="25"/>
      <c r="CO485" s="25"/>
      <c r="CP485" s="25"/>
      <c r="CQ485" s="25"/>
      <c r="CR485" s="25"/>
      <c r="CS485" s="25"/>
    </row>
    <row r="486" spans="2:97">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c r="AV486" s="25"/>
      <c r="AW486" s="25"/>
      <c r="AX486" s="25"/>
      <c r="AY486" s="25"/>
      <c r="AZ486" s="25"/>
      <c r="BA486" s="25"/>
      <c r="BB486" s="25"/>
      <c r="BC486" s="25"/>
      <c r="BD486" s="25"/>
      <c r="BE486" s="25"/>
      <c r="BF486" s="25"/>
      <c r="BG486" s="25"/>
      <c r="BH486" s="25"/>
      <c r="BI486" s="25"/>
      <c r="BJ486" s="25"/>
      <c r="BK486" s="25"/>
      <c r="BL486" s="25"/>
      <c r="BM486" s="25"/>
      <c r="BN486" s="25"/>
      <c r="BO486" s="25"/>
      <c r="BP486" s="25"/>
      <c r="BQ486" s="25"/>
      <c r="BR486" s="25"/>
      <c r="BS486" s="25"/>
      <c r="BT486" s="25"/>
      <c r="BU486" s="25"/>
      <c r="BV486" s="25"/>
      <c r="BW486" s="25"/>
      <c r="BX486" s="25"/>
      <c r="BY486" s="25"/>
      <c r="BZ486" s="25"/>
      <c r="CA486" s="25"/>
      <c r="CB486" s="25"/>
      <c r="CC486" s="25"/>
      <c r="CD486" s="25"/>
      <c r="CE486" s="25"/>
      <c r="CF486" s="25"/>
      <c r="CG486" s="25"/>
      <c r="CH486" s="25"/>
      <c r="CI486" s="25"/>
      <c r="CJ486" s="25"/>
      <c r="CK486" s="25"/>
      <c r="CL486" s="25"/>
      <c r="CM486" s="25"/>
      <c r="CN486" s="25"/>
      <c r="CO486" s="25"/>
      <c r="CP486" s="25"/>
      <c r="CQ486" s="25"/>
      <c r="CR486" s="25"/>
      <c r="CS486" s="25"/>
    </row>
    <row r="487" spans="2:97">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5"/>
      <c r="AV487" s="25"/>
      <c r="AW487" s="25"/>
      <c r="AX487" s="25"/>
      <c r="AY487" s="25"/>
      <c r="AZ487" s="25"/>
      <c r="BA487" s="25"/>
      <c r="BB487" s="25"/>
      <c r="BC487" s="25"/>
      <c r="BD487" s="25"/>
      <c r="BE487" s="25"/>
      <c r="BF487" s="25"/>
      <c r="BG487" s="25"/>
      <c r="BH487" s="25"/>
      <c r="BI487" s="25"/>
      <c r="BJ487" s="25"/>
      <c r="BK487" s="25"/>
      <c r="BL487" s="25"/>
      <c r="BM487" s="25"/>
      <c r="BN487" s="25"/>
      <c r="BO487" s="25"/>
      <c r="BP487" s="25"/>
      <c r="BQ487" s="25"/>
      <c r="BR487" s="25"/>
      <c r="BS487" s="25"/>
      <c r="BT487" s="25"/>
      <c r="BU487" s="25"/>
      <c r="BV487" s="25"/>
      <c r="BW487" s="25"/>
      <c r="BX487" s="25"/>
      <c r="BY487" s="25"/>
      <c r="BZ487" s="25"/>
      <c r="CA487" s="25"/>
      <c r="CB487" s="25"/>
      <c r="CC487" s="25"/>
      <c r="CD487" s="25"/>
      <c r="CE487" s="25"/>
      <c r="CF487" s="25"/>
      <c r="CG487" s="25"/>
      <c r="CH487" s="25"/>
      <c r="CI487" s="25"/>
      <c r="CJ487" s="25"/>
      <c r="CK487" s="25"/>
      <c r="CL487" s="25"/>
      <c r="CM487" s="25"/>
      <c r="CN487" s="25"/>
      <c r="CO487" s="25"/>
      <c r="CP487" s="25"/>
      <c r="CQ487" s="25"/>
      <c r="CR487" s="25"/>
      <c r="CS487" s="25"/>
    </row>
    <row r="488" spans="2:97">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c r="AT488" s="25"/>
      <c r="AU488" s="25"/>
      <c r="AV488" s="25"/>
      <c r="AW488" s="25"/>
      <c r="AX488" s="25"/>
      <c r="AY488" s="25"/>
      <c r="AZ488" s="25"/>
      <c r="BA488" s="25"/>
      <c r="BB488" s="25"/>
      <c r="BC488" s="25"/>
      <c r="BD488" s="25"/>
      <c r="BE488" s="25"/>
      <c r="BF488" s="25"/>
      <c r="BG488" s="25"/>
      <c r="BH488" s="25"/>
      <c r="BI488" s="25"/>
      <c r="BJ488" s="25"/>
      <c r="BK488" s="25"/>
      <c r="BL488" s="25"/>
      <c r="BM488" s="25"/>
      <c r="BN488" s="25"/>
      <c r="BO488" s="25"/>
      <c r="BP488" s="25"/>
      <c r="BQ488" s="25"/>
      <c r="BR488" s="25"/>
      <c r="BS488" s="25"/>
      <c r="BT488" s="25"/>
      <c r="BU488" s="25"/>
      <c r="BV488" s="25"/>
      <c r="BW488" s="25"/>
      <c r="BX488" s="25"/>
      <c r="BY488" s="25"/>
      <c r="BZ488" s="25"/>
      <c r="CA488" s="25"/>
      <c r="CB488" s="25"/>
      <c r="CC488" s="25"/>
      <c r="CD488" s="25"/>
      <c r="CE488" s="25"/>
      <c r="CF488" s="25"/>
      <c r="CG488" s="25"/>
      <c r="CH488" s="25"/>
      <c r="CI488" s="25"/>
      <c r="CJ488" s="25"/>
      <c r="CK488" s="25"/>
      <c r="CL488" s="25"/>
      <c r="CM488" s="25"/>
      <c r="CN488" s="25"/>
      <c r="CO488" s="25"/>
      <c r="CP488" s="25"/>
      <c r="CQ488" s="25"/>
      <c r="CR488" s="25"/>
      <c r="CS488" s="25"/>
    </row>
    <row r="489" spans="2:97">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c r="AT489" s="25"/>
      <c r="AU489" s="25"/>
      <c r="AV489" s="25"/>
      <c r="AW489" s="25"/>
      <c r="AX489" s="25"/>
      <c r="AY489" s="25"/>
      <c r="AZ489" s="25"/>
      <c r="BA489" s="25"/>
      <c r="BB489" s="25"/>
      <c r="BC489" s="25"/>
      <c r="BD489" s="25"/>
      <c r="BE489" s="25"/>
      <c r="BF489" s="25"/>
      <c r="BG489" s="25"/>
      <c r="BH489" s="25"/>
      <c r="BI489" s="25"/>
      <c r="BJ489" s="25"/>
      <c r="BK489" s="25"/>
      <c r="BL489" s="25"/>
      <c r="BM489" s="25"/>
      <c r="BN489" s="25"/>
      <c r="BO489" s="25"/>
      <c r="BP489" s="25"/>
      <c r="BQ489" s="25"/>
      <c r="BR489" s="25"/>
      <c r="BS489" s="25"/>
      <c r="BT489" s="25"/>
      <c r="BU489" s="25"/>
      <c r="BV489" s="25"/>
      <c r="BW489" s="25"/>
      <c r="BX489" s="25"/>
      <c r="BY489" s="25"/>
      <c r="BZ489" s="25"/>
      <c r="CA489" s="25"/>
      <c r="CB489" s="25"/>
      <c r="CC489" s="25"/>
      <c r="CD489" s="25"/>
      <c r="CE489" s="25"/>
      <c r="CF489" s="25"/>
      <c r="CG489" s="25"/>
      <c r="CH489" s="25"/>
      <c r="CI489" s="25"/>
      <c r="CJ489" s="25"/>
      <c r="CK489" s="25"/>
      <c r="CL489" s="25"/>
      <c r="CM489" s="25"/>
      <c r="CN489" s="25"/>
      <c r="CO489" s="25"/>
      <c r="CP489" s="25"/>
      <c r="CQ489" s="25"/>
      <c r="CR489" s="25"/>
      <c r="CS489" s="25"/>
    </row>
    <row r="490" spans="2:97">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c r="AT490" s="25"/>
      <c r="AU490" s="25"/>
      <c r="AV490" s="25"/>
      <c r="AW490" s="25"/>
      <c r="AX490" s="25"/>
      <c r="AY490" s="25"/>
      <c r="AZ490" s="25"/>
      <c r="BA490" s="25"/>
      <c r="BB490" s="25"/>
      <c r="BC490" s="25"/>
      <c r="BD490" s="25"/>
      <c r="BE490" s="25"/>
      <c r="BF490" s="25"/>
      <c r="BG490" s="25"/>
      <c r="BH490" s="25"/>
      <c r="BI490" s="25"/>
      <c r="BJ490" s="25"/>
      <c r="BK490" s="25"/>
      <c r="BL490" s="25"/>
      <c r="BM490" s="25"/>
      <c r="BN490" s="25"/>
      <c r="BO490" s="25"/>
      <c r="BP490" s="25"/>
      <c r="BQ490" s="25"/>
      <c r="BR490" s="25"/>
      <c r="BS490" s="25"/>
      <c r="BT490" s="25"/>
      <c r="BU490" s="25"/>
      <c r="BV490" s="25"/>
      <c r="BW490" s="25"/>
      <c r="BX490" s="25"/>
      <c r="BY490" s="25"/>
      <c r="BZ490" s="25"/>
      <c r="CA490" s="25"/>
      <c r="CB490" s="25"/>
      <c r="CC490" s="25"/>
      <c r="CD490" s="25"/>
      <c r="CE490" s="25"/>
      <c r="CF490" s="25"/>
      <c r="CG490" s="25"/>
      <c r="CH490" s="25"/>
      <c r="CI490" s="25"/>
      <c r="CJ490" s="25"/>
      <c r="CK490" s="25"/>
      <c r="CL490" s="25"/>
      <c r="CM490" s="25"/>
      <c r="CN490" s="25"/>
      <c r="CO490" s="25"/>
      <c r="CP490" s="25"/>
      <c r="CQ490" s="25"/>
      <c r="CR490" s="25"/>
      <c r="CS490" s="25"/>
    </row>
    <row r="491" spans="2:97">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c r="AT491" s="25"/>
      <c r="AU491" s="25"/>
      <c r="AV491" s="25"/>
      <c r="AW491" s="25"/>
      <c r="AX491" s="25"/>
      <c r="AY491" s="25"/>
      <c r="AZ491" s="25"/>
      <c r="BA491" s="25"/>
      <c r="BB491" s="25"/>
      <c r="BC491" s="25"/>
      <c r="BD491" s="25"/>
      <c r="BE491" s="25"/>
      <c r="BF491" s="25"/>
      <c r="BG491" s="25"/>
      <c r="BH491" s="25"/>
      <c r="BI491" s="25"/>
      <c r="BJ491" s="25"/>
      <c r="BK491" s="25"/>
      <c r="BL491" s="25"/>
      <c r="BM491" s="25"/>
      <c r="BN491" s="25"/>
      <c r="BO491" s="25"/>
      <c r="BP491" s="25"/>
      <c r="BQ491" s="25"/>
      <c r="BR491" s="25"/>
      <c r="BS491" s="25"/>
      <c r="BT491" s="25"/>
      <c r="BU491" s="25"/>
      <c r="BV491" s="25"/>
      <c r="BW491" s="25"/>
      <c r="BX491" s="25"/>
      <c r="BY491" s="25"/>
      <c r="BZ491" s="25"/>
      <c r="CA491" s="25"/>
      <c r="CB491" s="25"/>
      <c r="CC491" s="25"/>
      <c r="CD491" s="25"/>
      <c r="CE491" s="25"/>
      <c r="CF491" s="25"/>
      <c r="CG491" s="25"/>
      <c r="CH491" s="25"/>
      <c r="CI491" s="25"/>
      <c r="CJ491" s="25"/>
      <c r="CK491" s="25"/>
      <c r="CL491" s="25"/>
      <c r="CM491" s="25"/>
      <c r="CN491" s="25"/>
      <c r="CO491" s="25"/>
      <c r="CP491" s="25"/>
      <c r="CQ491" s="25"/>
      <c r="CR491" s="25"/>
      <c r="CS491" s="25"/>
    </row>
    <row r="492" spans="2:97">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c r="AS492" s="25"/>
      <c r="AT492" s="25"/>
      <c r="AU492" s="25"/>
      <c r="AV492" s="25"/>
      <c r="AW492" s="25"/>
      <c r="AX492" s="25"/>
      <c r="AY492" s="25"/>
      <c r="AZ492" s="25"/>
      <c r="BA492" s="25"/>
      <c r="BB492" s="25"/>
      <c r="BC492" s="25"/>
      <c r="BD492" s="25"/>
      <c r="BE492" s="25"/>
      <c r="BF492" s="25"/>
      <c r="BG492" s="25"/>
      <c r="BH492" s="25"/>
      <c r="BI492" s="25"/>
      <c r="BJ492" s="25"/>
      <c r="BK492" s="25"/>
      <c r="BL492" s="25"/>
      <c r="BM492" s="25"/>
      <c r="BN492" s="25"/>
      <c r="BO492" s="25"/>
      <c r="BP492" s="25"/>
      <c r="BQ492" s="25"/>
      <c r="BR492" s="25"/>
      <c r="BS492" s="25"/>
      <c r="BT492" s="25"/>
      <c r="BU492" s="25"/>
      <c r="BV492" s="25"/>
      <c r="BW492" s="25"/>
      <c r="BX492" s="25"/>
      <c r="BY492" s="25"/>
      <c r="BZ492" s="25"/>
      <c r="CA492" s="25"/>
      <c r="CB492" s="25"/>
      <c r="CC492" s="25"/>
      <c r="CD492" s="25"/>
      <c r="CE492" s="25"/>
      <c r="CF492" s="25"/>
      <c r="CG492" s="25"/>
      <c r="CH492" s="25"/>
      <c r="CI492" s="25"/>
      <c r="CJ492" s="25"/>
      <c r="CK492" s="25"/>
      <c r="CL492" s="25"/>
      <c r="CM492" s="25"/>
      <c r="CN492" s="25"/>
      <c r="CO492" s="25"/>
      <c r="CP492" s="25"/>
      <c r="CQ492" s="25"/>
      <c r="CR492" s="25"/>
      <c r="CS492" s="25"/>
    </row>
    <row r="493" spans="2:97">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c r="AS493" s="25"/>
      <c r="AT493" s="25"/>
      <c r="AU493" s="25"/>
      <c r="AV493" s="25"/>
      <c r="AW493" s="25"/>
      <c r="AX493" s="25"/>
      <c r="AY493" s="25"/>
      <c r="AZ493" s="25"/>
      <c r="BA493" s="25"/>
      <c r="BB493" s="25"/>
      <c r="BC493" s="25"/>
      <c r="BD493" s="25"/>
      <c r="BE493" s="25"/>
      <c r="BF493" s="25"/>
      <c r="BG493" s="25"/>
      <c r="BH493" s="25"/>
      <c r="BI493" s="25"/>
      <c r="BJ493" s="25"/>
      <c r="BK493" s="25"/>
      <c r="BL493" s="25"/>
      <c r="BM493" s="25"/>
      <c r="BN493" s="25"/>
      <c r="BO493" s="25"/>
      <c r="BP493" s="25"/>
      <c r="BQ493" s="25"/>
      <c r="BR493" s="25"/>
      <c r="BS493" s="25"/>
      <c r="BT493" s="25"/>
      <c r="BU493" s="25"/>
      <c r="BV493" s="25"/>
      <c r="BW493" s="25"/>
      <c r="BX493" s="25"/>
      <c r="BY493" s="25"/>
      <c r="BZ493" s="25"/>
      <c r="CA493" s="25"/>
      <c r="CB493" s="25"/>
      <c r="CC493" s="25"/>
      <c r="CD493" s="25"/>
      <c r="CE493" s="25"/>
      <c r="CF493" s="25"/>
      <c r="CG493" s="25"/>
      <c r="CH493" s="25"/>
      <c r="CI493" s="25"/>
      <c r="CJ493" s="25"/>
      <c r="CK493" s="25"/>
      <c r="CL493" s="25"/>
      <c r="CM493" s="25"/>
      <c r="CN493" s="25"/>
      <c r="CO493" s="25"/>
      <c r="CP493" s="25"/>
      <c r="CQ493" s="25"/>
      <c r="CR493" s="25"/>
      <c r="CS493" s="25"/>
    </row>
    <row r="494" spans="2:97">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c r="AS494" s="25"/>
      <c r="AT494" s="25"/>
      <c r="AU494" s="25"/>
      <c r="AV494" s="25"/>
      <c r="AW494" s="25"/>
      <c r="AX494" s="25"/>
      <c r="AY494" s="25"/>
      <c r="AZ494" s="25"/>
      <c r="BA494" s="25"/>
      <c r="BB494" s="25"/>
      <c r="BC494" s="25"/>
      <c r="BD494" s="25"/>
      <c r="BE494" s="25"/>
      <c r="BF494" s="25"/>
      <c r="BG494" s="25"/>
      <c r="BH494" s="25"/>
      <c r="BI494" s="25"/>
      <c r="BJ494" s="25"/>
      <c r="BK494" s="25"/>
      <c r="BL494" s="25"/>
      <c r="BM494" s="25"/>
      <c r="BN494" s="25"/>
      <c r="BO494" s="25"/>
      <c r="BP494" s="25"/>
      <c r="BQ494" s="25"/>
      <c r="BR494" s="25"/>
      <c r="BS494" s="25"/>
      <c r="BT494" s="25"/>
      <c r="BU494" s="25"/>
      <c r="BV494" s="25"/>
      <c r="BW494" s="25"/>
      <c r="BX494" s="25"/>
      <c r="BY494" s="25"/>
      <c r="BZ494" s="25"/>
      <c r="CA494" s="25"/>
      <c r="CB494" s="25"/>
      <c r="CC494" s="25"/>
      <c r="CD494" s="25"/>
      <c r="CE494" s="25"/>
      <c r="CF494" s="25"/>
      <c r="CG494" s="25"/>
      <c r="CH494" s="25"/>
      <c r="CI494" s="25"/>
      <c r="CJ494" s="25"/>
      <c r="CK494" s="25"/>
      <c r="CL494" s="25"/>
      <c r="CM494" s="25"/>
      <c r="CN494" s="25"/>
      <c r="CO494" s="25"/>
      <c r="CP494" s="25"/>
      <c r="CQ494" s="25"/>
      <c r="CR494" s="25"/>
      <c r="CS494" s="25"/>
    </row>
    <row r="495" spans="2:97">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c r="AS495" s="25"/>
      <c r="AT495" s="25"/>
      <c r="AU495" s="25"/>
      <c r="AV495" s="25"/>
      <c r="AW495" s="25"/>
      <c r="AX495" s="25"/>
      <c r="AY495" s="25"/>
      <c r="AZ495" s="25"/>
      <c r="BA495" s="25"/>
      <c r="BB495" s="25"/>
      <c r="BC495" s="25"/>
      <c r="BD495" s="25"/>
      <c r="BE495" s="25"/>
      <c r="BF495" s="25"/>
      <c r="BG495" s="25"/>
      <c r="BH495" s="25"/>
      <c r="BI495" s="25"/>
      <c r="BJ495" s="25"/>
      <c r="BK495" s="25"/>
      <c r="BL495" s="25"/>
      <c r="BM495" s="25"/>
      <c r="BN495" s="25"/>
      <c r="BO495" s="25"/>
      <c r="BP495" s="25"/>
      <c r="BQ495" s="25"/>
      <c r="BR495" s="25"/>
      <c r="BS495" s="25"/>
      <c r="BT495" s="25"/>
      <c r="BU495" s="25"/>
      <c r="BV495" s="25"/>
      <c r="BW495" s="25"/>
      <c r="BX495" s="25"/>
      <c r="BY495" s="25"/>
      <c r="BZ495" s="25"/>
      <c r="CA495" s="25"/>
      <c r="CB495" s="25"/>
      <c r="CC495" s="25"/>
      <c r="CD495" s="25"/>
      <c r="CE495" s="25"/>
      <c r="CF495" s="25"/>
      <c r="CG495" s="25"/>
      <c r="CH495" s="25"/>
      <c r="CI495" s="25"/>
      <c r="CJ495" s="25"/>
      <c r="CK495" s="25"/>
      <c r="CL495" s="25"/>
      <c r="CM495" s="25"/>
      <c r="CN495" s="25"/>
      <c r="CO495" s="25"/>
      <c r="CP495" s="25"/>
      <c r="CQ495" s="25"/>
      <c r="CR495" s="25"/>
      <c r="CS495" s="25"/>
    </row>
    <row r="496" spans="2:97">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c r="AS496" s="25"/>
      <c r="AT496" s="25"/>
      <c r="AU496" s="25"/>
      <c r="AV496" s="25"/>
      <c r="AW496" s="25"/>
      <c r="AX496" s="25"/>
      <c r="AY496" s="25"/>
      <c r="AZ496" s="25"/>
      <c r="BA496" s="25"/>
      <c r="BB496" s="25"/>
      <c r="BC496" s="25"/>
      <c r="BD496" s="25"/>
      <c r="BE496" s="25"/>
      <c r="BF496" s="25"/>
      <c r="BG496" s="25"/>
      <c r="BH496" s="25"/>
      <c r="BI496" s="25"/>
      <c r="BJ496" s="25"/>
      <c r="BK496" s="25"/>
      <c r="BL496" s="25"/>
      <c r="BM496" s="25"/>
      <c r="BN496" s="25"/>
      <c r="BO496" s="25"/>
      <c r="BP496" s="25"/>
      <c r="BQ496" s="25"/>
      <c r="BR496" s="25"/>
      <c r="BS496" s="25"/>
      <c r="BT496" s="25"/>
      <c r="BU496" s="25"/>
      <c r="BV496" s="25"/>
      <c r="BW496" s="25"/>
      <c r="BX496" s="25"/>
      <c r="BY496" s="25"/>
      <c r="BZ496" s="25"/>
      <c r="CA496" s="25"/>
      <c r="CB496" s="25"/>
      <c r="CC496" s="25"/>
      <c r="CD496" s="25"/>
      <c r="CE496" s="25"/>
      <c r="CF496" s="25"/>
      <c r="CG496" s="25"/>
      <c r="CH496" s="25"/>
      <c r="CI496" s="25"/>
      <c r="CJ496" s="25"/>
      <c r="CK496" s="25"/>
      <c r="CL496" s="25"/>
      <c r="CM496" s="25"/>
      <c r="CN496" s="25"/>
      <c r="CO496" s="25"/>
      <c r="CP496" s="25"/>
      <c r="CQ496" s="25"/>
      <c r="CR496" s="25"/>
      <c r="CS496" s="25"/>
    </row>
    <row r="497" spans="2:97">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c r="AS497" s="25"/>
      <c r="AT497" s="25"/>
      <c r="AU497" s="25"/>
      <c r="AV497" s="25"/>
      <c r="AW497" s="25"/>
      <c r="AX497" s="25"/>
      <c r="AY497" s="25"/>
      <c r="AZ497" s="25"/>
      <c r="BA497" s="25"/>
      <c r="BB497" s="25"/>
      <c r="BC497" s="25"/>
      <c r="BD497" s="25"/>
      <c r="BE497" s="25"/>
      <c r="BF497" s="25"/>
      <c r="BG497" s="25"/>
      <c r="BH497" s="25"/>
      <c r="BI497" s="25"/>
      <c r="BJ497" s="25"/>
      <c r="BK497" s="25"/>
      <c r="BL497" s="25"/>
      <c r="BM497" s="25"/>
      <c r="BN497" s="25"/>
      <c r="BO497" s="25"/>
      <c r="BP497" s="25"/>
      <c r="BQ497" s="25"/>
      <c r="BR497" s="25"/>
      <c r="BS497" s="25"/>
      <c r="BT497" s="25"/>
      <c r="BU497" s="25"/>
      <c r="BV497" s="25"/>
      <c r="BW497" s="25"/>
      <c r="BX497" s="25"/>
      <c r="BY497" s="25"/>
      <c r="BZ497" s="25"/>
      <c r="CA497" s="25"/>
      <c r="CB497" s="25"/>
      <c r="CC497" s="25"/>
      <c r="CD497" s="25"/>
      <c r="CE497" s="25"/>
      <c r="CF497" s="25"/>
      <c r="CG497" s="25"/>
      <c r="CH497" s="25"/>
      <c r="CI497" s="25"/>
      <c r="CJ497" s="25"/>
      <c r="CK497" s="25"/>
      <c r="CL497" s="25"/>
      <c r="CM497" s="25"/>
      <c r="CN497" s="25"/>
      <c r="CO497" s="25"/>
      <c r="CP497" s="25"/>
      <c r="CQ497" s="25"/>
      <c r="CR497" s="25"/>
      <c r="CS497" s="25"/>
    </row>
    <row r="498" spans="2:97">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c r="AS498" s="25"/>
      <c r="AT498" s="25"/>
      <c r="AU498" s="25"/>
      <c r="AV498" s="25"/>
      <c r="AW498" s="25"/>
      <c r="AX498" s="25"/>
      <c r="AY498" s="25"/>
      <c r="AZ498" s="25"/>
      <c r="BA498" s="25"/>
      <c r="BB498" s="25"/>
      <c r="BC498" s="25"/>
      <c r="BD498" s="25"/>
      <c r="BE498" s="25"/>
      <c r="BF498" s="25"/>
      <c r="BG498" s="25"/>
      <c r="BH498" s="25"/>
      <c r="BI498" s="25"/>
      <c r="BJ498" s="25"/>
      <c r="BK498" s="25"/>
      <c r="BL498" s="25"/>
      <c r="BM498" s="25"/>
      <c r="BN498" s="25"/>
      <c r="BO498" s="25"/>
      <c r="BP498" s="25"/>
      <c r="BQ498" s="25"/>
      <c r="BR498" s="25"/>
      <c r="BS498" s="25"/>
      <c r="BT498" s="25"/>
      <c r="BU498" s="25"/>
      <c r="BV498" s="25"/>
      <c r="BW498" s="25"/>
      <c r="BX498" s="25"/>
      <c r="BY498" s="25"/>
      <c r="BZ498" s="25"/>
      <c r="CA498" s="25"/>
      <c r="CB498" s="25"/>
      <c r="CC498" s="25"/>
      <c r="CD498" s="25"/>
      <c r="CE498" s="25"/>
      <c r="CF498" s="25"/>
      <c r="CG498" s="25"/>
      <c r="CH498" s="25"/>
      <c r="CI498" s="25"/>
      <c r="CJ498" s="25"/>
      <c r="CK498" s="25"/>
      <c r="CL498" s="25"/>
      <c r="CM498" s="25"/>
      <c r="CN498" s="25"/>
      <c r="CO498" s="25"/>
      <c r="CP498" s="25"/>
      <c r="CQ498" s="25"/>
      <c r="CR498" s="25"/>
      <c r="CS498" s="25"/>
    </row>
    <row r="499" spans="2:97">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c r="AS499" s="25"/>
      <c r="AT499" s="25"/>
      <c r="AU499" s="25"/>
      <c r="AV499" s="25"/>
      <c r="AW499" s="25"/>
      <c r="AX499" s="25"/>
      <c r="AY499" s="25"/>
      <c r="AZ499" s="25"/>
      <c r="BA499" s="25"/>
      <c r="BB499" s="25"/>
      <c r="BC499" s="25"/>
      <c r="BD499" s="25"/>
      <c r="BE499" s="25"/>
      <c r="BF499" s="25"/>
      <c r="BG499" s="25"/>
      <c r="BH499" s="25"/>
      <c r="BI499" s="25"/>
      <c r="BJ499" s="25"/>
      <c r="BK499" s="25"/>
      <c r="BL499" s="25"/>
      <c r="BM499" s="25"/>
      <c r="BN499" s="25"/>
      <c r="BO499" s="25"/>
      <c r="BP499" s="25"/>
      <c r="BQ499" s="25"/>
      <c r="BR499" s="25"/>
      <c r="BS499" s="25"/>
      <c r="BT499" s="25"/>
      <c r="BU499" s="25"/>
      <c r="BV499" s="25"/>
      <c r="BW499" s="25"/>
      <c r="BX499" s="25"/>
      <c r="BY499" s="25"/>
      <c r="BZ499" s="25"/>
      <c r="CA499" s="25"/>
      <c r="CB499" s="25"/>
      <c r="CC499" s="25"/>
      <c r="CD499" s="25"/>
      <c r="CE499" s="25"/>
      <c r="CF499" s="25"/>
      <c r="CG499" s="25"/>
      <c r="CH499" s="25"/>
      <c r="CI499" s="25"/>
      <c r="CJ499" s="25"/>
      <c r="CK499" s="25"/>
      <c r="CL499" s="25"/>
      <c r="CM499" s="25"/>
      <c r="CN499" s="25"/>
      <c r="CO499" s="25"/>
      <c r="CP499" s="25"/>
      <c r="CQ499" s="25"/>
      <c r="CR499" s="25"/>
      <c r="CS499" s="25"/>
    </row>
    <row r="500" spans="2:97">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c r="AS500" s="25"/>
      <c r="AT500" s="25"/>
      <c r="AU500" s="25"/>
      <c r="AV500" s="25"/>
      <c r="AW500" s="25"/>
      <c r="AX500" s="25"/>
      <c r="AY500" s="25"/>
      <c r="AZ500" s="25"/>
      <c r="BA500" s="25"/>
      <c r="BB500" s="25"/>
      <c r="BC500" s="25"/>
      <c r="BD500" s="25"/>
      <c r="BE500" s="25"/>
      <c r="BF500" s="25"/>
      <c r="BG500" s="25"/>
      <c r="BH500" s="25"/>
      <c r="BI500" s="25"/>
      <c r="BJ500" s="25"/>
      <c r="BK500" s="25"/>
      <c r="BL500" s="25"/>
      <c r="BM500" s="25"/>
      <c r="BN500" s="25"/>
      <c r="BO500" s="25"/>
      <c r="BP500" s="25"/>
      <c r="BQ500" s="25"/>
      <c r="BR500" s="25"/>
      <c r="BS500" s="25"/>
      <c r="BT500" s="25"/>
      <c r="BU500" s="25"/>
      <c r="BV500" s="25"/>
      <c r="BW500" s="25"/>
      <c r="BX500" s="25"/>
      <c r="BY500" s="25"/>
      <c r="BZ500" s="25"/>
      <c r="CA500" s="25"/>
      <c r="CB500" s="25"/>
      <c r="CC500" s="25"/>
      <c r="CD500" s="25"/>
      <c r="CE500" s="25"/>
      <c r="CF500" s="25"/>
      <c r="CG500" s="25"/>
      <c r="CH500" s="25"/>
      <c r="CI500" s="25"/>
      <c r="CJ500" s="25"/>
      <c r="CK500" s="25"/>
      <c r="CL500" s="25"/>
      <c r="CM500" s="25"/>
      <c r="CN500" s="25"/>
      <c r="CO500" s="25"/>
      <c r="CP500" s="25"/>
      <c r="CQ500" s="25"/>
      <c r="CR500" s="25"/>
      <c r="CS500" s="25"/>
    </row>
    <row r="501" spans="2:97">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c r="AS501" s="25"/>
      <c r="AT501" s="25"/>
      <c r="AU501" s="25"/>
      <c r="AV501" s="25"/>
      <c r="AW501" s="25"/>
      <c r="AX501" s="25"/>
      <c r="AY501" s="25"/>
      <c r="AZ501" s="25"/>
      <c r="BA501" s="25"/>
      <c r="BB501" s="25"/>
      <c r="BC501" s="25"/>
      <c r="BD501" s="25"/>
      <c r="BE501" s="25"/>
      <c r="BF501" s="25"/>
      <c r="BG501" s="25"/>
      <c r="BH501" s="25"/>
      <c r="BI501" s="25"/>
      <c r="BJ501" s="25"/>
      <c r="BK501" s="25"/>
      <c r="BL501" s="25"/>
      <c r="BM501" s="25"/>
      <c r="BN501" s="25"/>
      <c r="BO501" s="25"/>
      <c r="BP501" s="25"/>
      <c r="BQ501" s="25"/>
      <c r="BR501" s="25"/>
      <c r="BS501" s="25"/>
      <c r="BT501" s="25"/>
      <c r="BU501" s="25"/>
      <c r="BV501" s="25"/>
      <c r="BW501" s="25"/>
      <c r="BX501" s="25"/>
      <c r="BY501" s="25"/>
      <c r="BZ501" s="25"/>
      <c r="CA501" s="25"/>
      <c r="CB501" s="25"/>
      <c r="CC501" s="25"/>
      <c r="CD501" s="25"/>
      <c r="CE501" s="25"/>
      <c r="CF501" s="25"/>
      <c r="CG501" s="25"/>
      <c r="CH501" s="25"/>
      <c r="CI501" s="25"/>
      <c r="CJ501" s="25"/>
      <c r="CK501" s="25"/>
      <c r="CL501" s="25"/>
      <c r="CM501" s="25"/>
      <c r="CN501" s="25"/>
      <c r="CO501" s="25"/>
      <c r="CP501" s="25"/>
      <c r="CQ501" s="25"/>
      <c r="CR501" s="25"/>
      <c r="CS501" s="25"/>
    </row>
    <row r="502" spans="2:97">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c r="AS502" s="25"/>
      <c r="AT502" s="25"/>
      <c r="AU502" s="25"/>
      <c r="AV502" s="25"/>
      <c r="AW502" s="25"/>
      <c r="AX502" s="25"/>
      <c r="AY502" s="25"/>
      <c r="AZ502" s="25"/>
      <c r="BA502" s="25"/>
      <c r="BB502" s="25"/>
      <c r="BC502" s="25"/>
      <c r="BD502" s="25"/>
      <c r="BE502" s="25"/>
      <c r="BF502" s="25"/>
      <c r="BG502" s="25"/>
      <c r="BH502" s="25"/>
      <c r="BI502" s="25"/>
      <c r="BJ502" s="25"/>
      <c r="BK502" s="25"/>
      <c r="BL502" s="25"/>
      <c r="BM502" s="25"/>
      <c r="BN502" s="25"/>
      <c r="BO502" s="25"/>
      <c r="BP502" s="25"/>
      <c r="BQ502" s="25"/>
      <c r="BR502" s="25"/>
      <c r="BS502" s="25"/>
      <c r="BT502" s="25"/>
      <c r="BU502" s="25"/>
      <c r="BV502" s="25"/>
      <c r="BW502" s="25"/>
      <c r="BX502" s="25"/>
      <c r="BY502" s="25"/>
      <c r="BZ502" s="25"/>
      <c r="CA502" s="25"/>
      <c r="CB502" s="25"/>
      <c r="CC502" s="25"/>
      <c r="CD502" s="25"/>
      <c r="CE502" s="25"/>
      <c r="CF502" s="25"/>
      <c r="CG502" s="25"/>
      <c r="CH502" s="25"/>
      <c r="CI502" s="25"/>
      <c r="CJ502" s="25"/>
      <c r="CK502" s="25"/>
      <c r="CL502" s="25"/>
      <c r="CM502" s="25"/>
      <c r="CN502" s="25"/>
      <c r="CO502" s="25"/>
      <c r="CP502" s="25"/>
      <c r="CQ502" s="25"/>
      <c r="CR502" s="25"/>
      <c r="CS502" s="25"/>
    </row>
    <row r="503" spans="2:97">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c r="AS503" s="25"/>
      <c r="AT503" s="25"/>
      <c r="AU503" s="25"/>
      <c r="AV503" s="25"/>
      <c r="AW503" s="25"/>
      <c r="AX503" s="25"/>
      <c r="AY503" s="25"/>
      <c r="AZ503" s="25"/>
      <c r="BA503" s="25"/>
      <c r="BB503" s="25"/>
      <c r="BC503" s="25"/>
      <c r="BD503" s="25"/>
      <c r="BE503" s="25"/>
      <c r="BF503" s="25"/>
      <c r="BG503" s="25"/>
      <c r="BH503" s="25"/>
      <c r="BI503" s="25"/>
      <c r="BJ503" s="25"/>
      <c r="BK503" s="25"/>
      <c r="BL503" s="25"/>
      <c r="BM503" s="25"/>
      <c r="BN503" s="25"/>
      <c r="BO503" s="25"/>
      <c r="BP503" s="25"/>
      <c r="BQ503" s="25"/>
      <c r="BR503" s="25"/>
      <c r="BS503" s="25"/>
      <c r="BT503" s="25"/>
      <c r="BU503" s="25"/>
      <c r="BV503" s="25"/>
      <c r="BW503" s="25"/>
      <c r="BX503" s="25"/>
      <c r="BY503" s="25"/>
      <c r="BZ503" s="25"/>
      <c r="CA503" s="25"/>
      <c r="CB503" s="25"/>
      <c r="CC503" s="25"/>
      <c r="CD503" s="25"/>
      <c r="CE503" s="25"/>
      <c r="CF503" s="25"/>
      <c r="CG503" s="25"/>
      <c r="CH503" s="25"/>
      <c r="CI503" s="25"/>
      <c r="CJ503" s="25"/>
      <c r="CK503" s="25"/>
      <c r="CL503" s="25"/>
      <c r="CM503" s="25"/>
      <c r="CN503" s="25"/>
      <c r="CO503" s="25"/>
      <c r="CP503" s="25"/>
      <c r="CQ503" s="25"/>
      <c r="CR503" s="25"/>
      <c r="CS503" s="25"/>
    </row>
    <row r="504" spans="2:97">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c r="AS504" s="25"/>
      <c r="AT504" s="25"/>
      <c r="AU504" s="25"/>
      <c r="AV504" s="25"/>
      <c r="AW504" s="25"/>
      <c r="AX504" s="25"/>
      <c r="AY504" s="25"/>
      <c r="AZ504" s="25"/>
      <c r="BA504" s="25"/>
      <c r="BB504" s="25"/>
      <c r="BC504" s="25"/>
      <c r="BD504" s="25"/>
      <c r="BE504" s="25"/>
      <c r="BF504" s="25"/>
      <c r="BG504" s="25"/>
      <c r="BH504" s="25"/>
      <c r="BI504" s="25"/>
      <c r="BJ504" s="25"/>
      <c r="BK504" s="25"/>
      <c r="BL504" s="25"/>
      <c r="BM504" s="25"/>
      <c r="BN504" s="25"/>
      <c r="BO504" s="25"/>
      <c r="BP504" s="25"/>
      <c r="BQ504" s="25"/>
      <c r="BR504" s="25"/>
      <c r="BS504" s="25"/>
      <c r="BT504" s="25"/>
      <c r="BU504" s="25"/>
      <c r="BV504" s="25"/>
      <c r="BW504" s="25"/>
      <c r="BX504" s="25"/>
      <c r="BY504" s="25"/>
      <c r="BZ504" s="25"/>
      <c r="CA504" s="25"/>
      <c r="CB504" s="25"/>
      <c r="CC504" s="25"/>
      <c r="CD504" s="25"/>
      <c r="CE504" s="25"/>
      <c r="CF504" s="25"/>
      <c r="CG504" s="25"/>
      <c r="CH504" s="25"/>
      <c r="CI504" s="25"/>
      <c r="CJ504" s="25"/>
      <c r="CK504" s="25"/>
      <c r="CL504" s="25"/>
      <c r="CM504" s="25"/>
      <c r="CN504" s="25"/>
      <c r="CO504" s="25"/>
      <c r="CP504" s="25"/>
      <c r="CQ504" s="25"/>
      <c r="CR504" s="25"/>
      <c r="CS504" s="25"/>
    </row>
    <row r="505" spans="2:97">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c r="AN505" s="25"/>
      <c r="AO505" s="25"/>
      <c r="AP505" s="25"/>
      <c r="AQ505" s="25"/>
      <c r="AR505" s="25"/>
      <c r="AS505" s="25"/>
      <c r="AT505" s="25"/>
      <c r="AU505" s="25"/>
      <c r="AV505" s="25"/>
      <c r="AW505" s="25"/>
      <c r="AX505" s="25"/>
      <c r="AY505" s="25"/>
      <c r="AZ505" s="25"/>
      <c r="BA505" s="25"/>
      <c r="BB505" s="25"/>
      <c r="BC505" s="25"/>
      <c r="BD505" s="25"/>
      <c r="BE505" s="25"/>
      <c r="BF505" s="25"/>
      <c r="BG505" s="25"/>
      <c r="BH505" s="25"/>
      <c r="BI505" s="25"/>
      <c r="BJ505" s="25"/>
      <c r="BK505" s="25"/>
      <c r="BL505" s="25"/>
      <c r="BM505" s="25"/>
      <c r="BN505" s="25"/>
      <c r="BO505" s="25"/>
      <c r="BP505" s="25"/>
      <c r="BQ505" s="25"/>
      <c r="BR505" s="25"/>
      <c r="BS505" s="25"/>
      <c r="BT505" s="25"/>
      <c r="BU505" s="25"/>
      <c r="BV505" s="25"/>
      <c r="BW505" s="25"/>
      <c r="BX505" s="25"/>
      <c r="BY505" s="25"/>
      <c r="BZ505" s="25"/>
      <c r="CA505" s="25"/>
      <c r="CB505" s="25"/>
      <c r="CC505" s="25"/>
      <c r="CD505" s="25"/>
      <c r="CE505" s="25"/>
      <c r="CF505" s="25"/>
      <c r="CG505" s="25"/>
      <c r="CH505" s="25"/>
      <c r="CI505" s="25"/>
      <c r="CJ505" s="25"/>
      <c r="CK505" s="25"/>
      <c r="CL505" s="25"/>
      <c r="CM505" s="25"/>
      <c r="CN505" s="25"/>
      <c r="CO505" s="25"/>
      <c r="CP505" s="25"/>
      <c r="CQ505" s="25"/>
      <c r="CR505" s="25"/>
      <c r="CS505" s="25"/>
    </row>
    <row r="506" spans="2:97">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c r="AS506" s="25"/>
      <c r="AT506" s="25"/>
      <c r="AU506" s="25"/>
      <c r="AV506" s="25"/>
      <c r="AW506" s="25"/>
      <c r="AX506" s="25"/>
      <c r="AY506" s="25"/>
      <c r="AZ506" s="25"/>
      <c r="BA506" s="25"/>
      <c r="BB506" s="25"/>
      <c r="BC506" s="25"/>
      <c r="BD506" s="25"/>
      <c r="BE506" s="25"/>
      <c r="BF506" s="25"/>
      <c r="BG506" s="25"/>
      <c r="BH506" s="25"/>
      <c r="BI506" s="25"/>
      <c r="BJ506" s="25"/>
      <c r="BK506" s="25"/>
      <c r="BL506" s="25"/>
      <c r="BM506" s="25"/>
      <c r="BN506" s="25"/>
      <c r="BO506" s="25"/>
      <c r="BP506" s="25"/>
      <c r="BQ506" s="25"/>
      <c r="BR506" s="25"/>
      <c r="BS506" s="25"/>
      <c r="BT506" s="25"/>
      <c r="BU506" s="25"/>
      <c r="BV506" s="25"/>
      <c r="BW506" s="25"/>
      <c r="BX506" s="25"/>
      <c r="BY506" s="25"/>
      <c r="BZ506" s="25"/>
      <c r="CA506" s="25"/>
      <c r="CB506" s="25"/>
      <c r="CC506" s="25"/>
      <c r="CD506" s="25"/>
      <c r="CE506" s="25"/>
      <c r="CF506" s="25"/>
      <c r="CG506" s="25"/>
      <c r="CH506" s="25"/>
      <c r="CI506" s="25"/>
      <c r="CJ506" s="25"/>
      <c r="CK506" s="25"/>
      <c r="CL506" s="25"/>
      <c r="CM506" s="25"/>
      <c r="CN506" s="25"/>
      <c r="CO506" s="25"/>
      <c r="CP506" s="25"/>
      <c r="CQ506" s="25"/>
      <c r="CR506" s="25"/>
      <c r="CS506" s="25"/>
    </row>
    <row r="507" spans="2:97">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c r="AN507" s="25"/>
      <c r="AO507" s="25"/>
      <c r="AP507" s="25"/>
      <c r="AQ507" s="25"/>
      <c r="AR507" s="25"/>
      <c r="AS507" s="25"/>
      <c r="AT507" s="25"/>
      <c r="AU507" s="25"/>
      <c r="AV507" s="25"/>
      <c r="AW507" s="25"/>
      <c r="AX507" s="25"/>
      <c r="AY507" s="25"/>
      <c r="AZ507" s="25"/>
      <c r="BA507" s="25"/>
      <c r="BB507" s="25"/>
      <c r="BC507" s="25"/>
      <c r="BD507" s="25"/>
      <c r="BE507" s="25"/>
      <c r="BF507" s="25"/>
      <c r="BG507" s="25"/>
      <c r="BH507" s="25"/>
      <c r="BI507" s="25"/>
      <c r="BJ507" s="25"/>
      <c r="BK507" s="25"/>
      <c r="BL507" s="25"/>
      <c r="BM507" s="25"/>
      <c r="BN507" s="25"/>
      <c r="BO507" s="25"/>
      <c r="BP507" s="25"/>
      <c r="BQ507" s="25"/>
      <c r="BR507" s="25"/>
      <c r="BS507" s="25"/>
      <c r="BT507" s="25"/>
      <c r="BU507" s="25"/>
      <c r="BV507" s="25"/>
      <c r="BW507" s="25"/>
      <c r="BX507" s="25"/>
      <c r="BY507" s="25"/>
      <c r="BZ507" s="25"/>
      <c r="CA507" s="25"/>
      <c r="CB507" s="25"/>
      <c r="CC507" s="25"/>
      <c r="CD507" s="25"/>
      <c r="CE507" s="25"/>
      <c r="CF507" s="25"/>
      <c r="CG507" s="25"/>
      <c r="CH507" s="25"/>
      <c r="CI507" s="25"/>
      <c r="CJ507" s="25"/>
      <c r="CK507" s="25"/>
      <c r="CL507" s="25"/>
      <c r="CM507" s="25"/>
      <c r="CN507" s="25"/>
      <c r="CO507" s="25"/>
      <c r="CP507" s="25"/>
      <c r="CQ507" s="25"/>
      <c r="CR507" s="25"/>
      <c r="CS507" s="25"/>
    </row>
    <row r="508" spans="2:97">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c r="AN508" s="25"/>
      <c r="AO508" s="25"/>
      <c r="AP508" s="25"/>
      <c r="AQ508" s="25"/>
      <c r="AR508" s="25"/>
      <c r="AS508" s="25"/>
      <c r="AT508" s="25"/>
      <c r="AU508" s="25"/>
      <c r="AV508" s="25"/>
      <c r="AW508" s="25"/>
      <c r="AX508" s="25"/>
      <c r="AY508" s="25"/>
      <c r="AZ508" s="25"/>
      <c r="BA508" s="25"/>
      <c r="BB508" s="25"/>
      <c r="BC508" s="25"/>
      <c r="BD508" s="25"/>
      <c r="BE508" s="25"/>
      <c r="BF508" s="25"/>
      <c r="BG508" s="25"/>
      <c r="BH508" s="25"/>
      <c r="BI508" s="25"/>
      <c r="BJ508" s="25"/>
      <c r="BK508" s="25"/>
      <c r="BL508" s="25"/>
      <c r="BM508" s="25"/>
      <c r="BN508" s="25"/>
      <c r="BO508" s="25"/>
      <c r="BP508" s="25"/>
      <c r="BQ508" s="25"/>
      <c r="BR508" s="25"/>
      <c r="BS508" s="25"/>
      <c r="BT508" s="25"/>
      <c r="BU508" s="25"/>
      <c r="BV508" s="25"/>
      <c r="BW508" s="25"/>
      <c r="BX508" s="25"/>
      <c r="BY508" s="25"/>
      <c r="BZ508" s="25"/>
      <c r="CA508" s="25"/>
      <c r="CB508" s="25"/>
      <c r="CC508" s="25"/>
      <c r="CD508" s="25"/>
      <c r="CE508" s="25"/>
      <c r="CF508" s="25"/>
      <c r="CG508" s="25"/>
      <c r="CH508" s="25"/>
      <c r="CI508" s="25"/>
      <c r="CJ508" s="25"/>
      <c r="CK508" s="25"/>
      <c r="CL508" s="25"/>
      <c r="CM508" s="25"/>
      <c r="CN508" s="25"/>
      <c r="CO508" s="25"/>
      <c r="CP508" s="25"/>
      <c r="CQ508" s="25"/>
      <c r="CR508" s="25"/>
      <c r="CS508" s="25"/>
    </row>
    <row r="509" spans="2:97">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c r="AR509" s="25"/>
      <c r="AS509" s="25"/>
      <c r="AT509" s="25"/>
      <c r="AU509" s="25"/>
      <c r="AV509" s="25"/>
      <c r="AW509" s="25"/>
      <c r="AX509" s="25"/>
      <c r="AY509" s="25"/>
      <c r="AZ509" s="25"/>
      <c r="BA509" s="25"/>
      <c r="BB509" s="25"/>
      <c r="BC509" s="25"/>
      <c r="BD509" s="25"/>
      <c r="BE509" s="25"/>
      <c r="BF509" s="25"/>
      <c r="BG509" s="25"/>
      <c r="BH509" s="25"/>
      <c r="BI509" s="25"/>
      <c r="BJ509" s="25"/>
      <c r="BK509" s="25"/>
      <c r="BL509" s="25"/>
      <c r="BM509" s="25"/>
      <c r="BN509" s="25"/>
      <c r="BO509" s="25"/>
      <c r="BP509" s="25"/>
      <c r="BQ509" s="25"/>
      <c r="BR509" s="25"/>
      <c r="BS509" s="25"/>
      <c r="BT509" s="25"/>
      <c r="BU509" s="25"/>
      <c r="BV509" s="25"/>
      <c r="BW509" s="25"/>
      <c r="BX509" s="25"/>
      <c r="BY509" s="25"/>
      <c r="BZ509" s="25"/>
      <c r="CA509" s="25"/>
      <c r="CB509" s="25"/>
      <c r="CC509" s="25"/>
      <c r="CD509" s="25"/>
      <c r="CE509" s="25"/>
      <c r="CF509" s="25"/>
      <c r="CG509" s="25"/>
      <c r="CH509" s="25"/>
      <c r="CI509" s="25"/>
      <c r="CJ509" s="25"/>
      <c r="CK509" s="25"/>
      <c r="CL509" s="25"/>
      <c r="CM509" s="25"/>
      <c r="CN509" s="25"/>
      <c r="CO509" s="25"/>
      <c r="CP509" s="25"/>
      <c r="CQ509" s="25"/>
      <c r="CR509" s="25"/>
      <c r="CS509" s="25"/>
    </row>
    <row r="510" spans="2:97">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c r="AN510" s="25"/>
      <c r="AO510" s="25"/>
      <c r="AP510" s="25"/>
      <c r="AQ510" s="25"/>
      <c r="AR510" s="25"/>
      <c r="AS510" s="25"/>
      <c r="AT510" s="25"/>
      <c r="AU510" s="25"/>
      <c r="AV510" s="25"/>
      <c r="AW510" s="25"/>
      <c r="AX510" s="25"/>
      <c r="AY510" s="25"/>
      <c r="AZ510" s="25"/>
      <c r="BA510" s="25"/>
      <c r="BB510" s="25"/>
      <c r="BC510" s="25"/>
      <c r="BD510" s="25"/>
      <c r="BE510" s="25"/>
      <c r="BF510" s="25"/>
      <c r="BG510" s="25"/>
      <c r="BH510" s="25"/>
      <c r="BI510" s="25"/>
      <c r="BJ510" s="25"/>
      <c r="BK510" s="25"/>
      <c r="BL510" s="25"/>
      <c r="BM510" s="25"/>
      <c r="BN510" s="25"/>
      <c r="BO510" s="25"/>
      <c r="BP510" s="25"/>
      <c r="BQ510" s="25"/>
      <c r="BR510" s="25"/>
      <c r="BS510" s="25"/>
      <c r="BT510" s="25"/>
      <c r="BU510" s="25"/>
      <c r="BV510" s="25"/>
      <c r="BW510" s="25"/>
      <c r="BX510" s="25"/>
      <c r="BY510" s="25"/>
      <c r="BZ510" s="25"/>
      <c r="CA510" s="25"/>
      <c r="CB510" s="25"/>
      <c r="CC510" s="25"/>
      <c r="CD510" s="25"/>
      <c r="CE510" s="25"/>
      <c r="CF510" s="25"/>
      <c r="CG510" s="25"/>
      <c r="CH510" s="25"/>
      <c r="CI510" s="25"/>
      <c r="CJ510" s="25"/>
      <c r="CK510" s="25"/>
      <c r="CL510" s="25"/>
      <c r="CM510" s="25"/>
      <c r="CN510" s="25"/>
      <c r="CO510" s="25"/>
      <c r="CP510" s="25"/>
      <c r="CQ510" s="25"/>
      <c r="CR510" s="25"/>
      <c r="CS510" s="25"/>
    </row>
    <row r="511" spans="2:97">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c r="AN511" s="25"/>
      <c r="AO511" s="25"/>
      <c r="AP511" s="25"/>
      <c r="AQ511" s="25"/>
      <c r="AR511" s="25"/>
      <c r="AS511" s="25"/>
      <c r="AT511" s="25"/>
      <c r="AU511" s="25"/>
      <c r="AV511" s="25"/>
      <c r="AW511" s="25"/>
      <c r="AX511" s="25"/>
      <c r="AY511" s="25"/>
      <c r="AZ511" s="25"/>
      <c r="BA511" s="25"/>
      <c r="BB511" s="25"/>
      <c r="BC511" s="25"/>
      <c r="BD511" s="25"/>
      <c r="BE511" s="25"/>
      <c r="BF511" s="25"/>
      <c r="BG511" s="25"/>
      <c r="BH511" s="25"/>
      <c r="BI511" s="25"/>
      <c r="BJ511" s="25"/>
      <c r="BK511" s="25"/>
      <c r="BL511" s="25"/>
      <c r="BM511" s="25"/>
      <c r="BN511" s="25"/>
      <c r="BO511" s="25"/>
      <c r="BP511" s="25"/>
      <c r="BQ511" s="25"/>
      <c r="BR511" s="25"/>
      <c r="BS511" s="25"/>
      <c r="BT511" s="25"/>
      <c r="BU511" s="25"/>
      <c r="BV511" s="25"/>
      <c r="BW511" s="25"/>
      <c r="BX511" s="25"/>
      <c r="BY511" s="25"/>
      <c r="BZ511" s="25"/>
      <c r="CA511" s="25"/>
      <c r="CB511" s="25"/>
      <c r="CC511" s="25"/>
      <c r="CD511" s="25"/>
      <c r="CE511" s="25"/>
      <c r="CF511" s="25"/>
      <c r="CG511" s="25"/>
      <c r="CH511" s="25"/>
      <c r="CI511" s="25"/>
      <c r="CJ511" s="25"/>
      <c r="CK511" s="25"/>
      <c r="CL511" s="25"/>
      <c r="CM511" s="25"/>
      <c r="CN511" s="25"/>
      <c r="CO511" s="25"/>
      <c r="CP511" s="25"/>
      <c r="CQ511" s="25"/>
      <c r="CR511" s="25"/>
      <c r="CS511" s="25"/>
    </row>
    <row r="512" spans="2:97">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c r="AN512" s="25"/>
      <c r="AO512" s="25"/>
      <c r="AP512" s="25"/>
      <c r="AQ512" s="25"/>
      <c r="AR512" s="25"/>
      <c r="AS512" s="25"/>
      <c r="AT512" s="25"/>
      <c r="AU512" s="25"/>
      <c r="AV512" s="25"/>
      <c r="AW512" s="25"/>
      <c r="AX512" s="25"/>
      <c r="AY512" s="25"/>
      <c r="AZ512" s="25"/>
      <c r="BA512" s="25"/>
      <c r="BB512" s="25"/>
      <c r="BC512" s="25"/>
      <c r="BD512" s="25"/>
      <c r="BE512" s="25"/>
      <c r="BF512" s="25"/>
      <c r="BG512" s="25"/>
      <c r="BH512" s="25"/>
      <c r="BI512" s="25"/>
      <c r="BJ512" s="25"/>
      <c r="BK512" s="25"/>
      <c r="BL512" s="25"/>
      <c r="BM512" s="25"/>
      <c r="BN512" s="25"/>
      <c r="BO512" s="25"/>
      <c r="BP512" s="25"/>
      <c r="BQ512" s="25"/>
      <c r="BR512" s="25"/>
      <c r="BS512" s="25"/>
      <c r="BT512" s="25"/>
      <c r="BU512" s="25"/>
      <c r="BV512" s="25"/>
      <c r="BW512" s="25"/>
      <c r="BX512" s="25"/>
      <c r="BY512" s="25"/>
      <c r="BZ512" s="25"/>
      <c r="CA512" s="25"/>
      <c r="CB512" s="25"/>
      <c r="CC512" s="25"/>
      <c r="CD512" s="25"/>
      <c r="CE512" s="25"/>
      <c r="CF512" s="25"/>
      <c r="CG512" s="25"/>
      <c r="CH512" s="25"/>
      <c r="CI512" s="25"/>
      <c r="CJ512" s="25"/>
      <c r="CK512" s="25"/>
      <c r="CL512" s="25"/>
      <c r="CM512" s="25"/>
      <c r="CN512" s="25"/>
      <c r="CO512" s="25"/>
      <c r="CP512" s="25"/>
      <c r="CQ512" s="25"/>
      <c r="CR512" s="25"/>
      <c r="CS512" s="25"/>
    </row>
    <row r="513" spans="2:97">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c r="AN513" s="25"/>
      <c r="AO513" s="25"/>
      <c r="AP513" s="25"/>
      <c r="AQ513" s="25"/>
      <c r="AR513" s="25"/>
      <c r="AS513" s="25"/>
      <c r="AT513" s="25"/>
      <c r="AU513" s="25"/>
      <c r="AV513" s="25"/>
      <c r="AW513" s="25"/>
      <c r="AX513" s="25"/>
      <c r="AY513" s="25"/>
      <c r="AZ513" s="25"/>
      <c r="BA513" s="25"/>
      <c r="BB513" s="25"/>
      <c r="BC513" s="25"/>
      <c r="BD513" s="25"/>
      <c r="BE513" s="25"/>
      <c r="BF513" s="25"/>
      <c r="BG513" s="25"/>
      <c r="BH513" s="25"/>
      <c r="BI513" s="25"/>
      <c r="BJ513" s="25"/>
      <c r="BK513" s="25"/>
      <c r="BL513" s="25"/>
      <c r="BM513" s="25"/>
      <c r="BN513" s="25"/>
      <c r="BO513" s="25"/>
      <c r="BP513" s="25"/>
      <c r="BQ513" s="25"/>
      <c r="BR513" s="25"/>
      <c r="BS513" s="25"/>
      <c r="BT513" s="25"/>
      <c r="BU513" s="25"/>
      <c r="BV513" s="25"/>
      <c r="BW513" s="25"/>
      <c r="BX513" s="25"/>
      <c r="BY513" s="25"/>
      <c r="BZ513" s="25"/>
      <c r="CA513" s="25"/>
      <c r="CB513" s="25"/>
      <c r="CC513" s="25"/>
      <c r="CD513" s="25"/>
      <c r="CE513" s="25"/>
      <c r="CF513" s="25"/>
      <c r="CG513" s="25"/>
      <c r="CH513" s="25"/>
      <c r="CI513" s="25"/>
      <c r="CJ513" s="25"/>
      <c r="CK513" s="25"/>
      <c r="CL513" s="25"/>
      <c r="CM513" s="25"/>
      <c r="CN513" s="25"/>
      <c r="CO513" s="25"/>
      <c r="CP513" s="25"/>
      <c r="CQ513" s="25"/>
      <c r="CR513" s="25"/>
      <c r="CS513" s="25"/>
    </row>
    <row r="514" spans="2:97">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c r="AN514" s="25"/>
      <c r="AO514" s="25"/>
      <c r="AP514" s="25"/>
      <c r="AQ514" s="25"/>
      <c r="AR514" s="25"/>
      <c r="AS514" s="25"/>
      <c r="AT514" s="25"/>
      <c r="AU514" s="25"/>
      <c r="AV514" s="25"/>
      <c r="AW514" s="25"/>
      <c r="AX514" s="25"/>
      <c r="AY514" s="25"/>
      <c r="AZ514" s="25"/>
      <c r="BA514" s="25"/>
      <c r="BB514" s="25"/>
      <c r="BC514" s="25"/>
      <c r="BD514" s="25"/>
      <c r="BE514" s="25"/>
      <c r="BF514" s="25"/>
      <c r="BG514" s="25"/>
      <c r="BH514" s="25"/>
      <c r="BI514" s="25"/>
      <c r="BJ514" s="25"/>
      <c r="BK514" s="25"/>
      <c r="BL514" s="25"/>
      <c r="BM514" s="25"/>
      <c r="BN514" s="25"/>
      <c r="BO514" s="25"/>
      <c r="BP514" s="25"/>
      <c r="BQ514" s="25"/>
      <c r="BR514" s="25"/>
      <c r="BS514" s="25"/>
      <c r="BT514" s="25"/>
      <c r="BU514" s="25"/>
      <c r="BV514" s="25"/>
      <c r="BW514" s="25"/>
      <c r="BX514" s="25"/>
      <c r="BY514" s="25"/>
      <c r="BZ514" s="25"/>
      <c r="CA514" s="25"/>
      <c r="CB514" s="25"/>
      <c r="CC514" s="25"/>
      <c r="CD514" s="25"/>
      <c r="CE514" s="25"/>
      <c r="CF514" s="25"/>
      <c r="CG514" s="25"/>
      <c r="CH514" s="25"/>
      <c r="CI514" s="25"/>
      <c r="CJ514" s="25"/>
      <c r="CK514" s="25"/>
      <c r="CL514" s="25"/>
      <c r="CM514" s="25"/>
      <c r="CN514" s="25"/>
      <c r="CO514" s="25"/>
      <c r="CP514" s="25"/>
      <c r="CQ514" s="25"/>
      <c r="CR514" s="25"/>
      <c r="CS514" s="25"/>
    </row>
    <row r="515" spans="2:97">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c r="AN515" s="25"/>
      <c r="AO515" s="25"/>
      <c r="AP515" s="25"/>
      <c r="AQ515" s="25"/>
      <c r="AR515" s="25"/>
      <c r="AS515" s="25"/>
      <c r="AT515" s="25"/>
      <c r="AU515" s="25"/>
      <c r="AV515" s="25"/>
      <c r="AW515" s="25"/>
      <c r="AX515" s="25"/>
      <c r="AY515" s="25"/>
      <c r="AZ515" s="25"/>
      <c r="BA515" s="25"/>
      <c r="BB515" s="25"/>
      <c r="BC515" s="25"/>
      <c r="BD515" s="25"/>
      <c r="BE515" s="25"/>
      <c r="BF515" s="25"/>
      <c r="BG515" s="25"/>
      <c r="BH515" s="25"/>
      <c r="BI515" s="25"/>
      <c r="BJ515" s="25"/>
      <c r="BK515" s="25"/>
      <c r="BL515" s="25"/>
      <c r="BM515" s="25"/>
      <c r="BN515" s="25"/>
      <c r="BO515" s="25"/>
      <c r="BP515" s="25"/>
      <c r="BQ515" s="25"/>
      <c r="BR515" s="25"/>
      <c r="BS515" s="25"/>
      <c r="BT515" s="25"/>
      <c r="BU515" s="25"/>
      <c r="BV515" s="25"/>
      <c r="BW515" s="25"/>
      <c r="BX515" s="25"/>
      <c r="BY515" s="25"/>
      <c r="BZ515" s="25"/>
      <c r="CA515" s="25"/>
      <c r="CB515" s="25"/>
      <c r="CC515" s="25"/>
      <c r="CD515" s="25"/>
      <c r="CE515" s="25"/>
      <c r="CF515" s="25"/>
      <c r="CG515" s="25"/>
      <c r="CH515" s="25"/>
      <c r="CI515" s="25"/>
      <c r="CJ515" s="25"/>
      <c r="CK515" s="25"/>
      <c r="CL515" s="25"/>
      <c r="CM515" s="25"/>
      <c r="CN515" s="25"/>
      <c r="CO515" s="25"/>
      <c r="CP515" s="25"/>
      <c r="CQ515" s="25"/>
      <c r="CR515" s="25"/>
      <c r="CS515" s="25"/>
    </row>
    <row r="516" spans="2:97">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c r="AN516" s="25"/>
      <c r="AO516" s="25"/>
      <c r="AP516" s="25"/>
      <c r="AQ516" s="25"/>
      <c r="AR516" s="25"/>
      <c r="AS516" s="25"/>
      <c r="AT516" s="25"/>
      <c r="AU516" s="25"/>
      <c r="AV516" s="25"/>
      <c r="AW516" s="25"/>
      <c r="AX516" s="25"/>
      <c r="AY516" s="25"/>
      <c r="AZ516" s="25"/>
      <c r="BA516" s="25"/>
      <c r="BB516" s="25"/>
      <c r="BC516" s="25"/>
      <c r="BD516" s="25"/>
      <c r="BE516" s="25"/>
      <c r="BF516" s="25"/>
      <c r="BG516" s="25"/>
      <c r="BH516" s="25"/>
      <c r="BI516" s="25"/>
      <c r="BJ516" s="25"/>
      <c r="BK516" s="25"/>
      <c r="BL516" s="25"/>
      <c r="BM516" s="25"/>
      <c r="BN516" s="25"/>
      <c r="BO516" s="25"/>
      <c r="BP516" s="25"/>
      <c r="BQ516" s="25"/>
      <c r="BR516" s="25"/>
      <c r="BS516" s="25"/>
      <c r="BT516" s="25"/>
      <c r="BU516" s="25"/>
      <c r="BV516" s="25"/>
      <c r="BW516" s="25"/>
      <c r="BX516" s="25"/>
      <c r="BY516" s="25"/>
      <c r="BZ516" s="25"/>
      <c r="CA516" s="25"/>
      <c r="CB516" s="25"/>
      <c r="CC516" s="25"/>
      <c r="CD516" s="25"/>
      <c r="CE516" s="25"/>
      <c r="CF516" s="25"/>
      <c r="CG516" s="25"/>
      <c r="CH516" s="25"/>
      <c r="CI516" s="25"/>
      <c r="CJ516" s="25"/>
      <c r="CK516" s="25"/>
      <c r="CL516" s="25"/>
      <c r="CM516" s="25"/>
      <c r="CN516" s="25"/>
      <c r="CO516" s="25"/>
      <c r="CP516" s="25"/>
      <c r="CQ516" s="25"/>
      <c r="CR516" s="25"/>
      <c r="CS516" s="25"/>
    </row>
    <row r="517" spans="2:97">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c r="AN517" s="25"/>
      <c r="AO517" s="25"/>
      <c r="AP517" s="25"/>
      <c r="AQ517" s="25"/>
      <c r="AR517" s="25"/>
      <c r="AS517" s="25"/>
      <c r="AT517" s="25"/>
      <c r="AU517" s="25"/>
      <c r="AV517" s="25"/>
      <c r="AW517" s="25"/>
      <c r="AX517" s="25"/>
      <c r="AY517" s="25"/>
      <c r="AZ517" s="25"/>
      <c r="BA517" s="25"/>
      <c r="BB517" s="25"/>
      <c r="BC517" s="25"/>
      <c r="BD517" s="25"/>
      <c r="BE517" s="25"/>
      <c r="BF517" s="25"/>
      <c r="BG517" s="25"/>
      <c r="BH517" s="25"/>
      <c r="BI517" s="25"/>
      <c r="BJ517" s="25"/>
      <c r="BK517" s="25"/>
      <c r="BL517" s="25"/>
      <c r="BM517" s="25"/>
      <c r="BN517" s="25"/>
      <c r="BO517" s="25"/>
      <c r="BP517" s="25"/>
      <c r="BQ517" s="25"/>
      <c r="BR517" s="25"/>
      <c r="BS517" s="25"/>
      <c r="BT517" s="25"/>
      <c r="BU517" s="25"/>
      <c r="BV517" s="25"/>
      <c r="BW517" s="25"/>
      <c r="BX517" s="25"/>
      <c r="BY517" s="25"/>
      <c r="BZ517" s="25"/>
      <c r="CA517" s="25"/>
      <c r="CB517" s="25"/>
      <c r="CC517" s="25"/>
      <c r="CD517" s="25"/>
      <c r="CE517" s="25"/>
      <c r="CF517" s="25"/>
      <c r="CG517" s="25"/>
      <c r="CH517" s="25"/>
      <c r="CI517" s="25"/>
      <c r="CJ517" s="25"/>
      <c r="CK517" s="25"/>
      <c r="CL517" s="25"/>
      <c r="CM517" s="25"/>
      <c r="CN517" s="25"/>
      <c r="CO517" s="25"/>
      <c r="CP517" s="25"/>
      <c r="CQ517" s="25"/>
      <c r="CR517" s="25"/>
      <c r="CS517" s="25"/>
    </row>
    <row r="518" spans="2:97">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c r="AN518" s="25"/>
      <c r="AO518" s="25"/>
      <c r="AP518" s="25"/>
      <c r="AQ518" s="25"/>
      <c r="AR518" s="25"/>
      <c r="AS518" s="25"/>
      <c r="AT518" s="25"/>
      <c r="AU518" s="25"/>
      <c r="AV518" s="25"/>
      <c r="AW518" s="25"/>
      <c r="AX518" s="25"/>
      <c r="AY518" s="25"/>
      <c r="AZ518" s="25"/>
      <c r="BA518" s="25"/>
      <c r="BB518" s="25"/>
      <c r="BC518" s="25"/>
      <c r="BD518" s="25"/>
      <c r="BE518" s="25"/>
      <c r="BF518" s="25"/>
      <c r="BG518" s="25"/>
      <c r="BH518" s="25"/>
      <c r="BI518" s="25"/>
      <c r="BJ518" s="25"/>
      <c r="BK518" s="25"/>
      <c r="BL518" s="25"/>
      <c r="BM518" s="25"/>
      <c r="BN518" s="25"/>
      <c r="BO518" s="25"/>
      <c r="BP518" s="25"/>
      <c r="BQ518" s="25"/>
      <c r="BR518" s="25"/>
      <c r="BS518" s="25"/>
      <c r="BT518" s="25"/>
      <c r="BU518" s="25"/>
      <c r="BV518" s="25"/>
      <c r="BW518" s="25"/>
      <c r="BX518" s="25"/>
      <c r="BY518" s="25"/>
      <c r="BZ518" s="25"/>
      <c r="CA518" s="25"/>
      <c r="CB518" s="25"/>
      <c r="CC518" s="25"/>
      <c r="CD518" s="25"/>
      <c r="CE518" s="25"/>
      <c r="CF518" s="25"/>
      <c r="CG518" s="25"/>
      <c r="CH518" s="25"/>
      <c r="CI518" s="25"/>
      <c r="CJ518" s="25"/>
      <c r="CK518" s="25"/>
      <c r="CL518" s="25"/>
      <c r="CM518" s="25"/>
      <c r="CN518" s="25"/>
      <c r="CO518" s="25"/>
      <c r="CP518" s="25"/>
      <c r="CQ518" s="25"/>
      <c r="CR518" s="25"/>
      <c r="CS518" s="25"/>
    </row>
    <row r="519" spans="2:97">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c r="AN519" s="25"/>
      <c r="AO519" s="25"/>
      <c r="AP519" s="25"/>
      <c r="AQ519" s="25"/>
      <c r="AR519" s="25"/>
      <c r="AS519" s="25"/>
      <c r="AT519" s="25"/>
      <c r="AU519" s="25"/>
      <c r="AV519" s="25"/>
      <c r="AW519" s="25"/>
      <c r="AX519" s="25"/>
      <c r="AY519" s="25"/>
      <c r="AZ519" s="25"/>
      <c r="BA519" s="25"/>
      <c r="BB519" s="25"/>
      <c r="BC519" s="25"/>
      <c r="BD519" s="25"/>
      <c r="BE519" s="25"/>
      <c r="BF519" s="25"/>
      <c r="BG519" s="25"/>
      <c r="BH519" s="25"/>
      <c r="BI519" s="25"/>
      <c r="BJ519" s="25"/>
      <c r="BK519" s="25"/>
      <c r="BL519" s="25"/>
      <c r="BM519" s="25"/>
      <c r="BN519" s="25"/>
      <c r="BO519" s="25"/>
      <c r="BP519" s="25"/>
      <c r="BQ519" s="25"/>
      <c r="BR519" s="25"/>
      <c r="BS519" s="25"/>
      <c r="BT519" s="25"/>
      <c r="BU519" s="25"/>
      <c r="BV519" s="25"/>
      <c r="BW519" s="25"/>
      <c r="BX519" s="25"/>
      <c r="BY519" s="25"/>
      <c r="BZ519" s="25"/>
      <c r="CA519" s="25"/>
      <c r="CB519" s="25"/>
      <c r="CC519" s="25"/>
      <c r="CD519" s="25"/>
      <c r="CE519" s="25"/>
      <c r="CF519" s="25"/>
      <c r="CG519" s="25"/>
      <c r="CH519" s="25"/>
      <c r="CI519" s="25"/>
      <c r="CJ519" s="25"/>
      <c r="CK519" s="25"/>
      <c r="CL519" s="25"/>
      <c r="CM519" s="25"/>
      <c r="CN519" s="25"/>
      <c r="CO519" s="25"/>
      <c r="CP519" s="25"/>
      <c r="CQ519" s="25"/>
      <c r="CR519" s="25"/>
      <c r="CS519" s="25"/>
    </row>
    <row r="520" spans="2:97">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c r="AN520" s="25"/>
      <c r="AO520" s="25"/>
      <c r="AP520" s="25"/>
      <c r="AQ520" s="25"/>
      <c r="AR520" s="25"/>
      <c r="AS520" s="25"/>
      <c r="AT520" s="25"/>
      <c r="AU520" s="25"/>
      <c r="AV520" s="25"/>
      <c r="AW520" s="25"/>
      <c r="AX520" s="25"/>
      <c r="AY520" s="25"/>
      <c r="AZ520" s="25"/>
      <c r="BA520" s="25"/>
      <c r="BB520" s="25"/>
      <c r="BC520" s="25"/>
      <c r="BD520" s="25"/>
      <c r="BE520" s="25"/>
      <c r="BF520" s="25"/>
      <c r="BG520" s="25"/>
      <c r="BH520" s="25"/>
      <c r="BI520" s="25"/>
      <c r="BJ520" s="25"/>
      <c r="BK520" s="25"/>
      <c r="BL520" s="25"/>
      <c r="BM520" s="25"/>
      <c r="BN520" s="25"/>
      <c r="BO520" s="25"/>
      <c r="BP520" s="25"/>
      <c r="BQ520" s="25"/>
      <c r="BR520" s="25"/>
      <c r="BS520" s="25"/>
      <c r="BT520" s="25"/>
      <c r="BU520" s="25"/>
      <c r="BV520" s="25"/>
      <c r="BW520" s="25"/>
      <c r="BX520" s="25"/>
      <c r="BY520" s="25"/>
      <c r="BZ520" s="25"/>
      <c r="CA520" s="25"/>
      <c r="CB520" s="25"/>
      <c r="CC520" s="25"/>
      <c r="CD520" s="25"/>
      <c r="CE520" s="25"/>
      <c r="CF520" s="25"/>
      <c r="CG520" s="25"/>
      <c r="CH520" s="25"/>
      <c r="CI520" s="25"/>
      <c r="CJ520" s="25"/>
      <c r="CK520" s="25"/>
      <c r="CL520" s="25"/>
      <c r="CM520" s="25"/>
      <c r="CN520" s="25"/>
      <c r="CO520" s="25"/>
      <c r="CP520" s="25"/>
      <c r="CQ520" s="25"/>
      <c r="CR520" s="25"/>
      <c r="CS520" s="25"/>
    </row>
    <row r="521" spans="2:97">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c r="AN521" s="25"/>
      <c r="AO521" s="25"/>
      <c r="AP521" s="25"/>
      <c r="AQ521" s="25"/>
      <c r="AR521" s="25"/>
      <c r="AS521" s="25"/>
      <c r="AT521" s="25"/>
      <c r="AU521" s="25"/>
      <c r="AV521" s="25"/>
      <c r="AW521" s="25"/>
      <c r="AX521" s="25"/>
      <c r="AY521" s="25"/>
      <c r="AZ521" s="25"/>
      <c r="BA521" s="25"/>
      <c r="BB521" s="25"/>
      <c r="BC521" s="25"/>
      <c r="BD521" s="25"/>
      <c r="BE521" s="25"/>
      <c r="BF521" s="25"/>
      <c r="BG521" s="25"/>
      <c r="BH521" s="25"/>
      <c r="BI521" s="25"/>
      <c r="BJ521" s="25"/>
      <c r="BK521" s="25"/>
      <c r="BL521" s="25"/>
      <c r="BM521" s="25"/>
      <c r="BN521" s="25"/>
      <c r="BO521" s="25"/>
      <c r="BP521" s="25"/>
      <c r="BQ521" s="25"/>
      <c r="BR521" s="25"/>
      <c r="BS521" s="25"/>
      <c r="BT521" s="25"/>
      <c r="BU521" s="25"/>
      <c r="BV521" s="25"/>
      <c r="BW521" s="25"/>
      <c r="BX521" s="25"/>
      <c r="BY521" s="25"/>
      <c r="BZ521" s="25"/>
      <c r="CA521" s="25"/>
      <c r="CB521" s="25"/>
      <c r="CC521" s="25"/>
      <c r="CD521" s="25"/>
      <c r="CE521" s="25"/>
      <c r="CF521" s="25"/>
      <c r="CG521" s="25"/>
      <c r="CH521" s="25"/>
      <c r="CI521" s="25"/>
      <c r="CJ521" s="25"/>
      <c r="CK521" s="25"/>
      <c r="CL521" s="25"/>
      <c r="CM521" s="25"/>
      <c r="CN521" s="25"/>
      <c r="CO521" s="25"/>
      <c r="CP521" s="25"/>
      <c r="CQ521" s="25"/>
      <c r="CR521" s="25"/>
      <c r="CS521" s="25"/>
    </row>
    <row r="522" spans="2:97">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c r="AN522" s="25"/>
      <c r="AO522" s="25"/>
      <c r="AP522" s="25"/>
      <c r="AQ522" s="25"/>
      <c r="AR522" s="25"/>
      <c r="AS522" s="25"/>
      <c r="AT522" s="25"/>
      <c r="AU522" s="25"/>
      <c r="AV522" s="25"/>
      <c r="AW522" s="25"/>
      <c r="AX522" s="25"/>
      <c r="AY522" s="25"/>
      <c r="AZ522" s="25"/>
      <c r="BA522" s="25"/>
      <c r="BB522" s="25"/>
      <c r="BC522" s="25"/>
      <c r="BD522" s="25"/>
      <c r="BE522" s="25"/>
      <c r="BF522" s="25"/>
      <c r="BG522" s="25"/>
      <c r="BH522" s="25"/>
      <c r="BI522" s="25"/>
      <c r="BJ522" s="25"/>
      <c r="BK522" s="25"/>
      <c r="BL522" s="25"/>
      <c r="BM522" s="25"/>
      <c r="BN522" s="25"/>
      <c r="BO522" s="25"/>
      <c r="BP522" s="25"/>
      <c r="BQ522" s="25"/>
      <c r="BR522" s="25"/>
      <c r="BS522" s="25"/>
      <c r="BT522" s="25"/>
      <c r="BU522" s="25"/>
      <c r="BV522" s="25"/>
      <c r="BW522" s="25"/>
      <c r="BX522" s="25"/>
      <c r="BY522" s="25"/>
      <c r="BZ522" s="25"/>
      <c r="CA522" s="25"/>
      <c r="CB522" s="25"/>
      <c r="CC522" s="25"/>
      <c r="CD522" s="25"/>
      <c r="CE522" s="25"/>
      <c r="CF522" s="25"/>
      <c r="CG522" s="25"/>
      <c r="CH522" s="25"/>
      <c r="CI522" s="25"/>
      <c r="CJ522" s="25"/>
      <c r="CK522" s="25"/>
      <c r="CL522" s="25"/>
      <c r="CM522" s="25"/>
      <c r="CN522" s="25"/>
      <c r="CO522" s="25"/>
      <c r="CP522" s="25"/>
      <c r="CQ522" s="25"/>
      <c r="CR522" s="25"/>
      <c r="CS522" s="25"/>
    </row>
    <row r="523" spans="2:97">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c r="AN523" s="25"/>
      <c r="AO523" s="25"/>
      <c r="AP523" s="25"/>
      <c r="AQ523" s="25"/>
      <c r="AR523" s="25"/>
      <c r="AS523" s="25"/>
      <c r="AT523" s="25"/>
      <c r="AU523" s="25"/>
      <c r="AV523" s="25"/>
      <c r="AW523" s="25"/>
      <c r="AX523" s="25"/>
      <c r="AY523" s="25"/>
      <c r="AZ523" s="25"/>
      <c r="BA523" s="25"/>
      <c r="BB523" s="25"/>
      <c r="BC523" s="25"/>
      <c r="BD523" s="25"/>
      <c r="BE523" s="25"/>
      <c r="BF523" s="25"/>
      <c r="BG523" s="25"/>
      <c r="BH523" s="25"/>
      <c r="BI523" s="25"/>
      <c r="BJ523" s="25"/>
      <c r="BK523" s="25"/>
      <c r="BL523" s="25"/>
      <c r="BM523" s="25"/>
      <c r="BN523" s="25"/>
      <c r="BO523" s="25"/>
      <c r="BP523" s="25"/>
      <c r="BQ523" s="25"/>
      <c r="BR523" s="25"/>
      <c r="BS523" s="25"/>
      <c r="BT523" s="25"/>
      <c r="BU523" s="25"/>
      <c r="BV523" s="25"/>
      <c r="BW523" s="25"/>
      <c r="BX523" s="25"/>
      <c r="BY523" s="25"/>
      <c r="BZ523" s="25"/>
      <c r="CA523" s="25"/>
      <c r="CB523" s="25"/>
      <c r="CC523" s="25"/>
      <c r="CD523" s="25"/>
      <c r="CE523" s="25"/>
      <c r="CF523" s="25"/>
      <c r="CG523" s="25"/>
      <c r="CH523" s="25"/>
      <c r="CI523" s="25"/>
      <c r="CJ523" s="25"/>
      <c r="CK523" s="25"/>
      <c r="CL523" s="25"/>
      <c r="CM523" s="25"/>
      <c r="CN523" s="25"/>
      <c r="CO523" s="25"/>
      <c r="CP523" s="25"/>
      <c r="CQ523" s="25"/>
      <c r="CR523" s="25"/>
      <c r="CS523" s="25"/>
    </row>
  </sheetData>
  <mergeCells count="18">
    <mergeCell ref="CS2:CS3"/>
    <mergeCell ref="G2:G3"/>
    <mergeCell ref="H2:H3"/>
    <mergeCell ref="I2:I3"/>
    <mergeCell ref="J2:J3"/>
    <mergeCell ref="K2:K3"/>
    <mergeCell ref="L2:L3"/>
    <mergeCell ref="M2:M3"/>
    <mergeCell ref="N2:N3"/>
    <mergeCell ref="CP2:CP3"/>
    <mergeCell ref="CQ2:CQ3"/>
    <mergeCell ref="CR2:CR3"/>
    <mergeCell ref="F2:F3"/>
    <mergeCell ref="A2:A3"/>
    <mergeCell ref="B2:B3"/>
    <mergeCell ref="C2:C3"/>
    <mergeCell ref="D2:D3"/>
    <mergeCell ref="E2:E3"/>
  </mergeCells>
  <hyperlinks>
    <hyperlink ref="CR11" r:id="rId1" xr:uid="{7570A5F2-0487-483C-B4C9-9B46263406D9}"/>
    <hyperlink ref="CR9" r:id="rId2" xr:uid="{099E9FC4-CEDF-41A2-9762-D301B2C85A70}"/>
    <hyperlink ref="CR25" r:id="rId3" location="1" xr:uid="{8FD20992-8467-4A8F-974C-56B93D8F2489}"/>
    <hyperlink ref="CR21" r:id="rId4" xr:uid="{37B1CAA0-65C1-4EF4-9316-832364876558}"/>
    <hyperlink ref="CR23" r:id="rId5" xr:uid="{FEB3084B-8825-4C66-A241-2EC6AE7A4BE9}"/>
    <hyperlink ref="CR6" r:id="rId6" xr:uid="{BACD618D-1093-4EB7-B0C4-7766F521A92C}"/>
    <hyperlink ref="CR14" r:id="rId7" xr:uid="{A46C8EC6-5F05-464E-8643-886D258FFD91}"/>
    <hyperlink ref="CR18" r:id="rId8" location="page_scan_tab_contents" display="https://www.jstor.org/stable/43595383?read-now=1&amp;seq=1 - page_scan_tab_contents" xr:uid="{4120D80E-FC21-4ACA-BAA2-B6F3F8581402}"/>
    <hyperlink ref="CR17" r:id="rId9" location="page_scan_tab_contents" display="https://www.jstor.org/stable/43595383?read-now=1&amp;seq=1 - page_scan_tab_contents" xr:uid="{244D6767-5993-42BC-8CA1-560AAB11D4A6}"/>
    <hyperlink ref="CR20" r:id="rId10" location="page_scan_tab_contents" display="https://www.jstor.org/stable/43595383?read-now=1&amp;seq=1 - page_scan_tab_contents" xr:uid="{C230E56A-BF04-4582-994C-70009C85E9DF}"/>
    <hyperlink ref="CR66" r:id="rId11" xr:uid="{A07E5C60-A1A0-45FC-BC48-6BE83566021B}"/>
    <hyperlink ref="CR65" r:id="rId12" xr:uid="{95CB09E1-E695-4156-8381-16D39E0EBD47}"/>
    <hyperlink ref="CR67" r:id="rId13" xr:uid="{9A2E5792-CB01-4F89-80EF-609E6098A17E}"/>
    <hyperlink ref="CR19" r:id="rId14" location="page_scan_tab_contents" display="https://www.jstor.org/stable/43595383?read-now=1&amp;seq=1 - page_scan_tab_contents" xr:uid="{6586B451-B8D5-492E-BA99-9958E0617BE7}"/>
    <hyperlink ref="CR12" r:id="rId15" xr:uid="{D572F9EC-5200-4ECF-AEC1-3BF75267CF6E}"/>
    <hyperlink ref="CR13" r:id="rId16" xr:uid="{2502562E-E7D9-487E-BA8E-DF5B3DFE4703}"/>
    <hyperlink ref="CR24" r:id="rId17" xr:uid="{47C0E716-7EEF-475E-A458-A4D54D0D4542}"/>
    <hyperlink ref="CR22" r:id="rId18" xr:uid="{6A21C90E-1492-422E-8EA6-A66D29BFB936}"/>
    <hyperlink ref="CR10" r:id="rId19" xr:uid="{6A28D69E-74F0-4C7D-B61C-23FEA4692907}"/>
    <hyperlink ref="CR8" r:id="rId20" xr:uid="{FD7C32B1-7948-42C9-914D-4A90708B629F}"/>
    <hyperlink ref="CR16" r:id="rId21" xr:uid="{BB6D5AEE-E0EF-4BCA-8DF7-18DA897A27A4}"/>
    <hyperlink ref="CR30" r:id="rId22" xr:uid="{56F0A3C6-A73A-43C2-A181-10A4D209BD15}"/>
    <hyperlink ref="CR31" r:id="rId23" xr:uid="{3C706578-F4F9-4F9D-8CAF-B0EA3D4489C2}"/>
    <hyperlink ref="CR15" r:id="rId24" xr:uid="{872C10AB-C9E9-41E4-A3A0-BC6DCDFA9344}"/>
    <hyperlink ref="CR37" r:id="rId25" xr:uid="{F5580AE0-481D-43F8-B992-AFB9CAF2C178}"/>
    <hyperlink ref="CR58" r:id="rId26" xr:uid="{CE8A32EC-FDE6-4BE3-A1DD-DDB8A8C8BFF0}"/>
    <hyperlink ref="CR39" r:id="rId27" xr:uid="{29A95EB8-E384-4FF1-B5AA-8708869842E2}"/>
    <hyperlink ref="CR62" r:id="rId28" xr:uid="{24D58EEF-B92C-4055-AEFE-6E838313D8C6}"/>
    <hyperlink ref="CR35" r:id="rId29" xr:uid="{D699532F-6BCF-41BB-83C8-F3CE47A97446}"/>
    <hyperlink ref="CR36" r:id="rId30" xr:uid="{3F821AD5-09CD-4F28-9D9A-3E774A58EDA2}"/>
    <hyperlink ref="CR64" r:id="rId31" display="https://www.jstage.jst.go.jp/article/jjfe/57/1/57_KJ00009983906/_pdf/-char/ja" xr:uid="{C4DF59FA-281B-4102-9C94-9D552450FE78}"/>
    <hyperlink ref="CR48" r:id="rId32" xr:uid="{C39AE8E5-2F19-4F79-848A-5B30322BB4D7}"/>
    <hyperlink ref="CR53" r:id="rId33" xr:uid="{71EDEE90-7F60-45BF-9607-0665A1293921}"/>
    <hyperlink ref="CR56" r:id="rId34" xr:uid="{7951BDA7-3493-4A76-A943-46BA11C4EE74}"/>
    <hyperlink ref="CR54" r:id="rId35" xr:uid="{E7799227-CB9C-48EE-BDC4-B95E80261E9F}"/>
    <hyperlink ref="CR49" r:id="rId36" xr:uid="{08124109-0B32-4713-957B-01CAC511D9AD}"/>
    <hyperlink ref="CR55" r:id="rId37" xr:uid="{03D82C6A-F11F-4302-A052-DB1E43568AC4}"/>
    <hyperlink ref="CR57" r:id="rId38" xr:uid="{0A03777C-CD9A-4737-842C-9128498C2821}"/>
    <hyperlink ref="CR61" r:id="rId39" xr:uid="{C6F1DEF6-2264-41E9-84D8-3D2EE6B91B78}"/>
    <hyperlink ref="CR60" r:id="rId40" xr:uid="{C9F52C19-91C3-48CF-807F-BC0559B0B419}"/>
    <hyperlink ref="CR59" r:id="rId41" xr:uid="{3674660C-2070-4639-ABDF-74E11E8002D6}"/>
    <hyperlink ref="CR47" r:id="rId42" xr:uid="{91D48552-3651-4273-A893-BAD141B4AF53}"/>
    <hyperlink ref="CR45" r:id="rId43" xr:uid="{3052CE55-2E24-452C-B57D-C76FB6D2ED27}"/>
    <hyperlink ref="CR43" r:id="rId44" xr:uid="{58FF8FCF-C271-4A4C-9A6D-5CAEDE4AB171}"/>
    <hyperlink ref="CR44" r:id="rId45" xr:uid="{AF28EBAB-42A5-42F4-A6D7-129B98185BFF}"/>
    <hyperlink ref="CR46" r:id="rId46" xr:uid="{08D58483-1050-4744-B0B8-B1A70D72DC32}"/>
    <hyperlink ref="CR40" r:id="rId47" xr:uid="{CB3B223E-78A6-4C22-B742-0A808CB7D214}"/>
    <hyperlink ref="CR32" r:id="rId48" xr:uid="{BE838027-30C1-4F93-869B-3EB5D4923062}"/>
    <hyperlink ref="CR34" r:id="rId49" xr:uid="{2B2328F5-A91B-4FC3-A3C0-F781EB50EF39}"/>
    <hyperlink ref="CR33" r:id="rId50" xr:uid="{8FE47BEA-9940-4C60-AFD5-D0284B4EDD93}"/>
    <hyperlink ref="CR50" r:id="rId51" xr:uid="{0322B998-7C90-4693-B1C5-C6F3C5FD91B3}"/>
    <hyperlink ref="CR41" r:id="rId52" xr:uid="{E4342CEB-3FD4-4095-9A18-E720B36C68A0}"/>
    <hyperlink ref="CR42" r:id="rId53" xr:uid="{6CA25D30-AF7A-4978-8E5C-D18E42635832}"/>
    <hyperlink ref="CR70" r:id="rId54" xr:uid="{E2D32712-54A9-4F40-A34F-833557F137D4}"/>
    <hyperlink ref="CR71" r:id="rId55" xr:uid="{2AB39D04-6919-4F75-843A-F76EBB6FCEDC}"/>
    <hyperlink ref="CR69" r:id="rId56" xr:uid="{2F7BC5E1-6EA6-40EA-870C-F8A09E68E78C}"/>
    <hyperlink ref="CR80" r:id="rId57" xr:uid="{23F4A028-F379-478F-999C-3C0BA305515C}"/>
    <hyperlink ref="CR75" r:id="rId58" xr:uid="{DC8AF551-2969-420D-8232-F84F48752DBE}"/>
    <hyperlink ref="CR76" r:id="rId59" xr:uid="{2856B885-109E-483A-BAE9-CF31749610E0}"/>
    <hyperlink ref="CR77" r:id="rId60" xr:uid="{17D0469C-992B-4DE6-88E8-16D2C22ADAF6}"/>
    <hyperlink ref="CR72" r:id="rId61" xr:uid="{0861173B-73A0-46FC-A955-5B1DD481CB71}"/>
    <hyperlink ref="CR78" r:id="rId62" xr:uid="{EB8B1F72-E777-426B-88BC-97C43A2842D5}"/>
    <hyperlink ref="CR74" r:id="rId63" xr:uid="{ABFE919A-7FFA-4F9C-85FB-8C8D6ED9BC87}"/>
    <hyperlink ref="CR68" r:id="rId64" xr:uid="{4703422E-D4C7-4351-99E1-C54E23A4D457}"/>
    <hyperlink ref="CR73" r:id="rId65" xr:uid="{8C34382F-620F-4EB6-B722-57F2FA16055E}"/>
    <hyperlink ref="CR84" r:id="rId66" xr:uid="{DD3F499F-D08F-4477-9803-B348738F88E5}"/>
    <hyperlink ref="CR79" r:id="rId67" xr:uid="{FE5605A3-4A34-481E-803B-9814F08B433E}"/>
    <hyperlink ref="CR26" r:id="rId68" xr:uid="{5D7D36D3-0EA2-448B-B66D-818E46FA4AB3}"/>
    <hyperlink ref="CR28" r:id="rId69" display="https://advances.sciencemag.org/content/6/12/eaaw5790" xr:uid="{B46001AA-2728-45EB-88A6-9087737E9C74}"/>
    <hyperlink ref="CR29" r:id="rId70" display="https://advances.sciencemag.org/content/6/12/eaaw5790" xr:uid="{C6400E91-5E10-4796-AB32-1EC423F4764F}"/>
    <hyperlink ref="CR27" r:id="rId71" display="https://advances.sciencemag.org/content/6/12/eaaw5790" xr:uid="{AFF7D685-5F68-4F3D-AD44-77E69F1658D5}"/>
    <hyperlink ref="CR81" r:id="rId72" xr:uid="{44638746-1C02-4616-98F5-7D349F4B183A}"/>
    <hyperlink ref="CR82" r:id="rId73" xr:uid="{A6D7B81E-0B23-4BF4-96EA-DB0D25AFC3BA}"/>
    <hyperlink ref="CR83" r:id="rId74" xr:uid="{8DD716B7-D5AC-4BEA-80D1-230EAD8E7B6D}"/>
    <hyperlink ref="CR108" r:id="rId75" xr:uid="{CD6FD293-BF48-4CD1-B0B7-E71A6BB71701}"/>
    <hyperlink ref="CR105" r:id="rId76" xr:uid="{0BB0F7B5-6014-4A22-90D1-0F09B8B76946}"/>
    <hyperlink ref="CR106" r:id="rId77" xr:uid="{531E8A0D-0735-4993-9E4A-D13C90F366AA}"/>
    <hyperlink ref="CR91" r:id="rId78" xr:uid="{0DB609F3-61F4-4CFA-B517-296622CDDA84}"/>
    <hyperlink ref="CR92" r:id="rId79" xr:uid="{8C9A37ED-D1D7-4250-99B4-F0E491EE31BA}"/>
    <hyperlink ref="CR94" r:id="rId80" xr:uid="{23835C35-7400-4A70-8A43-A583FBAB0BFE}"/>
    <hyperlink ref="CR107" r:id="rId81" xr:uid="{70BAC654-9951-4E14-87BC-0E280C060E8D}"/>
    <hyperlink ref="CR99" r:id="rId82" xr:uid="{66CEC871-66F6-4D63-9A4F-32738D6C6EE3}"/>
    <hyperlink ref="CR100" r:id="rId83" xr:uid="{7DD49D1C-C1E7-4541-879F-EBF24163628D}"/>
    <hyperlink ref="CR101" r:id="rId84" xr:uid="{D9A811A5-4D24-47ED-995E-8CD88DC8EEF5}"/>
    <hyperlink ref="CR95" r:id="rId85" xr:uid="{FFE1ACC7-FDDE-47C6-91EC-569A86F4BDB2}"/>
    <hyperlink ref="CR96" r:id="rId86" xr:uid="{24737FC5-9514-4AEB-ABF1-DF7B74C4E768}"/>
    <hyperlink ref="CR97" r:id="rId87" xr:uid="{9F13CBD2-DEB9-4E07-BFCB-918E734C157B}"/>
    <hyperlink ref="CR98" r:id="rId88" xr:uid="{9C154055-A8CE-43AE-A8E9-08967AD1BD4C}"/>
    <hyperlink ref="CR90" r:id="rId89" xr:uid="{DCA6AF65-D93A-4A27-B317-0B594CB01490}"/>
    <hyperlink ref="CR89" r:id="rId90" xr:uid="{F77CE63A-8ADB-4A3B-9CC9-EE1DCAD8285E}"/>
    <hyperlink ref="CR4" r:id="rId91" xr:uid="{1E3C1843-8DEE-410A-85D8-F41CDC3D9832}"/>
    <hyperlink ref="CR5" r:id="rId92" xr:uid="{E0B07967-49DE-4543-ADF0-1E35A334BEB8}"/>
    <hyperlink ref="CR93" r:id="rId93" xr:uid="{71C55DF4-D3E4-4531-A061-EEF4AF2CFFFA}"/>
    <hyperlink ref="CR85" r:id="rId94" xr:uid="{A8E2FE57-A306-4779-82F0-5559C67CF6BB}"/>
    <hyperlink ref="CR86" r:id="rId95" xr:uid="{5D9D2E3A-B0A7-43C5-9B3D-E4B04A29E67B}"/>
    <hyperlink ref="CR87" r:id="rId96" xr:uid="{26E37E3B-4D4B-45A7-B0A2-F6992DAAD31D}"/>
    <hyperlink ref="CR88" r:id="rId97" xr:uid="{564FF48A-DBB0-4753-8C03-6822F64F9F47}"/>
  </hyperlinks>
  <pageMargins left="0.7" right="0.7" top="0.75" bottom="0.75" header="0.3" footer="0.3"/>
  <pageSetup paperSize="9" scale="10" orientation="portrait" r:id="rId98"/>
  <drawing r:id="rId9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84508-65D7-4AC2-9D25-2E93E5C4250C}">
  <dimension ref="A1:CS523"/>
  <sheetViews>
    <sheetView view="pageBreakPreview" topLeftCell="K1" zoomScale="91" zoomScaleNormal="100" zoomScaleSheetLayoutView="91" workbookViewId="0">
      <selection activeCell="O4" sqref="O4:O5"/>
    </sheetView>
  </sheetViews>
  <sheetFormatPr defaultColWidth="10.5703125" defaultRowHeight="15.75"/>
  <cols>
    <col min="1" max="1" width="19.140625" style="27" customWidth="1"/>
    <col min="2" max="2" width="8.42578125" style="28" bestFit="1" customWidth="1"/>
    <col min="3" max="3" width="69.85546875" style="28" bestFit="1" customWidth="1"/>
    <col min="4" max="4" width="22.140625" style="28" customWidth="1"/>
    <col min="5" max="5" width="137.5703125" style="28" customWidth="1"/>
    <col min="6" max="6" width="25.42578125" style="28" bestFit="1" customWidth="1"/>
    <col min="7" max="7" width="14.42578125" style="28" bestFit="1" customWidth="1"/>
    <col min="8" max="8" width="13.5703125" style="28" bestFit="1" customWidth="1"/>
    <col min="9" max="9" width="9.42578125" style="28" bestFit="1" customWidth="1"/>
    <col min="10" max="10" width="9" style="28" bestFit="1" customWidth="1"/>
    <col min="11" max="11" width="31.140625" style="28" customWidth="1"/>
    <col min="12" max="12" width="11.140625" style="28" bestFit="1" customWidth="1"/>
    <col min="13" max="13" width="12" style="28" bestFit="1" customWidth="1"/>
    <col min="14" max="14" width="22" style="28" bestFit="1" customWidth="1"/>
    <col min="15" max="15" width="24" style="28" bestFit="1" customWidth="1"/>
    <col min="16" max="16" width="12.85546875" style="28" bestFit="1" customWidth="1"/>
    <col min="17" max="17" width="14.140625" style="28" bestFit="1" customWidth="1"/>
    <col min="18" max="18" width="9.42578125" style="28" bestFit="1" customWidth="1"/>
    <col min="19" max="19" width="13.5703125" style="28" bestFit="1" customWidth="1"/>
    <col min="20" max="20" width="15.5703125" style="28" bestFit="1" customWidth="1"/>
    <col min="21" max="21" width="17.140625" style="28" bestFit="1" customWidth="1"/>
    <col min="22" max="22" width="11" style="28" bestFit="1" customWidth="1"/>
    <col min="23" max="23" width="18" style="28" bestFit="1" customWidth="1"/>
    <col min="24" max="24" width="8.85546875" style="28" bestFit="1" customWidth="1"/>
    <col min="25" max="25" width="9.42578125" style="28" bestFit="1" customWidth="1"/>
    <col min="26" max="26" width="12.5703125" style="28" bestFit="1" customWidth="1"/>
    <col min="27" max="27" width="12.140625" style="28" bestFit="1" customWidth="1"/>
    <col min="28" max="28" width="12.42578125" style="28" bestFit="1" customWidth="1"/>
    <col min="29" max="29" width="19.42578125" style="28" bestFit="1" customWidth="1"/>
    <col min="30" max="30" width="18.85546875" style="28" bestFit="1" customWidth="1"/>
    <col min="31" max="31" width="10.85546875" style="28" bestFit="1" customWidth="1"/>
    <col min="32" max="32" width="9.5703125" style="28" bestFit="1" customWidth="1"/>
    <col min="33" max="33" width="10.42578125" style="28" bestFit="1" customWidth="1"/>
    <col min="34" max="34" width="11.140625" style="28" bestFit="1" customWidth="1"/>
    <col min="35" max="37" width="9" style="28" bestFit="1" customWidth="1"/>
    <col min="38" max="38" width="8.5703125" style="28" bestFit="1" customWidth="1"/>
    <col min="39" max="39" width="9.140625" style="28" bestFit="1" customWidth="1"/>
    <col min="40" max="40" width="8.5703125" style="28" bestFit="1" customWidth="1"/>
    <col min="41" max="41" width="10" style="28" bestFit="1" customWidth="1"/>
    <col min="42" max="42" width="8.140625" style="28" bestFit="1" customWidth="1"/>
    <col min="43" max="43" width="31" style="28" bestFit="1" customWidth="1"/>
    <col min="44" max="44" width="30.85546875" style="28" bestFit="1" customWidth="1"/>
    <col min="45" max="45" width="16.85546875" style="28" bestFit="1" customWidth="1"/>
    <col min="46" max="46" width="30.42578125" style="28" bestFit="1" customWidth="1"/>
    <col min="47" max="47" width="26.5703125" style="28" bestFit="1" customWidth="1"/>
    <col min="48" max="48" width="15.5703125" style="28" bestFit="1" customWidth="1"/>
    <col min="49" max="49" width="14" style="28" bestFit="1" customWidth="1"/>
    <col min="50" max="50" width="11.140625" style="28" bestFit="1" customWidth="1"/>
    <col min="51" max="51" width="12.85546875" style="28" bestFit="1" customWidth="1"/>
    <col min="52" max="52" width="15" style="28" bestFit="1" customWidth="1"/>
    <col min="53" max="53" width="17.85546875" style="28" bestFit="1" customWidth="1"/>
    <col min="54" max="54" width="27" style="28" bestFit="1" customWidth="1"/>
    <col min="55" max="55" width="30.5703125" style="28" bestFit="1" customWidth="1"/>
    <col min="56" max="56" width="9.140625" style="28" bestFit="1" customWidth="1"/>
    <col min="57" max="57" width="11" style="28" bestFit="1" customWidth="1"/>
    <col min="58" max="58" width="8.5703125" style="28" bestFit="1" customWidth="1"/>
    <col min="59" max="59" width="11.5703125" style="28" bestFit="1" customWidth="1"/>
    <col min="60" max="60" width="12.85546875" style="28" bestFit="1" customWidth="1"/>
    <col min="61" max="61" width="11" style="28" bestFit="1" customWidth="1"/>
    <col min="62" max="62" width="8.5703125" style="28" bestFit="1" customWidth="1"/>
    <col min="63" max="63" width="14" style="28" bestFit="1" customWidth="1"/>
    <col min="64" max="64" width="15" style="28" bestFit="1" customWidth="1"/>
    <col min="65" max="67" width="10" style="28" bestFit="1" customWidth="1"/>
    <col min="68" max="68" width="11.5703125" style="28" bestFit="1" customWidth="1"/>
    <col min="69" max="69" width="16.85546875" style="28" bestFit="1" customWidth="1"/>
    <col min="70" max="72" width="10" style="28" bestFit="1" customWidth="1"/>
    <col min="73" max="73" width="11.5703125" style="28" bestFit="1" customWidth="1"/>
    <col min="74" max="74" width="14.85546875" style="28" bestFit="1" customWidth="1"/>
    <col min="75" max="75" width="12.140625" style="28" bestFit="1" customWidth="1"/>
    <col min="76" max="76" width="15" style="28" bestFit="1" customWidth="1"/>
    <col min="77" max="77" width="12.5703125" style="28" bestFit="1" customWidth="1"/>
    <col min="78" max="78" width="27.85546875" style="28" bestFit="1" customWidth="1"/>
    <col min="79" max="82" width="15.5703125" style="28" bestFit="1" customWidth="1"/>
    <col min="83" max="83" width="15.5703125" style="28" customWidth="1"/>
    <col min="84" max="89" width="15.5703125" style="28" bestFit="1" customWidth="1"/>
    <col min="90" max="91" width="15.85546875" style="28" bestFit="1" customWidth="1"/>
    <col min="92" max="92" width="15.85546875" style="28" customWidth="1"/>
    <col min="93" max="93" width="15.5703125" style="28" bestFit="1" customWidth="1"/>
    <col min="94" max="94" width="86.5703125" style="28" bestFit="1" customWidth="1"/>
    <col min="95" max="95" width="14.140625" style="28" bestFit="1" customWidth="1"/>
    <col min="96" max="96" width="235.42578125" style="28" bestFit="1" customWidth="1"/>
    <col min="97" max="97" width="10.5703125" style="28"/>
    <col min="98" max="16384" width="10.5703125" style="27"/>
  </cols>
  <sheetData>
    <row r="1" spans="1:97" s="2" customFormat="1" ht="13.5" thickBot="1">
      <c r="A1" s="1" t="s">
        <v>132</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row>
    <row r="2" spans="1:97" s="2" customFormat="1">
      <c r="A2" s="34" t="s">
        <v>133</v>
      </c>
      <c r="B2" s="34" t="s">
        <v>134</v>
      </c>
      <c r="C2" s="34" t="s">
        <v>1</v>
      </c>
      <c r="D2" s="36" t="s">
        <v>135</v>
      </c>
      <c r="E2" s="34" t="s">
        <v>136</v>
      </c>
      <c r="F2" s="34" t="s">
        <v>137</v>
      </c>
      <c r="G2" s="34" t="s">
        <v>138</v>
      </c>
      <c r="H2" s="34" t="s">
        <v>139</v>
      </c>
      <c r="I2" s="34" t="s">
        <v>140</v>
      </c>
      <c r="J2" s="34" t="s">
        <v>141</v>
      </c>
      <c r="K2" s="34" t="s">
        <v>142</v>
      </c>
      <c r="L2" s="34" t="s">
        <v>143</v>
      </c>
      <c r="M2" s="34" t="s">
        <v>144</v>
      </c>
      <c r="N2" s="34" t="s">
        <v>145</v>
      </c>
      <c r="O2" s="3" t="s">
        <v>146</v>
      </c>
      <c r="P2" s="3" t="s">
        <v>147</v>
      </c>
      <c r="Q2" s="3" t="s">
        <v>148</v>
      </c>
      <c r="R2" s="3" t="s">
        <v>149</v>
      </c>
      <c r="S2" s="3" t="s">
        <v>150</v>
      </c>
      <c r="T2" s="3" t="s">
        <v>151</v>
      </c>
      <c r="U2" s="3" t="s">
        <v>152</v>
      </c>
      <c r="V2" s="3" t="s">
        <v>153</v>
      </c>
      <c r="W2" s="3" t="s">
        <v>154</v>
      </c>
      <c r="X2" s="3" t="s">
        <v>155</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c r="AO2" s="3" t="s">
        <v>171</v>
      </c>
      <c r="AP2" s="3" t="s">
        <v>172</v>
      </c>
      <c r="AQ2" s="3" t="s">
        <v>173</v>
      </c>
      <c r="AR2" s="3" t="s">
        <v>174</v>
      </c>
      <c r="AS2" s="3" t="s">
        <v>175</v>
      </c>
      <c r="AT2" s="3" t="s">
        <v>176</v>
      </c>
      <c r="AU2" s="3" t="s">
        <v>177</v>
      </c>
      <c r="AV2" s="3" t="s">
        <v>178</v>
      </c>
      <c r="AW2" s="3" t="s">
        <v>179</v>
      </c>
      <c r="AX2" s="3" t="s">
        <v>180</v>
      </c>
      <c r="AY2" s="3" t="s">
        <v>181</v>
      </c>
      <c r="AZ2" s="3" t="s">
        <v>182</v>
      </c>
      <c r="BA2" s="3" t="s">
        <v>183</v>
      </c>
      <c r="BB2" s="3" t="s">
        <v>184</v>
      </c>
      <c r="BC2" s="3" t="s">
        <v>185</v>
      </c>
      <c r="BD2" s="3" t="s">
        <v>186</v>
      </c>
      <c r="BE2" s="3" t="s">
        <v>187</v>
      </c>
      <c r="BF2" s="3" t="s">
        <v>188</v>
      </c>
      <c r="BG2" s="3" t="s">
        <v>189</v>
      </c>
      <c r="BH2" s="3" t="s">
        <v>190</v>
      </c>
      <c r="BI2" s="3" t="s">
        <v>191</v>
      </c>
      <c r="BJ2" s="3" t="s">
        <v>192</v>
      </c>
      <c r="BK2" s="3" t="s">
        <v>193</v>
      </c>
      <c r="BL2" s="3" t="s">
        <v>194</v>
      </c>
      <c r="BM2" s="3" t="s">
        <v>195</v>
      </c>
      <c r="BN2" s="3" t="s">
        <v>196</v>
      </c>
      <c r="BO2" s="3" t="s">
        <v>197</v>
      </c>
      <c r="BP2" s="3" t="s">
        <v>198</v>
      </c>
      <c r="BQ2" s="3" t="s">
        <v>199</v>
      </c>
      <c r="BR2" s="3" t="s">
        <v>200</v>
      </c>
      <c r="BS2" s="3" t="s">
        <v>201</v>
      </c>
      <c r="BT2" s="3" t="s">
        <v>202</v>
      </c>
      <c r="BU2" s="3" t="s">
        <v>203</v>
      </c>
      <c r="BV2" s="3" t="s">
        <v>204</v>
      </c>
      <c r="BW2" s="3" t="s">
        <v>205</v>
      </c>
      <c r="BX2" s="3" t="s">
        <v>206</v>
      </c>
      <c r="BY2" s="3" t="s">
        <v>207</v>
      </c>
      <c r="BZ2" s="3" t="s">
        <v>208</v>
      </c>
      <c r="CA2" s="3" t="s">
        <v>209</v>
      </c>
      <c r="CB2" s="3" t="s">
        <v>210</v>
      </c>
      <c r="CC2" s="3" t="s">
        <v>211</v>
      </c>
      <c r="CD2" s="3" t="s">
        <v>212</v>
      </c>
      <c r="CE2" s="3" t="s">
        <v>213</v>
      </c>
      <c r="CF2" s="3" t="s">
        <v>214</v>
      </c>
      <c r="CG2" s="3" t="s">
        <v>215</v>
      </c>
      <c r="CH2" s="3" t="s">
        <v>216</v>
      </c>
      <c r="CI2" s="3" t="s">
        <v>217</v>
      </c>
      <c r="CJ2" s="3" t="s">
        <v>218</v>
      </c>
      <c r="CK2" s="3" t="s">
        <v>219</v>
      </c>
      <c r="CL2" s="3" t="s">
        <v>220</v>
      </c>
      <c r="CM2" s="3" t="s">
        <v>221</v>
      </c>
      <c r="CN2" s="3" t="s">
        <v>222</v>
      </c>
      <c r="CO2" s="3" t="s">
        <v>223</v>
      </c>
      <c r="CP2" s="40" t="s">
        <v>224</v>
      </c>
      <c r="CQ2" s="40" t="s">
        <v>225</v>
      </c>
      <c r="CR2" s="40" t="s">
        <v>226</v>
      </c>
      <c r="CS2" s="38" t="s">
        <v>227</v>
      </c>
    </row>
    <row r="3" spans="1:97" s="2" customFormat="1">
      <c r="A3" s="35"/>
      <c r="B3" s="35"/>
      <c r="C3" s="35"/>
      <c r="D3" s="37"/>
      <c r="E3" s="35"/>
      <c r="F3" s="35"/>
      <c r="G3" s="35"/>
      <c r="H3" s="35"/>
      <c r="I3" s="35"/>
      <c r="J3" s="35"/>
      <c r="K3" s="35"/>
      <c r="L3" s="35"/>
      <c r="M3" s="35"/>
      <c r="N3" s="35"/>
      <c r="O3" s="4" t="s">
        <v>228</v>
      </c>
      <c r="P3" s="4"/>
      <c r="Q3" s="4" t="s">
        <v>93</v>
      </c>
      <c r="R3" s="4" t="s">
        <v>229</v>
      </c>
      <c r="S3" s="4" t="s">
        <v>94</v>
      </c>
      <c r="T3" s="4" t="s">
        <v>230</v>
      </c>
      <c r="U3" s="4" t="s">
        <v>231</v>
      </c>
      <c r="V3" s="4" t="s">
        <v>232</v>
      </c>
      <c r="W3" s="4" t="s">
        <v>233</v>
      </c>
      <c r="X3" s="4" t="s">
        <v>234</v>
      </c>
      <c r="Y3" s="4" t="s">
        <v>235</v>
      </c>
      <c r="Z3" s="4" t="s">
        <v>236</v>
      </c>
      <c r="AA3" s="4" t="s">
        <v>236</v>
      </c>
      <c r="AB3" s="4" t="s">
        <v>236</v>
      </c>
      <c r="AC3" s="4" t="s">
        <v>237</v>
      </c>
      <c r="AD3" s="4" t="s">
        <v>237</v>
      </c>
      <c r="AE3" s="4" t="s">
        <v>238</v>
      </c>
      <c r="AF3" s="4" t="s">
        <v>239</v>
      </c>
      <c r="AG3" s="4" t="s">
        <v>239</v>
      </c>
      <c r="AH3" s="4" t="s">
        <v>239</v>
      </c>
      <c r="AI3" s="4" t="s">
        <v>240</v>
      </c>
      <c r="AJ3" s="4" t="s">
        <v>240</v>
      </c>
      <c r="AK3" s="4" t="s">
        <v>240</v>
      </c>
      <c r="AL3" s="4" t="s">
        <v>241</v>
      </c>
      <c r="AM3" s="4" t="s">
        <v>241</v>
      </c>
      <c r="AN3" s="4" t="s">
        <v>241</v>
      </c>
      <c r="AO3" s="4" t="s">
        <v>241</v>
      </c>
      <c r="AP3" s="4" t="s">
        <v>241</v>
      </c>
      <c r="AQ3" s="4" t="s">
        <v>241</v>
      </c>
      <c r="AR3" s="4" t="s">
        <v>241</v>
      </c>
      <c r="AS3" s="4" t="s">
        <v>241</v>
      </c>
      <c r="AT3" s="4" t="s">
        <v>242</v>
      </c>
      <c r="AU3" s="4" t="s">
        <v>242</v>
      </c>
      <c r="AV3" s="4" t="s">
        <v>242</v>
      </c>
      <c r="AW3" s="4" t="s">
        <v>243</v>
      </c>
      <c r="AX3" s="4" t="s">
        <v>109</v>
      </c>
      <c r="AY3" s="4" t="s">
        <v>94</v>
      </c>
      <c r="AZ3" s="4" t="s">
        <v>244</v>
      </c>
      <c r="BA3" s="4" t="s">
        <v>230</v>
      </c>
      <c r="BB3" s="4" t="s">
        <v>245</v>
      </c>
      <c r="BC3" s="4" t="s">
        <v>245</v>
      </c>
      <c r="BD3" s="4" t="s">
        <v>230</v>
      </c>
      <c r="BE3" s="4" t="s">
        <v>230</v>
      </c>
      <c r="BF3" s="4" t="s">
        <v>230</v>
      </c>
      <c r="BG3" s="4" t="s">
        <v>230</v>
      </c>
      <c r="BH3" s="4" t="s">
        <v>230</v>
      </c>
      <c r="BI3" s="4" t="s">
        <v>230</v>
      </c>
      <c r="BJ3" s="4" t="s">
        <v>230</v>
      </c>
      <c r="BK3" s="4" t="s">
        <v>230</v>
      </c>
      <c r="BL3" s="4" t="s">
        <v>230</v>
      </c>
      <c r="BM3" s="4" t="s">
        <v>246</v>
      </c>
      <c r="BN3" s="4" t="s">
        <v>246</v>
      </c>
      <c r="BO3" s="4" t="s">
        <v>246</v>
      </c>
      <c r="BP3" s="4" t="s">
        <v>246</v>
      </c>
      <c r="BQ3" s="4"/>
      <c r="BR3" s="4" t="s">
        <v>246</v>
      </c>
      <c r="BS3" s="4" t="s">
        <v>246</v>
      </c>
      <c r="BT3" s="4" t="s">
        <v>246</v>
      </c>
      <c r="BU3" s="4" t="s">
        <v>246</v>
      </c>
      <c r="BV3" s="4" t="s">
        <v>246</v>
      </c>
      <c r="BW3" s="4" t="s">
        <v>246</v>
      </c>
      <c r="BX3" s="4" t="s">
        <v>246</v>
      </c>
      <c r="BY3" s="4" t="s">
        <v>246</v>
      </c>
      <c r="BZ3" s="4" t="s">
        <v>246</v>
      </c>
      <c r="CA3" s="4" t="s">
        <v>247</v>
      </c>
      <c r="CB3" s="4" t="s">
        <v>247</v>
      </c>
      <c r="CC3" s="4" t="s">
        <v>247</v>
      </c>
      <c r="CD3" s="4" t="s">
        <v>247</v>
      </c>
      <c r="CE3" s="4"/>
      <c r="CF3" s="4" t="s">
        <v>247</v>
      </c>
      <c r="CG3" s="4" t="s">
        <v>247</v>
      </c>
      <c r="CH3" s="4" t="s">
        <v>247</v>
      </c>
      <c r="CI3" s="4" t="s">
        <v>247</v>
      </c>
      <c r="CJ3" s="4" t="s">
        <v>247</v>
      </c>
      <c r="CK3" s="4" t="s">
        <v>247</v>
      </c>
      <c r="CL3" s="4" t="s">
        <v>247</v>
      </c>
      <c r="CM3" s="4" t="s">
        <v>247</v>
      </c>
      <c r="CN3" s="4" t="s">
        <v>247</v>
      </c>
      <c r="CO3" s="4" t="s">
        <v>247</v>
      </c>
      <c r="CP3" s="41"/>
      <c r="CQ3" s="41"/>
      <c r="CR3" s="41"/>
      <c r="CS3" s="39"/>
    </row>
    <row r="4" spans="1:97" s="2" customFormat="1" ht="12.75">
      <c r="A4" s="2">
        <v>1</v>
      </c>
      <c r="B4" s="5" t="s">
        <v>248</v>
      </c>
      <c r="C4" s="5" t="s">
        <v>249</v>
      </c>
      <c r="D4" s="6" t="s">
        <v>250</v>
      </c>
      <c r="E4" s="5" t="s">
        <v>251</v>
      </c>
      <c r="F4" s="5" t="s">
        <v>252</v>
      </c>
      <c r="G4" s="5">
        <v>2011</v>
      </c>
      <c r="H4" s="5">
        <v>2011</v>
      </c>
      <c r="I4" s="5">
        <v>1</v>
      </c>
      <c r="J4" s="5">
        <v>1</v>
      </c>
      <c r="K4" s="5">
        <v>1</v>
      </c>
      <c r="L4" s="5">
        <v>1</v>
      </c>
      <c r="M4" s="5">
        <v>0</v>
      </c>
      <c r="N4" s="5">
        <v>0</v>
      </c>
      <c r="O4" s="6">
        <v>19.3</v>
      </c>
      <c r="P4" s="6">
        <f t="shared" ref="P4:P15" si="0">(O4-5)*12</f>
        <v>171.60000000000002</v>
      </c>
      <c r="Q4" s="6">
        <v>1700</v>
      </c>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5"/>
      <c r="AV4" s="6"/>
      <c r="AW4" s="6">
        <v>3430</v>
      </c>
      <c r="AX4" s="6"/>
      <c r="AY4" s="6"/>
      <c r="AZ4" s="6"/>
      <c r="BA4" s="6"/>
      <c r="BB4" s="6"/>
      <c r="BC4" s="6"/>
      <c r="BD4" s="6"/>
      <c r="BE4" s="6"/>
      <c r="BF4" s="6"/>
      <c r="BG4" s="6"/>
      <c r="BH4" s="6"/>
      <c r="BI4" s="6"/>
      <c r="BJ4" s="6"/>
      <c r="BK4" s="6"/>
      <c r="BL4" s="6"/>
      <c r="BM4" s="6"/>
      <c r="BN4" s="6">
        <f>47.35*0.145</f>
        <v>6.8657499999999994</v>
      </c>
      <c r="BO4" s="6">
        <f>47.35*0.6</f>
        <v>28.41</v>
      </c>
      <c r="BP4" s="6">
        <f>SUM(BM4:BO4)</f>
        <v>35.275750000000002</v>
      </c>
      <c r="BQ4" s="6">
        <f t="shared" ref="BQ4:BQ11" si="1">BU4/BP4</f>
        <v>0.34228187919463082</v>
      </c>
      <c r="BR4" s="6">
        <f>47.35*0.125</f>
        <v>5.9187500000000002</v>
      </c>
      <c r="BS4" s="6">
        <f>47.35*0.13</f>
        <v>6.1555</v>
      </c>
      <c r="BT4" s="6"/>
      <c r="BU4" s="6">
        <f>SUM(BR4:BT4)</f>
        <v>12.074249999999999</v>
      </c>
      <c r="BV4" s="6">
        <f t="shared" ref="BV4:BV11" si="2">BU4+BP4</f>
        <v>47.35</v>
      </c>
      <c r="BW4" s="6"/>
      <c r="BX4" s="6">
        <v>96.45</v>
      </c>
      <c r="BY4" s="6"/>
      <c r="BZ4" s="6">
        <f>BV4+BX4</f>
        <v>143.80000000000001</v>
      </c>
      <c r="CA4" s="6"/>
      <c r="CB4" s="6"/>
      <c r="CC4" s="6"/>
      <c r="CD4" s="6">
        <v>1.63</v>
      </c>
      <c r="CE4" s="6"/>
      <c r="CF4" s="6"/>
      <c r="CG4" s="6"/>
      <c r="CH4" s="6"/>
      <c r="CI4" s="6"/>
      <c r="CJ4" s="6"/>
      <c r="CK4" s="6"/>
      <c r="CL4" s="6"/>
      <c r="CM4" s="6"/>
      <c r="CN4" s="6"/>
      <c r="CO4" s="6"/>
      <c r="CP4" s="5" t="s">
        <v>253</v>
      </c>
      <c r="CQ4" s="5" t="s">
        <v>254</v>
      </c>
      <c r="CR4" s="7" t="s">
        <v>255</v>
      </c>
      <c r="CS4" s="8" t="s">
        <v>256</v>
      </c>
    </row>
    <row r="5" spans="1:97" s="2" customFormat="1" ht="12.75">
      <c r="A5" s="2">
        <v>2</v>
      </c>
      <c r="B5" s="2" t="s">
        <v>248</v>
      </c>
      <c r="C5" s="2" t="s">
        <v>257</v>
      </c>
      <c r="D5" s="4" t="s">
        <v>250</v>
      </c>
      <c r="E5" s="2" t="s">
        <v>251</v>
      </c>
      <c r="F5" s="2" t="s">
        <v>258</v>
      </c>
      <c r="G5" s="2">
        <v>2011</v>
      </c>
      <c r="H5" s="2">
        <v>2011</v>
      </c>
      <c r="I5" s="2">
        <v>1</v>
      </c>
      <c r="J5" s="2">
        <v>1</v>
      </c>
      <c r="K5" s="2">
        <v>1</v>
      </c>
      <c r="L5" s="2">
        <v>1</v>
      </c>
      <c r="M5" s="2">
        <v>0</v>
      </c>
      <c r="N5" s="2">
        <v>0</v>
      </c>
      <c r="O5" s="4">
        <v>19.3</v>
      </c>
      <c r="P5" s="4">
        <f t="shared" si="0"/>
        <v>171.60000000000002</v>
      </c>
      <c r="Q5" s="4">
        <v>1700</v>
      </c>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V5" s="4"/>
      <c r="AW5" s="4">
        <v>3800</v>
      </c>
      <c r="AX5" s="4"/>
      <c r="AY5" s="4"/>
      <c r="AZ5" s="4"/>
      <c r="BA5" s="4"/>
      <c r="BB5" s="4"/>
      <c r="BC5" s="4"/>
      <c r="BD5" s="4"/>
      <c r="BE5" s="4"/>
      <c r="BF5" s="4"/>
      <c r="BG5" s="4"/>
      <c r="BH5" s="4"/>
      <c r="BI5" s="4"/>
      <c r="BJ5" s="4"/>
      <c r="BK5" s="4"/>
      <c r="BL5" s="4"/>
      <c r="BM5" s="4"/>
      <c r="BN5" s="4">
        <f>51.95*0.145</f>
        <v>7.5327500000000001</v>
      </c>
      <c r="BO5" s="4">
        <f>51.95*0.6</f>
        <v>31.17</v>
      </c>
      <c r="BP5" s="4">
        <f>SUM(BM5:BO5)</f>
        <v>38.702750000000002</v>
      </c>
      <c r="BQ5" s="4">
        <f t="shared" si="1"/>
        <v>0.34228187919463088</v>
      </c>
      <c r="BR5" s="4">
        <f>51.95*0.125</f>
        <v>6.4937500000000004</v>
      </c>
      <c r="BS5" s="4">
        <f>51.95*0.13</f>
        <v>6.7535000000000007</v>
      </c>
      <c r="BT5" s="4"/>
      <c r="BU5" s="4">
        <f>SUM(BR5:BT5)</f>
        <v>13.247250000000001</v>
      </c>
      <c r="BV5" s="4">
        <f t="shared" si="2"/>
        <v>51.95</v>
      </c>
      <c r="BW5" s="4"/>
      <c r="BX5" s="4">
        <v>107.54</v>
      </c>
      <c r="BY5" s="4"/>
      <c r="BZ5" s="4">
        <f>BV5+BX5</f>
        <v>159.49</v>
      </c>
      <c r="CA5" s="4"/>
      <c r="CB5" s="4"/>
      <c r="CC5" s="4"/>
      <c r="CD5" s="4">
        <v>1.58</v>
      </c>
      <c r="CE5" s="4"/>
      <c r="CF5" s="4"/>
      <c r="CG5" s="4"/>
      <c r="CH5" s="4"/>
      <c r="CI5" s="4"/>
      <c r="CJ5" s="4"/>
      <c r="CK5" s="4"/>
      <c r="CL5" s="4"/>
      <c r="CM5" s="4"/>
      <c r="CN5" s="4"/>
      <c r="CO5" s="4"/>
      <c r="CP5" s="2" t="s">
        <v>259</v>
      </c>
      <c r="CQ5" s="2" t="s">
        <v>254</v>
      </c>
      <c r="CR5" s="7" t="s">
        <v>255</v>
      </c>
      <c r="CS5" s="9" t="s">
        <v>256</v>
      </c>
    </row>
    <row r="6" spans="1:97" s="2" customFormat="1" ht="12.75">
      <c r="A6" s="2">
        <v>3</v>
      </c>
      <c r="B6" s="2" t="s">
        <v>248</v>
      </c>
      <c r="C6" s="2" t="s">
        <v>260</v>
      </c>
      <c r="D6" s="4" t="s">
        <v>261</v>
      </c>
      <c r="E6" s="2" t="s">
        <v>262</v>
      </c>
      <c r="F6" s="2" t="s">
        <v>263</v>
      </c>
      <c r="G6" s="2">
        <v>1993</v>
      </c>
      <c r="H6" s="2">
        <v>2000</v>
      </c>
      <c r="I6" s="2">
        <v>0</v>
      </c>
      <c r="J6" s="2">
        <v>0</v>
      </c>
      <c r="K6" s="2">
        <v>0</v>
      </c>
      <c r="L6" s="2">
        <v>0</v>
      </c>
      <c r="M6" s="2">
        <v>0</v>
      </c>
      <c r="N6" s="2">
        <v>0</v>
      </c>
      <c r="O6" s="4">
        <v>12.8</v>
      </c>
      <c r="P6" s="4">
        <f t="shared" si="0"/>
        <v>93.600000000000009</v>
      </c>
      <c r="Q6" s="4">
        <v>2678.8</v>
      </c>
      <c r="R6" s="4"/>
      <c r="S6" s="4">
        <v>1100</v>
      </c>
      <c r="T6" s="4">
        <v>86.6</v>
      </c>
      <c r="U6" s="4">
        <v>1434.3</v>
      </c>
      <c r="V6" s="4">
        <v>0.91</v>
      </c>
      <c r="W6" s="4"/>
      <c r="X6" s="4"/>
      <c r="Y6" s="4">
        <v>5</v>
      </c>
      <c r="Z6" s="4"/>
      <c r="AA6" s="4"/>
      <c r="AB6" s="4"/>
      <c r="AC6" s="4"/>
      <c r="AD6" s="4"/>
      <c r="AE6" s="4"/>
      <c r="AF6" s="4"/>
      <c r="AG6" s="4"/>
      <c r="AH6" s="4"/>
      <c r="AI6" s="4"/>
      <c r="AJ6" s="4"/>
      <c r="AK6" s="4"/>
      <c r="AL6" s="4"/>
      <c r="AM6" s="4"/>
      <c r="AN6" s="4"/>
      <c r="AO6" s="4"/>
      <c r="AP6" s="4"/>
      <c r="AQ6" s="4">
        <f>(448.91/1000/1000)*10000</f>
        <v>4.4891000000000005</v>
      </c>
      <c r="AR6" s="4"/>
      <c r="AS6" s="4"/>
      <c r="AT6" s="4">
        <f>(95.75/1000/1000)*10000</f>
        <v>0.95750000000000002</v>
      </c>
      <c r="AU6" s="4">
        <f>(68.43/1000/1000)*10000</f>
        <v>0.68430000000000002</v>
      </c>
      <c r="AV6" s="4">
        <f>(27.32/1000/1000)*10000</f>
        <v>0.2732</v>
      </c>
      <c r="AW6" s="4"/>
      <c r="AX6" s="4"/>
      <c r="AY6" s="4"/>
      <c r="AZ6" s="4"/>
      <c r="BA6" s="4"/>
      <c r="BB6" s="4"/>
      <c r="BC6" s="4"/>
      <c r="BD6" s="4"/>
      <c r="BE6" s="4"/>
      <c r="BF6" s="4"/>
      <c r="BG6" s="4"/>
      <c r="BH6" s="4"/>
      <c r="BI6" s="4"/>
      <c r="BJ6" s="4"/>
      <c r="BK6" s="4"/>
      <c r="BL6" s="4"/>
      <c r="BM6" s="4"/>
      <c r="BN6" s="4"/>
      <c r="BO6" s="4"/>
      <c r="BP6" s="4">
        <f>71.6*0.5</f>
        <v>35.799999999999997</v>
      </c>
      <c r="BQ6" s="4">
        <f t="shared" si="1"/>
        <v>0.85474860335195546</v>
      </c>
      <c r="BR6" s="4"/>
      <c r="BS6" s="4"/>
      <c r="BT6" s="4"/>
      <c r="BU6" s="4">
        <f>61.2*0.5</f>
        <v>30.6</v>
      </c>
      <c r="BV6" s="4">
        <f t="shared" si="2"/>
        <v>66.400000000000006</v>
      </c>
      <c r="BW6" s="4"/>
      <c r="BX6" s="4"/>
      <c r="BY6" s="4"/>
      <c r="BZ6" s="4"/>
      <c r="CA6" s="4"/>
      <c r="CB6" s="4"/>
      <c r="CC6" s="4">
        <f>16.1281*0.5</f>
        <v>8.0640499999999999</v>
      </c>
      <c r="CD6" s="4">
        <f>(1.2989+0.2015+0.296)*0.5</f>
        <v>0.8982</v>
      </c>
      <c r="CE6" s="4"/>
      <c r="CF6" s="4">
        <f>SUM(CA6:CD6)</f>
        <v>8.9622499999999992</v>
      </c>
      <c r="CG6" s="4"/>
      <c r="CH6" s="4"/>
      <c r="CI6" s="4"/>
      <c r="CJ6" s="4"/>
      <c r="CK6" s="4"/>
      <c r="CL6" s="4"/>
      <c r="CM6" s="4"/>
      <c r="CN6" s="4"/>
      <c r="CO6" s="4"/>
      <c r="CP6" s="2" t="s">
        <v>264</v>
      </c>
      <c r="CQ6" s="2" t="s">
        <v>254</v>
      </c>
      <c r="CR6" s="10" t="s">
        <v>265</v>
      </c>
      <c r="CS6" s="9" t="s">
        <v>256</v>
      </c>
    </row>
    <row r="7" spans="1:97" s="2" customFormat="1" ht="12.75">
      <c r="A7" s="2">
        <v>4</v>
      </c>
      <c r="B7" s="2" t="s">
        <v>248</v>
      </c>
      <c r="C7" s="2" t="s">
        <v>266</v>
      </c>
      <c r="D7" s="4" t="s">
        <v>250</v>
      </c>
      <c r="E7" s="2" t="s">
        <v>251</v>
      </c>
      <c r="F7" s="2" t="s">
        <v>267</v>
      </c>
      <c r="G7" s="2">
        <v>2011</v>
      </c>
      <c r="H7" s="2">
        <v>2011</v>
      </c>
      <c r="I7" s="2">
        <v>1</v>
      </c>
      <c r="J7" s="2">
        <v>1</v>
      </c>
      <c r="K7" s="2">
        <v>1</v>
      </c>
      <c r="L7" s="2">
        <v>1</v>
      </c>
      <c r="M7" s="2">
        <v>0</v>
      </c>
      <c r="N7" s="2">
        <v>0</v>
      </c>
      <c r="O7" s="4">
        <v>19.3</v>
      </c>
      <c r="P7" s="4">
        <f t="shared" si="0"/>
        <v>171.60000000000002</v>
      </c>
      <c r="Q7" s="4">
        <v>1700</v>
      </c>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V7" s="4"/>
      <c r="AW7" s="4">
        <v>3330</v>
      </c>
      <c r="AX7" s="4"/>
      <c r="AY7" s="4"/>
      <c r="AZ7" s="4"/>
      <c r="BA7" s="4"/>
      <c r="BB7" s="4"/>
      <c r="BC7" s="4"/>
      <c r="BD7" s="4"/>
      <c r="BE7" s="4"/>
      <c r="BF7" s="4"/>
      <c r="BG7" s="4"/>
      <c r="BH7" s="4"/>
      <c r="BI7" s="4"/>
      <c r="BJ7" s="4"/>
      <c r="BK7" s="4"/>
      <c r="BL7" s="4"/>
      <c r="BM7" s="4"/>
      <c r="BN7" s="4">
        <f>58.7*0.145</f>
        <v>8.5114999999999998</v>
      </c>
      <c r="BO7" s="4">
        <f>58.7*0.6</f>
        <v>35.22</v>
      </c>
      <c r="BP7" s="4">
        <f>SUM(BM7:BO7)</f>
        <v>43.731499999999997</v>
      </c>
      <c r="BQ7" s="4">
        <f t="shared" si="1"/>
        <v>0.34228187919463093</v>
      </c>
      <c r="BR7" s="4">
        <f>58.7*0.125</f>
        <v>7.3375000000000004</v>
      </c>
      <c r="BS7" s="4">
        <f>58.7*0.13</f>
        <v>7.6310000000000002</v>
      </c>
      <c r="BT7" s="4"/>
      <c r="BU7" s="4">
        <f>SUM(BR7:BT7)</f>
        <v>14.968500000000001</v>
      </c>
      <c r="BV7" s="4">
        <f t="shared" si="2"/>
        <v>58.699999999999996</v>
      </c>
      <c r="BW7" s="4"/>
      <c r="BX7" s="4">
        <v>79.14</v>
      </c>
      <c r="BY7" s="4"/>
      <c r="BZ7" s="4">
        <f>BV7+BX7</f>
        <v>137.84</v>
      </c>
      <c r="CA7" s="4"/>
      <c r="CB7" s="4"/>
      <c r="CC7" s="4"/>
      <c r="CD7" s="4">
        <v>1.71</v>
      </c>
      <c r="CE7" s="4"/>
      <c r="CF7" s="4"/>
      <c r="CG7" s="4"/>
      <c r="CH7" s="4"/>
      <c r="CI7" s="4"/>
      <c r="CJ7" s="4"/>
      <c r="CK7" s="4"/>
      <c r="CL7" s="4"/>
      <c r="CM7" s="4"/>
      <c r="CN7" s="4"/>
      <c r="CO7" s="4"/>
      <c r="CP7" s="2" t="s">
        <v>253</v>
      </c>
      <c r="CQ7" s="2" t="s">
        <v>254</v>
      </c>
      <c r="CR7" s="10" t="s">
        <v>268</v>
      </c>
      <c r="CS7" s="9" t="s">
        <v>256</v>
      </c>
    </row>
    <row r="8" spans="1:97" s="2" customFormat="1" ht="12.75">
      <c r="A8" s="2">
        <v>5</v>
      </c>
      <c r="B8" s="2" t="s">
        <v>248</v>
      </c>
      <c r="C8" s="2" t="s">
        <v>269</v>
      </c>
      <c r="D8" s="4" t="s">
        <v>261</v>
      </c>
      <c r="E8" s="2" t="s">
        <v>270</v>
      </c>
      <c r="F8" s="2" t="s">
        <v>271</v>
      </c>
      <c r="G8" s="2">
        <v>1995</v>
      </c>
      <c r="H8" s="2">
        <v>2008</v>
      </c>
      <c r="I8" s="2">
        <v>1</v>
      </c>
      <c r="J8" s="2">
        <v>1</v>
      </c>
      <c r="K8" s="2">
        <v>1</v>
      </c>
      <c r="L8" s="2">
        <v>1</v>
      </c>
      <c r="M8" s="2">
        <v>0</v>
      </c>
      <c r="N8" s="2">
        <v>0</v>
      </c>
      <c r="O8" s="4">
        <v>23</v>
      </c>
      <c r="P8" s="4">
        <f t="shared" si="0"/>
        <v>216</v>
      </c>
      <c r="Q8" s="4">
        <v>2000</v>
      </c>
      <c r="R8" s="4"/>
      <c r="S8" s="4">
        <v>800</v>
      </c>
      <c r="T8" s="4"/>
      <c r="U8" s="4"/>
      <c r="V8" s="4"/>
      <c r="W8" s="4"/>
      <c r="X8" s="4"/>
      <c r="Y8" s="4"/>
      <c r="Z8" s="4"/>
      <c r="AA8" s="4"/>
      <c r="AB8" s="4"/>
      <c r="AC8" s="4"/>
      <c r="AD8" s="4"/>
      <c r="AE8" s="4"/>
      <c r="AF8" s="4"/>
      <c r="AG8" s="4"/>
      <c r="AH8" s="4"/>
      <c r="AI8" s="4"/>
      <c r="AJ8" s="4"/>
      <c r="AK8" s="4"/>
      <c r="AL8" s="4"/>
      <c r="AM8" s="4"/>
      <c r="AN8" s="4"/>
      <c r="AO8" s="4"/>
      <c r="AP8" s="4"/>
      <c r="AQ8" s="4"/>
      <c r="AR8" s="4"/>
      <c r="AS8" s="4"/>
      <c r="AT8" s="4"/>
      <c r="AW8" s="4">
        <v>2566.67</v>
      </c>
      <c r="AX8" s="4">
        <f>(10.5+13.5)/2</f>
        <v>12</v>
      </c>
      <c r="AY8" s="4"/>
      <c r="AZ8" s="4">
        <f>(AX8/2)^2*PI()*AW8/10000</f>
        <v>29.028353818281531</v>
      </c>
      <c r="BA8" s="4"/>
      <c r="BB8" s="4"/>
      <c r="BC8" s="4"/>
      <c r="BD8" s="4"/>
      <c r="BE8" s="4"/>
      <c r="BF8" s="4"/>
      <c r="BG8" s="4"/>
      <c r="BH8" s="4"/>
      <c r="BI8" s="4"/>
      <c r="BJ8" s="4"/>
      <c r="BK8" s="4"/>
      <c r="BL8" s="4"/>
      <c r="BM8" s="4">
        <f>4.825*0.5</f>
        <v>2.4125000000000001</v>
      </c>
      <c r="BN8" s="4">
        <f>9.3586*0.5</f>
        <v>4.6792999999999996</v>
      </c>
      <c r="BO8" s="4">
        <f>58.5427*0.5</f>
        <v>29.271350000000002</v>
      </c>
      <c r="BP8" s="4">
        <f>SUM(BM8:BO8)</f>
        <v>36.363150000000005</v>
      </c>
      <c r="BQ8" s="4">
        <f t="shared" si="1"/>
        <v>0.25643267978709211</v>
      </c>
      <c r="BR8" s="4">
        <f>9.7892*0.5</f>
        <v>4.8945999999999996</v>
      </c>
      <c r="BS8" s="4"/>
      <c r="BT8" s="4">
        <f>8.8602*0.5</f>
        <v>4.4301000000000004</v>
      </c>
      <c r="BU8" s="4">
        <f>SUM(BR8:BT8)</f>
        <v>9.3247</v>
      </c>
      <c r="BV8" s="4">
        <f t="shared" si="2"/>
        <v>45.687850000000005</v>
      </c>
      <c r="BW8" s="4"/>
      <c r="BX8" s="4"/>
      <c r="BY8" s="4"/>
      <c r="BZ8" s="4"/>
      <c r="CA8" s="4"/>
      <c r="CB8" s="4"/>
      <c r="CC8" s="4"/>
      <c r="CD8" s="4"/>
      <c r="CE8" s="4"/>
      <c r="CF8" s="4"/>
      <c r="CG8" s="4"/>
      <c r="CH8" s="4"/>
      <c r="CI8" s="4"/>
      <c r="CJ8" s="4"/>
      <c r="CK8" s="4"/>
      <c r="CL8" s="4"/>
      <c r="CM8" s="4"/>
      <c r="CN8" s="4"/>
      <c r="CO8" s="4"/>
      <c r="CP8" s="2" t="s">
        <v>272</v>
      </c>
      <c r="CQ8" s="2" t="s">
        <v>254</v>
      </c>
      <c r="CR8" s="10" t="s">
        <v>273</v>
      </c>
      <c r="CS8" s="9" t="s">
        <v>256</v>
      </c>
    </row>
    <row r="9" spans="1:97" s="2" customFormat="1">
      <c r="A9" s="2">
        <v>6</v>
      </c>
      <c r="B9" s="2" t="s">
        <v>248</v>
      </c>
      <c r="C9" s="2" t="s">
        <v>274</v>
      </c>
      <c r="D9" s="4" t="s">
        <v>261</v>
      </c>
      <c r="E9" s="2" t="s">
        <v>275</v>
      </c>
      <c r="F9" s="2" t="s">
        <v>276</v>
      </c>
      <c r="G9" s="2">
        <v>2007</v>
      </c>
      <c r="H9" s="2">
        <v>2008</v>
      </c>
      <c r="I9" s="2">
        <v>1</v>
      </c>
      <c r="J9" s="2">
        <v>1</v>
      </c>
      <c r="K9" s="2">
        <v>1</v>
      </c>
      <c r="L9" s="2">
        <v>1</v>
      </c>
      <c r="M9" s="2">
        <v>0</v>
      </c>
      <c r="N9" s="2">
        <v>0</v>
      </c>
      <c r="O9" s="4">
        <v>23</v>
      </c>
      <c r="P9" s="4">
        <f t="shared" si="0"/>
        <v>216</v>
      </c>
      <c r="Q9" s="4">
        <v>2000</v>
      </c>
      <c r="R9" s="4"/>
      <c r="S9" s="4">
        <f>(580+1604.8)/2</f>
        <v>1092.4000000000001</v>
      </c>
      <c r="T9" s="4">
        <v>80</v>
      </c>
      <c r="U9" s="4"/>
      <c r="V9" s="4"/>
      <c r="W9" s="4"/>
      <c r="X9" s="4"/>
      <c r="Y9" s="4"/>
      <c r="Z9" s="4"/>
      <c r="AA9" s="4"/>
      <c r="AB9" s="4"/>
      <c r="AC9" s="4"/>
      <c r="AD9" s="4"/>
      <c r="AE9" s="4"/>
      <c r="AF9" s="4"/>
      <c r="AG9" s="4"/>
      <c r="AH9" s="4"/>
      <c r="AI9" s="4"/>
      <c r="AJ9" s="4"/>
      <c r="AK9" s="4"/>
      <c r="AL9" s="4"/>
      <c r="AM9" s="4"/>
      <c r="AN9" s="4"/>
      <c r="AO9" s="4"/>
      <c r="AP9" s="4"/>
      <c r="AQ9" s="4"/>
      <c r="AR9" s="4"/>
      <c r="AS9" s="4"/>
      <c r="AT9" s="4"/>
      <c r="AW9" s="4">
        <v>2770.33</v>
      </c>
      <c r="AX9" s="4">
        <f>(10.5+12.5)/2</f>
        <v>11.5</v>
      </c>
      <c r="AY9" s="4"/>
      <c r="AZ9" s="4">
        <f>(AX9/2)^2*PI()*AW9/10000</f>
        <v>28.775114943214181</v>
      </c>
      <c r="BA9" s="4"/>
      <c r="BB9" s="4"/>
      <c r="BC9" s="4"/>
      <c r="BD9" s="4"/>
      <c r="BE9" s="4"/>
      <c r="BF9" s="4"/>
      <c r="BG9" s="4"/>
      <c r="BH9" s="4"/>
      <c r="BI9" s="4"/>
      <c r="BJ9" s="4"/>
      <c r="BK9" s="4"/>
      <c r="BL9" s="4"/>
      <c r="BM9" s="4">
        <f>6.537*0.5</f>
        <v>3.2685</v>
      </c>
      <c r="BN9" s="4">
        <f>12.664*0.5</f>
        <v>6.3319999999999999</v>
      </c>
      <c r="BO9" s="4">
        <f>85.905*0.5</f>
        <v>42.952500000000001</v>
      </c>
      <c r="BP9" s="4">
        <f>SUM(BM9:BO9)</f>
        <v>52.552999999999997</v>
      </c>
      <c r="BQ9" s="4">
        <f t="shared" si="1"/>
        <v>0.36447015393983223</v>
      </c>
      <c r="BR9" s="4">
        <f>(13.56+3.552)*0.5</f>
        <v>8.5560000000000009</v>
      </c>
      <c r="BS9" s="4">
        <f>9.17*0.5</f>
        <v>4.585</v>
      </c>
      <c r="BT9" s="4">
        <f>12.026*0.5</f>
        <v>6.0129999999999999</v>
      </c>
      <c r="BU9" s="4">
        <f>SUM(BR9:BT9)</f>
        <v>19.154000000000003</v>
      </c>
      <c r="BV9" s="4">
        <f t="shared" si="2"/>
        <v>71.706999999999994</v>
      </c>
      <c r="BW9" s="4"/>
      <c r="BX9" s="4"/>
      <c r="BY9" s="4"/>
      <c r="BZ9" s="4"/>
      <c r="CA9" s="4">
        <f>5.886*0.5</f>
        <v>2.9430000000000001</v>
      </c>
      <c r="CB9" s="4">
        <f>5.53581*0.5</f>
        <v>2.7679049999999998</v>
      </c>
      <c r="CC9" s="4">
        <f>35.28824*0.5</f>
        <v>17.644120000000001</v>
      </c>
      <c r="CD9" s="4"/>
      <c r="CE9" s="4"/>
      <c r="CF9" s="4">
        <f>SUM(CA9:CD9)</f>
        <v>23.355025000000001</v>
      </c>
      <c r="CG9" s="4">
        <f>(3.18106+1.45924)*0.5</f>
        <v>2.3201499999999999</v>
      </c>
      <c r="CH9" s="4">
        <f>3.76702*0.5</f>
        <v>1.88351</v>
      </c>
      <c r="CI9" s="4">
        <f>4.66874*0.5</f>
        <v>2.3343699999999998</v>
      </c>
      <c r="CJ9" s="4">
        <f>SUM(CG9:CI9)</f>
        <v>6.53803</v>
      </c>
      <c r="CK9" s="4">
        <f>CJ9+CF9</f>
        <v>29.893055</v>
      </c>
      <c r="CL9" s="4"/>
      <c r="CM9" s="4"/>
      <c r="CN9" s="4"/>
      <c r="CO9" s="4"/>
      <c r="CP9" s="2" t="s">
        <v>277</v>
      </c>
      <c r="CQ9" s="2" t="s">
        <v>254</v>
      </c>
      <c r="CR9" s="10" t="s">
        <v>278</v>
      </c>
      <c r="CS9" s="9" t="s">
        <v>256</v>
      </c>
    </row>
    <row r="10" spans="1:97" s="2" customFormat="1" ht="12.75">
      <c r="A10" s="2">
        <v>7</v>
      </c>
      <c r="B10" s="2" t="s">
        <v>248</v>
      </c>
      <c r="C10" s="2" t="s">
        <v>269</v>
      </c>
      <c r="D10" s="4" t="s">
        <v>261</v>
      </c>
      <c r="E10" s="2" t="s">
        <v>279</v>
      </c>
      <c r="F10" s="2" t="s">
        <v>280</v>
      </c>
      <c r="G10" s="2">
        <v>1995</v>
      </c>
      <c r="H10" s="2">
        <v>2008</v>
      </c>
      <c r="I10" s="2">
        <v>1</v>
      </c>
      <c r="J10" s="2">
        <v>1</v>
      </c>
      <c r="K10" s="2">
        <v>1</v>
      </c>
      <c r="L10" s="2">
        <v>1</v>
      </c>
      <c r="M10" s="2">
        <v>0</v>
      </c>
      <c r="N10" s="2">
        <v>0</v>
      </c>
      <c r="O10" s="4">
        <v>23</v>
      </c>
      <c r="P10" s="4">
        <f t="shared" si="0"/>
        <v>216</v>
      </c>
      <c r="Q10" s="4">
        <v>2000</v>
      </c>
      <c r="R10" s="4"/>
      <c r="S10" s="4">
        <v>800</v>
      </c>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W10" s="4">
        <v>2833.33</v>
      </c>
      <c r="AX10" s="4">
        <f>(10.5+13.5)/2</f>
        <v>12</v>
      </c>
      <c r="AY10" s="4"/>
      <c r="AZ10" s="4">
        <f>(AX10/2)^2*PI()*AW10/10000</f>
        <v>32.044207367504043</v>
      </c>
      <c r="BA10" s="4"/>
      <c r="BB10" s="4"/>
      <c r="BC10" s="4"/>
      <c r="BD10" s="4"/>
      <c r="BE10" s="4"/>
      <c r="BF10" s="4"/>
      <c r="BG10" s="4"/>
      <c r="BH10" s="4"/>
      <c r="BI10" s="4"/>
      <c r="BJ10" s="4"/>
      <c r="BK10" s="4"/>
      <c r="BL10" s="4"/>
      <c r="BM10" s="4">
        <f>5.1296*0.5</f>
        <v>2.5648</v>
      </c>
      <c r="BN10" s="4">
        <f>9.8915*0.5</f>
        <v>4.9457500000000003</v>
      </c>
      <c r="BO10" s="4">
        <f>66.7851*0.5</f>
        <v>33.39255</v>
      </c>
      <c r="BP10" s="4">
        <f>SUM(BM10:BO10)</f>
        <v>40.903100000000002</v>
      </c>
      <c r="BQ10" s="4">
        <f t="shared" si="1"/>
        <v>0.23887798235341573</v>
      </c>
      <c r="BR10" s="4">
        <f>10.1972*0.5</f>
        <v>5.0986000000000002</v>
      </c>
      <c r="BS10" s="4"/>
      <c r="BT10" s="4">
        <f>9.3445*0.5</f>
        <v>4.67225</v>
      </c>
      <c r="BU10" s="4">
        <f>SUM(BR10:BT10)</f>
        <v>9.7708499999999994</v>
      </c>
      <c r="BV10" s="4">
        <f t="shared" si="2"/>
        <v>50.673950000000005</v>
      </c>
      <c r="BW10" s="4"/>
      <c r="BX10" s="4"/>
      <c r="BY10" s="4"/>
      <c r="BZ10" s="4"/>
      <c r="CA10" s="4"/>
      <c r="CB10" s="4"/>
      <c r="CC10" s="4"/>
      <c r="CD10" s="4"/>
      <c r="CE10" s="4"/>
      <c r="CF10" s="4"/>
      <c r="CG10" s="4"/>
      <c r="CH10" s="4"/>
      <c r="CI10" s="4"/>
      <c r="CJ10" s="4"/>
      <c r="CK10" s="4"/>
      <c r="CL10" s="4"/>
      <c r="CM10" s="4"/>
      <c r="CN10" s="4"/>
      <c r="CO10" s="4"/>
      <c r="CP10" s="2" t="s">
        <v>272</v>
      </c>
      <c r="CQ10" s="2" t="s">
        <v>254</v>
      </c>
      <c r="CR10" s="10" t="s">
        <v>273</v>
      </c>
      <c r="CS10" s="9" t="s">
        <v>256</v>
      </c>
    </row>
    <row r="11" spans="1:97" s="2" customFormat="1" ht="12.75">
      <c r="A11" s="2">
        <v>8</v>
      </c>
      <c r="B11" s="2" t="s">
        <v>248</v>
      </c>
      <c r="C11" s="2" t="s">
        <v>274</v>
      </c>
      <c r="D11" s="4" t="s">
        <v>261</v>
      </c>
      <c r="E11" s="2" t="s">
        <v>281</v>
      </c>
      <c r="F11" s="2" t="s">
        <v>282</v>
      </c>
      <c r="G11" s="2">
        <v>1995</v>
      </c>
      <c r="H11" s="2">
        <v>2008</v>
      </c>
      <c r="I11" s="2">
        <v>1</v>
      </c>
      <c r="J11" s="2">
        <v>0</v>
      </c>
      <c r="K11" s="2">
        <v>1</v>
      </c>
      <c r="L11" s="2">
        <v>1</v>
      </c>
      <c r="M11" s="2">
        <v>0</v>
      </c>
      <c r="N11" s="2">
        <v>0</v>
      </c>
      <c r="O11" s="4">
        <v>23</v>
      </c>
      <c r="P11" s="4">
        <f t="shared" si="0"/>
        <v>216</v>
      </c>
      <c r="Q11" s="4">
        <v>2000</v>
      </c>
      <c r="R11" s="4"/>
      <c r="S11" s="4">
        <v>800</v>
      </c>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W11" s="4">
        <v>2629</v>
      </c>
      <c r="AX11" s="4">
        <f>(8.5+11.5)/2</f>
        <v>10</v>
      </c>
      <c r="AY11" s="4"/>
      <c r="AZ11" s="4">
        <f>(AX11/2)^2*PI()*AW11/10000</f>
        <v>20.648117715718918</v>
      </c>
      <c r="BA11" s="4"/>
      <c r="BB11" s="4"/>
      <c r="BC11" s="4"/>
      <c r="BD11" s="4"/>
      <c r="BE11" s="4"/>
      <c r="BF11" s="4"/>
      <c r="BG11" s="4"/>
      <c r="BH11" s="4"/>
      <c r="BI11" s="4"/>
      <c r="BJ11" s="4"/>
      <c r="BK11" s="4"/>
      <c r="BL11" s="4"/>
      <c r="BM11" s="4">
        <f>3.0425*0.5</f>
        <v>1.52125</v>
      </c>
      <c r="BN11" s="4">
        <f>5.962*0.5</f>
        <v>2.9809999999999999</v>
      </c>
      <c r="BO11" s="4">
        <f>39.9792*0.5</f>
        <v>19.989599999999999</v>
      </c>
      <c r="BP11" s="4">
        <f>SUM(BM11:BO11)</f>
        <v>24.491849999999999</v>
      </c>
      <c r="BQ11" s="4">
        <f t="shared" si="1"/>
        <v>0.23912648493274294</v>
      </c>
      <c r="BR11" s="4">
        <f>6.2232*0.5</f>
        <v>3.1116000000000001</v>
      </c>
      <c r="BS11" s="4"/>
      <c r="BT11" s="4">
        <f>5.4901*0.5</f>
        <v>2.74505</v>
      </c>
      <c r="BU11" s="4">
        <f>SUM(BR11:BT11)</f>
        <v>5.8566500000000001</v>
      </c>
      <c r="BV11" s="4">
        <f t="shared" si="2"/>
        <v>30.348500000000001</v>
      </c>
      <c r="BW11" s="4"/>
      <c r="BX11" s="4"/>
      <c r="BY11" s="4"/>
      <c r="BZ11" s="4"/>
      <c r="CA11" s="4"/>
      <c r="CB11" s="4"/>
      <c r="CC11" s="4"/>
      <c r="CD11" s="4"/>
      <c r="CE11" s="4"/>
      <c r="CF11" s="4"/>
      <c r="CG11" s="4"/>
      <c r="CH11" s="4"/>
      <c r="CI11" s="4"/>
      <c r="CJ11" s="4"/>
      <c r="CK11" s="4"/>
      <c r="CL11" s="4"/>
      <c r="CM11" s="4"/>
      <c r="CN11" s="4"/>
      <c r="CO11" s="4"/>
      <c r="CP11" s="2" t="s">
        <v>272</v>
      </c>
      <c r="CQ11" s="2" t="s">
        <v>254</v>
      </c>
      <c r="CR11" s="10" t="s">
        <v>273</v>
      </c>
      <c r="CS11" s="9" t="s">
        <v>256</v>
      </c>
    </row>
    <row r="12" spans="1:97" s="2" customFormat="1" ht="12.75">
      <c r="A12" s="2">
        <v>9</v>
      </c>
      <c r="B12" s="2" t="s">
        <v>248</v>
      </c>
      <c r="C12" s="2" t="s">
        <v>283</v>
      </c>
      <c r="D12" s="4" t="s">
        <v>250</v>
      </c>
      <c r="E12" s="2" t="s">
        <v>284</v>
      </c>
      <c r="F12" s="2" t="s">
        <v>285</v>
      </c>
      <c r="G12" s="2">
        <v>2000</v>
      </c>
      <c r="H12" s="2">
        <v>2011</v>
      </c>
      <c r="I12" s="2">
        <v>1</v>
      </c>
      <c r="J12" s="2">
        <v>0</v>
      </c>
      <c r="K12" s="2">
        <v>1</v>
      </c>
      <c r="L12" s="2">
        <v>1</v>
      </c>
      <c r="M12" s="2">
        <v>0</v>
      </c>
      <c r="N12" s="2">
        <v>0</v>
      </c>
      <c r="O12" s="4">
        <v>16.899999999999999</v>
      </c>
      <c r="P12" s="4">
        <f t="shared" si="0"/>
        <v>142.79999999999998</v>
      </c>
      <c r="Q12" s="4">
        <f>(1251+1608)/2</f>
        <v>1429.5</v>
      </c>
      <c r="R12" s="4"/>
      <c r="S12" s="4">
        <v>112</v>
      </c>
      <c r="T12" s="4"/>
      <c r="U12" s="4"/>
      <c r="V12" s="4"/>
      <c r="W12" s="4"/>
      <c r="X12" s="4"/>
      <c r="Y12" s="4"/>
      <c r="Z12" s="4">
        <v>2.0299999999999998</v>
      </c>
      <c r="AA12" s="4">
        <v>0.37</v>
      </c>
      <c r="AB12" s="4">
        <v>15</v>
      </c>
      <c r="AC12" s="4"/>
      <c r="AD12" s="4"/>
      <c r="AE12" s="4"/>
      <c r="AF12" s="4"/>
      <c r="AG12" s="4"/>
      <c r="AH12" s="4"/>
      <c r="AI12" s="4"/>
      <c r="AJ12" s="4"/>
      <c r="AK12" s="4"/>
      <c r="AL12" s="4"/>
      <c r="AM12" s="4"/>
      <c r="AN12" s="4"/>
      <c r="AO12" s="4"/>
      <c r="AP12" s="4"/>
      <c r="AQ12" s="4"/>
      <c r="AR12" s="4"/>
      <c r="AS12" s="4"/>
      <c r="AT12" s="4"/>
      <c r="AV12" s="4"/>
      <c r="AW12" s="4"/>
      <c r="AX12" s="4">
        <v>8.3000000000000007</v>
      </c>
      <c r="AY12" s="4">
        <v>13.1</v>
      </c>
      <c r="AZ12" s="4"/>
      <c r="BA12" s="4"/>
      <c r="BB12" s="4"/>
      <c r="BC12" s="4"/>
      <c r="BD12" s="4"/>
      <c r="BE12" s="4"/>
      <c r="BF12" s="4"/>
      <c r="BG12" s="4"/>
      <c r="BH12" s="4"/>
      <c r="BI12" s="4"/>
      <c r="BJ12" s="4"/>
      <c r="BK12" s="4">
        <f>25.86/1000*100</f>
        <v>2.5860000000000003</v>
      </c>
      <c r="BL12" s="4">
        <f>25.86/1000*100</f>
        <v>2.5860000000000003</v>
      </c>
      <c r="BM12" s="4"/>
      <c r="BN12" s="4"/>
      <c r="BO12" s="4"/>
      <c r="BP12" s="4">
        <f>4006.1*10000/1000/1000*0.5</f>
        <v>20.0305</v>
      </c>
      <c r="BQ12" s="4"/>
      <c r="BR12" s="4">
        <f>(419.2+249.3)*10000/1000/1000*0.5</f>
        <v>3.3424999999999998</v>
      </c>
      <c r="BS12" s="4"/>
      <c r="BT12" s="4"/>
      <c r="BU12" s="4"/>
      <c r="BV12" s="4"/>
      <c r="BW12" s="4"/>
      <c r="BX12" s="4"/>
      <c r="BY12" s="4"/>
      <c r="BZ12" s="4"/>
      <c r="CA12" s="4"/>
      <c r="CB12" s="4"/>
      <c r="CC12" s="4"/>
      <c r="CD12" s="4">
        <f>384.9*10000/1000/1000*0.5</f>
        <v>1.9245000000000001</v>
      </c>
      <c r="CE12" s="4"/>
      <c r="CF12" s="4"/>
      <c r="CG12" s="4"/>
      <c r="CH12" s="4"/>
      <c r="CI12" s="4"/>
      <c r="CJ12" s="4"/>
      <c r="CK12" s="4"/>
      <c r="CL12" s="4"/>
      <c r="CM12" s="4"/>
      <c r="CN12" s="4"/>
      <c r="CO12" s="4"/>
      <c r="CP12" s="2" t="s">
        <v>286</v>
      </c>
      <c r="CQ12" s="2" t="s">
        <v>254</v>
      </c>
      <c r="CR12" s="10" t="s">
        <v>287</v>
      </c>
      <c r="CS12" s="9" t="s">
        <v>256</v>
      </c>
    </row>
    <row r="13" spans="1:97" s="2" customFormat="1" ht="12.75">
      <c r="A13" s="2">
        <v>10</v>
      </c>
      <c r="B13" s="2" t="s">
        <v>248</v>
      </c>
      <c r="C13" s="2" t="s">
        <v>283</v>
      </c>
      <c r="D13" s="4" t="s">
        <v>250</v>
      </c>
      <c r="E13" s="2" t="s">
        <v>288</v>
      </c>
      <c r="F13" s="2" t="s">
        <v>289</v>
      </c>
      <c r="G13" s="2">
        <v>2000</v>
      </c>
      <c r="H13" s="2">
        <v>2011</v>
      </c>
      <c r="I13" s="2">
        <v>1</v>
      </c>
      <c r="J13" s="2">
        <v>0</v>
      </c>
      <c r="K13" s="2">
        <v>1</v>
      </c>
      <c r="L13" s="2">
        <v>1</v>
      </c>
      <c r="M13" s="2">
        <v>0</v>
      </c>
      <c r="N13" s="2">
        <v>0</v>
      </c>
      <c r="O13" s="4">
        <v>16.899999999999999</v>
      </c>
      <c r="P13" s="4">
        <f t="shared" si="0"/>
        <v>142.79999999999998</v>
      </c>
      <c r="Q13" s="4">
        <f>(1251+1608)/2</f>
        <v>1429.5</v>
      </c>
      <c r="R13" s="4"/>
      <c r="S13" s="4">
        <v>168</v>
      </c>
      <c r="T13" s="4"/>
      <c r="U13" s="4"/>
      <c r="V13" s="4"/>
      <c r="W13" s="4"/>
      <c r="X13" s="4"/>
      <c r="Y13" s="4"/>
      <c r="Z13" s="4">
        <v>1.1200000000000001</v>
      </c>
      <c r="AA13" s="4">
        <v>0.31</v>
      </c>
      <c r="AB13" s="4">
        <v>12.7</v>
      </c>
      <c r="AC13" s="4"/>
      <c r="AD13" s="4"/>
      <c r="AE13" s="4"/>
      <c r="AF13" s="4"/>
      <c r="AG13" s="4"/>
      <c r="AH13" s="4"/>
      <c r="AI13" s="4"/>
      <c r="AJ13" s="4"/>
      <c r="AK13" s="4"/>
      <c r="AL13" s="4"/>
      <c r="AM13" s="4"/>
      <c r="AN13" s="4"/>
      <c r="AO13" s="4"/>
      <c r="AP13" s="4"/>
      <c r="AQ13" s="4"/>
      <c r="AR13" s="4"/>
      <c r="AS13" s="4"/>
      <c r="AT13" s="4"/>
      <c r="AV13" s="4"/>
      <c r="AW13" s="4"/>
      <c r="AX13" s="4">
        <v>8.8000000000000007</v>
      </c>
      <c r="AY13" s="4">
        <v>12.3</v>
      </c>
      <c r="AZ13" s="4"/>
      <c r="BA13" s="4"/>
      <c r="BB13" s="4"/>
      <c r="BC13" s="4"/>
      <c r="BD13" s="4"/>
      <c r="BE13" s="4"/>
      <c r="BF13" s="4"/>
      <c r="BG13" s="4"/>
      <c r="BH13" s="4"/>
      <c r="BI13" s="4"/>
      <c r="BJ13" s="4"/>
      <c r="BK13" s="4">
        <f>23.72/1000*100</f>
        <v>2.3719999999999999</v>
      </c>
      <c r="BL13" s="4">
        <f>23.72/1000*100</f>
        <v>2.3719999999999999</v>
      </c>
      <c r="BM13" s="4"/>
      <c r="BN13" s="4"/>
      <c r="BO13" s="4"/>
      <c r="BP13" s="4">
        <f>3421.4*10000/1000/1000*0.5</f>
        <v>17.106999999999999</v>
      </c>
      <c r="BQ13" s="4"/>
      <c r="BR13" s="4">
        <f>(638.7+372.1)*10000/1000/1000*0.5</f>
        <v>5.0540000000000003</v>
      </c>
      <c r="BS13" s="4"/>
      <c r="BT13" s="4"/>
      <c r="BU13" s="4"/>
      <c r="BV13" s="4"/>
      <c r="BW13" s="4"/>
      <c r="BX13" s="4"/>
      <c r="BY13" s="4"/>
      <c r="BZ13" s="4"/>
      <c r="CA13" s="4"/>
      <c r="CB13" s="4"/>
      <c r="CC13" s="4"/>
      <c r="CD13" s="4">
        <f>246.1*10000/1000/1000*0.5</f>
        <v>1.2304999999999999</v>
      </c>
      <c r="CE13" s="4"/>
      <c r="CF13" s="4"/>
      <c r="CG13" s="4"/>
      <c r="CH13" s="4"/>
      <c r="CI13" s="4"/>
      <c r="CJ13" s="4"/>
      <c r="CK13" s="4"/>
      <c r="CL13" s="4"/>
      <c r="CM13" s="4"/>
      <c r="CN13" s="4"/>
      <c r="CO13" s="4"/>
      <c r="CP13" s="2" t="s">
        <v>290</v>
      </c>
      <c r="CQ13" s="2" t="s">
        <v>254</v>
      </c>
      <c r="CR13" s="10" t="s">
        <v>287</v>
      </c>
      <c r="CS13" s="9" t="s">
        <v>256</v>
      </c>
    </row>
    <row r="14" spans="1:97" s="2" customFormat="1" ht="12.75">
      <c r="A14" s="2">
        <v>11</v>
      </c>
      <c r="B14" s="2" t="s">
        <v>248</v>
      </c>
      <c r="C14" s="2" t="s">
        <v>291</v>
      </c>
      <c r="D14" s="4" t="s">
        <v>250</v>
      </c>
      <c r="E14" s="2" t="s">
        <v>292</v>
      </c>
      <c r="F14" s="2" t="s">
        <v>293</v>
      </c>
      <c r="G14" s="2">
        <v>2000</v>
      </c>
      <c r="H14" s="2">
        <v>2011</v>
      </c>
      <c r="I14" s="2">
        <v>0</v>
      </c>
      <c r="J14" s="2">
        <v>0</v>
      </c>
      <c r="K14" s="2">
        <v>0</v>
      </c>
      <c r="L14" s="2">
        <v>0</v>
      </c>
      <c r="M14" s="2">
        <v>0</v>
      </c>
      <c r="N14" s="2">
        <v>0</v>
      </c>
      <c r="O14" s="4">
        <v>16.899999999999999</v>
      </c>
      <c r="P14" s="4">
        <f t="shared" si="0"/>
        <v>142.79999999999998</v>
      </c>
      <c r="Q14" s="4">
        <f>(1251+1608)/2</f>
        <v>1429.5</v>
      </c>
      <c r="R14" s="4"/>
      <c r="S14" s="4">
        <v>161</v>
      </c>
      <c r="T14" s="4"/>
      <c r="U14" s="4"/>
      <c r="V14" s="4"/>
      <c r="W14" s="4"/>
      <c r="X14" s="4"/>
      <c r="Y14" s="4"/>
      <c r="Z14" s="4">
        <v>1.33</v>
      </c>
      <c r="AA14" s="4">
        <v>0.32</v>
      </c>
      <c r="AB14" s="4">
        <v>9.68</v>
      </c>
      <c r="AC14" s="4"/>
      <c r="AD14" s="4"/>
      <c r="AE14" s="4"/>
      <c r="AF14" s="4"/>
      <c r="AG14" s="4"/>
      <c r="AH14" s="4"/>
      <c r="AI14" s="4"/>
      <c r="AJ14" s="4"/>
      <c r="AK14" s="4"/>
      <c r="AL14" s="4"/>
      <c r="AM14" s="4"/>
      <c r="AN14" s="4"/>
      <c r="AO14" s="4"/>
      <c r="AP14" s="4"/>
      <c r="AQ14" s="4"/>
      <c r="AR14" s="4"/>
      <c r="AS14" s="4"/>
      <c r="AT14" s="4"/>
      <c r="AV14" s="4"/>
      <c r="AW14" s="4"/>
      <c r="AX14" s="4">
        <v>8.1999999999999993</v>
      </c>
      <c r="AY14" s="4">
        <v>11.1</v>
      </c>
      <c r="AZ14" s="4"/>
      <c r="BA14" s="4"/>
      <c r="BB14" s="4"/>
      <c r="BC14" s="4"/>
      <c r="BD14" s="4"/>
      <c r="BE14" s="4"/>
      <c r="BF14" s="4"/>
      <c r="BG14" s="4"/>
      <c r="BH14" s="4"/>
      <c r="BI14" s="4"/>
      <c r="BJ14" s="4"/>
      <c r="BK14" s="4">
        <f>26.41/1000*100</f>
        <v>2.641</v>
      </c>
      <c r="BL14" s="4">
        <f>26.41/1000*100</f>
        <v>2.641</v>
      </c>
      <c r="BM14" s="4"/>
      <c r="BN14" s="4"/>
      <c r="BO14" s="4"/>
      <c r="BP14" s="4">
        <f>2857.7*10000/1000/1000*0.5</f>
        <v>14.288500000000001</v>
      </c>
      <c r="BQ14" s="4">
        <f>BU14/BP14</f>
        <v>0.27361164572908281</v>
      </c>
      <c r="BR14" s="4">
        <f>(781.9+371.3)*10000/1000/1000*0.5</f>
        <v>5.766</v>
      </c>
      <c r="BS14" s="4"/>
      <c r="BT14" s="4"/>
      <c r="BU14" s="4">
        <v>3.9095</v>
      </c>
      <c r="BV14" s="4">
        <v>18.1995</v>
      </c>
      <c r="BW14" s="4"/>
      <c r="BX14" s="4">
        <v>86.17</v>
      </c>
      <c r="BY14" s="4"/>
      <c r="BZ14" s="4">
        <v>104.3695</v>
      </c>
      <c r="CA14" s="4"/>
      <c r="CB14" s="4"/>
      <c r="CC14" s="4"/>
      <c r="CD14" s="4">
        <f>401.8*10000/1000/1000*0.5</f>
        <v>2.0089999999999999</v>
      </c>
      <c r="CE14" s="4"/>
      <c r="CF14" s="4"/>
      <c r="CG14" s="4"/>
      <c r="CH14" s="4"/>
      <c r="CI14" s="4"/>
      <c r="CJ14" s="4"/>
      <c r="CK14" s="4"/>
      <c r="CL14" s="4"/>
      <c r="CM14" s="4"/>
      <c r="CN14" s="4"/>
      <c r="CO14" s="4"/>
      <c r="CP14" s="2" t="s">
        <v>286</v>
      </c>
      <c r="CQ14" s="2" t="s">
        <v>254</v>
      </c>
      <c r="CR14" s="10" t="s">
        <v>287</v>
      </c>
      <c r="CS14" s="9" t="s">
        <v>256</v>
      </c>
    </row>
    <row r="15" spans="1:97" s="2" customFormat="1" ht="12.75">
      <c r="A15" s="2">
        <v>12</v>
      </c>
      <c r="B15" s="2" t="s">
        <v>248</v>
      </c>
      <c r="C15" s="2" t="s">
        <v>294</v>
      </c>
      <c r="D15" s="4" t="s">
        <v>250</v>
      </c>
      <c r="E15" s="2" t="s">
        <v>295</v>
      </c>
      <c r="F15" s="2" t="s">
        <v>296</v>
      </c>
      <c r="G15" s="2">
        <v>2005</v>
      </c>
      <c r="H15" s="2">
        <v>2006</v>
      </c>
      <c r="I15" s="2">
        <v>1</v>
      </c>
      <c r="J15" s="2">
        <v>0</v>
      </c>
      <c r="K15" s="2">
        <v>1</v>
      </c>
      <c r="L15" s="2">
        <v>0</v>
      </c>
      <c r="M15" s="2">
        <v>0</v>
      </c>
      <c r="N15" s="2">
        <v>0</v>
      </c>
      <c r="O15" s="4">
        <v>16.5</v>
      </c>
      <c r="P15" s="4">
        <f t="shared" si="0"/>
        <v>138</v>
      </c>
      <c r="Q15" s="4">
        <f>1300</f>
        <v>1300</v>
      </c>
      <c r="R15" s="4"/>
      <c r="S15" s="4">
        <v>379</v>
      </c>
      <c r="T15" s="4">
        <v>80</v>
      </c>
      <c r="U15" s="4">
        <v>1445.4</v>
      </c>
      <c r="V15" s="4"/>
      <c r="W15" s="4"/>
      <c r="X15" s="4"/>
      <c r="Y15" s="4"/>
      <c r="Z15" s="4">
        <v>1.33</v>
      </c>
      <c r="AA15" s="4">
        <v>0.57999999999999996</v>
      </c>
      <c r="AB15" s="4">
        <v>21.6</v>
      </c>
      <c r="AC15" s="4">
        <f>((30.973762*2+15.999*5)/30.973762)*1.96</f>
        <v>8.9820328263644562</v>
      </c>
      <c r="AD15" s="4"/>
      <c r="AE15" s="4"/>
      <c r="AF15" s="4"/>
      <c r="AG15" s="4"/>
      <c r="AH15" s="4"/>
      <c r="AI15" s="4"/>
      <c r="AJ15" s="4"/>
      <c r="AK15" s="4"/>
      <c r="AL15" s="4"/>
      <c r="AM15" s="4"/>
      <c r="AN15" s="4"/>
      <c r="AO15" s="4"/>
      <c r="AP15" s="4"/>
      <c r="AQ15" s="4"/>
      <c r="AR15" s="4"/>
      <c r="AS15" s="4"/>
      <c r="AT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v>31.97</v>
      </c>
      <c r="BW15" s="4">
        <v>0.74</v>
      </c>
      <c r="BX15" s="4">
        <v>110.95</v>
      </c>
      <c r="BY15" s="4">
        <v>0.64</v>
      </c>
      <c r="BZ15" s="4">
        <f>SUM(BV15:BY15)</f>
        <v>144.29999999999998</v>
      </c>
      <c r="CA15" s="4"/>
      <c r="CB15" s="4"/>
      <c r="CC15" s="4">
        <v>8.2899999999999991</v>
      </c>
      <c r="CD15" s="4">
        <v>1.1100000000000001</v>
      </c>
      <c r="CE15" s="4"/>
      <c r="CF15" s="4">
        <f>SUM(CA15:CD15)</f>
        <v>9.3999999999999986</v>
      </c>
      <c r="CG15" s="4">
        <v>0.96</v>
      </c>
      <c r="CH15" s="4"/>
      <c r="CI15" s="4"/>
      <c r="CJ15" s="4">
        <f>SUM(CG15:CI15)</f>
        <v>0.96</v>
      </c>
      <c r="CK15" s="4">
        <f>CJ15+CF15</f>
        <v>10.36</v>
      </c>
      <c r="CL15" s="4">
        <f>33.941*12/44</f>
        <v>9.256636363636364</v>
      </c>
      <c r="CM15" s="4">
        <f>20.19*12/44</f>
        <v>5.5063636363636368</v>
      </c>
      <c r="CN15" s="4">
        <f>CL15-CM15</f>
        <v>3.7502727272727272</v>
      </c>
      <c r="CO15" s="4">
        <f>CK15-CM15</f>
        <v>4.8536363636363626</v>
      </c>
      <c r="CP15" s="2" t="s">
        <v>297</v>
      </c>
      <c r="CQ15" s="2" t="s">
        <v>254</v>
      </c>
      <c r="CR15" s="10" t="s">
        <v>298</v>
      </c>
      <c r="CS15" s="9" t="s">
        <v>256</v>
      </c>
    </row>
    <row r="16" spans="1:97" s="2" customFormat="1" ht="12.75">
      <c r="A16" s="2">
        <v>13</v>
      </c>
      <c r="B16" s="2" t="s">
        <v>248</v>
      </c>
      <c r="C16" s="2" t="s">
        <v>299</v>
      </c>
      <c r="D16" s="4" t="s">
        <v>250</v>
      </c>
      <c r="E16" s="2" t="s">
        <v>300</v>
      </c>
      <c r="F16" s="2" t="s">
        <v>301</v>
      </c>
      <c r="G16" s="2">
        <v>2011</v>
      </c>
      <c r="H16" s="2">
        <v>2011</v>
      </c>
      <c r="I16" s="2">
        <v>0</v>
      </c>
      <c r="J16" s="2">
        <v>0</v>
      </c>
      <c r="K16" s="2">
        <v>0</v>
      </c>
      <c r="L16" s="2">
        <v>0</v>
      </c>
      <c r="M16" s="2">
        <v>0</v>
      </c>
      <c r="N16" s="2">
        <v>0</v>
      </c>
      <c r="O16" s="4">
        <f>(15.8+17.7)/2</f>
        <v>16.75</v>
      </c>
      <c r="P16" s="4">
        <v>141</v>
      </c>
      <c r="Q16" s="4">
        <v>1590.9</v>
      </c>
      <c r="R16" s="4"/>
      <c r="S16" s="4">
        <v>500</v>
      </c>
      <c r="T16" s="4"/>
      <c r="U16" s="4">
        <v>1657</v>
      </c>
      <c r="V16" s="4"/>
      <c r="W16" s="4"/>
      <c r="X16" s="4"/>
      <c r="Y16" s="4"/>
      <c r="Z16" s="4"/>
      <c r="AA16" s="4"/>
      <c r="AB16" s="4"/>
      <c r="AC16" s="4"/>
      <c r="AD16" s="4"/>
      <c r="AE16" s="4"/>
      <c r="AF16" s="4"/>
      <c r="AG16" s="4"/>
      <c r="AH16" s="4"/>
      <c r="AI16" s="4"/>
      <c r="AJ16" s="4"/>
      <c r="AK16" s="4"/>
      <c r="AL16" s="4"/>
      <c r="AM16" s="4"/>
      <c r="AN16" s="4"/>
      <c r="AO16" s="4"/>
      <c r="AP16" s="4"/>
      <c r="AQ16" s="4"/>
      <c r="AR16" s="4"/>
      <c r="AS16" s="4"/>
      <c r="AT16" s="4"/>
      <c r="AV16" s="4"/>
      <c r="AW16" s="4">
        <v>3000</v>
      </c>
      <c r="AX16" s="4">
        <v>9.5</v>
      </c>
      <c r="AY16" s="4"/>
      <c r="AZ16" s="4">
        <f>(AX16/2)^2*PI()*AW16/10000</f>
        <v>21.264655273985909</v>
      </c>
      <c r="BA16" s="4"/>
      <c r="BB16" s="4"/>
      <c r="BC16" s="4"/>
      <c r="BD16" s="4"/>
      <c r="BE16" s="4"/>
      <c r="BF16" s="4"/>
      <c r="BG16" s="4"/>
      <c r="BH16" s="4"/>
      <c r="BI16" s="4"/>
      <c r="BJ16" s="4"/>
      <c r="BK16" s="4"/>
      <c r="BL16" s="4"/>
      <c r="BM16" s="4"/>
      <c r="BN16" s="4"/>
      <c r="BO16" s="4"/>
      <c r="BP16" s="4">
        <f>16.42*100/37.73*0.5</f>
        <v>21.759872780280947</v>
      </c>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2" t="s">
        <v>302</v>
      </c>
      <c r="CQ16" s="2" t="s">
        <v>254</v>
      </c>
      <c r="CR16" s="10" t="s">
        <v>303</v>
      </c>
      <c r="CS16" s="9" t="s">
        <v>256</v>
      </c>
    </row>
    <row r="17" spans="1:97" s="2" customFormat="1" ht="12.75">
      <c r="A17" s="2">
        <v>14</v>
      </c>
      <c r="B17" s="2" t="s">
        <v>248</v>
      </c>
      <c r="C17" s="2" t="s">
        <v>304</v>
      </c>
      <c r="D17" s="4" t="s">
        <v>250</v>
      </c>
      <c r="E17" s="2" t="s">
        <v>305</v>
      </c>
      <c r="F17" s="2" t="s">
        <v>306</v>
      </c>
      <c r="G17" s="2">
        <v>1977</v>
      </c>
      <c r="H17" s="2">
        <v>2008</v>
      </c>
      <c r="I17" s="2">
        <v>1</v>
      </c>
      <c r="J17" s="2">
        <v>1</v>
      </c>
      <c r="K17" s="2">
        <v>1</v>
      </c>
      <c r="L17" s="2">
        <v>1</v>
      </c>
      <c r="M17" s="2">
        <v>0</v>
      </c>
      <c r="N17" s="2">
        <v>0</v>
      </c>
      <c r="O17" s="4">
        <f>(15.9+16.2+(15.8+17.7)/2+16.5+18.7)/5</f>
        <v>16.809999999999999</v>
      </c>
      <c r="P17" s="4">
        <f>(O17-5)*12</f>
        <v>141.71999999999997</v>
      </c>
      <c r="Q17" s="4">
        <f>(1424+1350+1591+1300+1568)/5</f>
        <v>1446.6</v>
      </c>
      <c r="R17" s="4"/>
      <c r="S17" s="4">
        <v>3</v>
      </c>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V17" s="4"/>
      <c r="AW17" s="4"/>
      <c r="AX17" s="4"/>
      <c r="AY17" s="4"/>
      <c r="AZ17" s="4"/>
      <c r="BA17" s="4"/>
      <c r="BB17" s="4"/>
      <c r="BC17" s="4"/>
      <c r="BD17" s="4"/>
      <c r="BE17" s="4"/>
      <c r="BF17" s="4"/>
      <c r="BG17" s="4"/>
      <c r="BH17" s="4"/>
      <c r="BI17" s="4"/>
      <c r="BJ17" s="4"/>
      <c r="BK17" s="4"/>
      <c r="BL17" s="4"/>
      <c r="BM17" s="4"/>
      <c r="BN17" s="4"/>
      <c r="BO17" s="4"/>
      <c r="BP17" s="4">
        <f>105.76*0.5</f>
        <v>52.88</v>
      </c>
      <c r="BQ17" s="4">
        <f>BU17/BP17</f>
        <v>0.63350983358547652</v>
      </c>
      <c r="BR17" s="4"/>
      <c r="BS17" s="4"/>
      <c r="BT17" s="4"/>
      <c r="BU17" s="4">
        <f>67*0.5</f>
        <v>33.5</v>
      </c>
      <c r="BV17" s="4">
        <f>BU17+BP17</f>
        <v>86.38</v>
      </c>
      <c r="BW17" s="4"/>
      <c r="BX17" s="4"/>
      <c r="BY17" s="4"/>
      <c r="BZ17" s="4">
        <v>95.42</v>
      </c>
      <c r="CA17" s="4"/>
      <c r="CB17" s="4"/>
      <c r="CC17" s="4"/>
      <c r="CD17" s="4"/>
      <c r="CE17" s="4"/>
      <c r="CF17" s="4"/>
      <c r="CG17" s="4"/>
      <c r="CH17" s="4"/>
      <c r="CI17" s="4"/>
      <c r="CJ17" s="4"/>
      <c r="CK17" s="4"/>
      <c r="CL17" s="4"/>
      <c r="CM17" s="4"/>
      <c r="CN17" s="4"/>
      <c r="CO17" s="4"/>
      <c r="CP17" s="2" t="s">
        <v>307</v>
      </c>
      <c r="CQ17" s="2" t="s">
        <v>254</v>
      </c>
      <c r="CR17" s="10" t="s">
        <v>308</v>
      </c>
      <c r="CS17" s="9" t="s">
        <v>256</v>
      </c>
    </row>
    <row r="18" spans="1:97" s="2" customFormat="1" ht="12.75">
      <c r="A18" s="2">
        <v>15</v>
      </c>
      <c r="B18" s="2" t="s">
        <v>248</v>
      </c>
      <c r="C18" s="2" t="s">
        <v>309</v>
      </c>
      <c r="D18" s="4" t="s">
        <v>250</v>
      </c>
      <c r="E18" s="2" t="s">
        <v>310</v>
      </c>
      <c r="F18" s="2" t="s">
        <v>311</v>
      </c>
      <c r="G18" s="2">
        <v>1977</v>
      </c>
      <c r="H18" s="2">
        <v>2008</v>
      </c>
      <c r="I18" s="2">
        <v>1</v>
      </c>
      <c r="J18" s="2">
        <v>1</v>
      </c>
      <c r="K18" s="2">
        <v>1</v>
      </c>
      <c r="L18" s="2">
        <v>1</v>
      </c>
      <c r="M18" s="2">
        <v>0</v>
      </c>
      <c r="N18" s="2">
        <v>0</v>
      </c>
      <c r="O18" s="4">
        <f>((14+19)/2+(12.2+15.6)/2)/2</f>
        <v>15.2</v>
      </c>
      <c r="P18" s="4">
        <f>(O18-5)*12</f>
        <v>122.39999999999999</v>
      </c>
      <c r="Q18" s="4">
        <f>((1150+1490)/2+(1100+1900)/2)/2</f>
        <v>1410</v>
      </c>
      <c r="R18" s="4"/>
      <c r="S18" s="4">
        <v>49</v>
      </c>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V18" s="4"/>
      <c r="AW18" s="4"/>
      <c r="AX18" s="4"/>
      <c r="AY18" s="4"/>
      <c r="AZ18" s="4"/>
      <c r="BA18" s="4"/>
      <c r="BB18" s="4"/>
      <c r="BC18" s="4"/>
      <c r="BD18" s="4"/>
      <c r="BE18" s="4"/>
      <c r="BF18" s="4"/>
      <c r="BG18" s="4"/>
      <c r="BH18" s="4"/>
      <c r="BI18" s="4"/>
      <c r="BJ18" s="4"/>
      <c r="BK18" s="4"/>
      <c r="BL18" s="4"/>
      <c r="BM18" s="4"/>
      <c r="BN18" s="4"/>
      <c r="BO18" s="4"/>
      <c r="BP18" s="4">
        <f>96.54*0.5</f>
        <v>48.27</v>
      </c>
      <c r="BQ18" s="4">
        <f>BU18/BP18</f>
        <v>0.48839859125750978</v>
      </c>
      <c r="BR18" s="4"/>
      <c r="BS18" s="4"/>
      <c r="BT18" s="4"/>
      <c r="BU18" s="4">
        <f>47.15*0.5</f>
        <v>23.574999999999999</v>
      </c>
      <c r="BV18" s="4">
        <f>BU18+BP18</f>
        <v>71.844999999999999</v>
      </c>
      <c r="BW18" s="4"/>
      <c r="BX18" s="4"/>
      <c r="BY18" s="4"/>
      <c r="BZ18" s="4">
        <v>69.63000000000001</v>
      </c>
      <c r="CA18" s="4"/>
      <c r="CB18" s="4"/>
      <c r="CC18" s="4"/>
      <c r="CD18" s="4"/>
      <c r="CE18" s="4"/>
      <c r="CF18" s="4"/>
      <c r="CG18" s="4"/>
      <c r="CH18" s="4"/>
      <c r="CI18" s="4"/>
      <c r="CJ18" s="4"/>
      <c r="CK18" s="4"/>
      <c r="CL18" s="4"/>
      <c r="CM18" s="4"/>
      <c r="CN18" s="4"/>
      <c r="CP18" s="2" t="s">
        <v>312</v>
      </c>
      <c r="CQ18" s="2" t="s">
        <v>254</v>
      </c>
      <c r="CR18" s="10" t="s">
        <v>308</v>
      </c>
      <c r="CS18" s="9" t="s">
        <v>256</v>
      </c>
    </row>
    <row r="19" spans="1:97" s="2" customFormat="1" ht="12.75">
      <c r="A19" s="2">
        <v>16</v>
      </c>
      <c r="B19" s="2" t="s">
        <v>248</v>
      </c>
      <c r="C19" s="2" t="s">
        <v>313</v>
      </c>
      <c r="D19" s="4" t="s">
        <v>261</v>
      </c>
      <c r="E19" s="2" t="s">
        <v>314</v>
      </c>
      <c r="F19" s="2" t="s">
        <v>315</v>
      </c>
      <c r="G19" s="2">
        <v>1977</v>
      </c>
      <c r="H19" s="2">
        <v>2008</v>
      </c>
      <c r="I19" s="2">
        <v>1</v>
      </c>
      <c r="J19" s="2">
        <v>0</v>
      </c>
      <c r="K19" s="2">
        <v>1</v>
      </c>
      <c r="L19" s="2">
        <v>1</v>
      </c>
      <c r="M19" s="2">
        <v>0</v>
      </c>
      <c r="N19" s="2">
        <v>0</v>
      </c>
      <c r="O19" s="4">
        <f>(18.3+19)/2</f>
        <v>18.649999999999999</v>
      </c>
      <c r="P19" s="4">
        <f>(O19-5)*12</f>
        <v>163.79999999999998</v>
      </c>
      <c r="Q19" s="4">
        <f>(1104+1250)/2</f>
        <v>1177</v>
      </c>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V19" s="4"/>
      <c r="AW19" s="4"/>
      <c r="AX19" s="4"/>
      <c r="AY19" s="4"/>
      <c r="AZ19" s="4"/>
      <c r="BA19" s="4"/>
      <c r="BB19" s="4"/>
      <c r="BC19" s="4"/>
      <c r="BD19" s="4"/>
      <c r="BE19" s="4"/>
      <c r="BF19" s="4"/>
      <c r="BG19" s="4"/>
      <c r="BH19" s="4"/>
      <c r="BI19" s="4"/>
      <c r="BJ19" s="4"/>
      <c r="BK19" s="4"/>
      <c r="BL19" s="4"/>
      <c r="BM19" s="4"/>
      <c r="BN19" s="4"/>
      <c r="BO19" s="4"/>
      <c r="BP19" s="4">
        <f>44.78*0.5</f>
        <v>22.39</v>
      </c>
      <c r="BQ19" s="4">
        <f>BU19/BP19</f>
        <v>0.47543546225993744</v>
      </c>
      <c r="BR19" s="4"/>
      <c r="BS19" s="4"/>
      <c r="BT19" s="4"/>
      <c r="BU19" s="4">
        <f>21.29*0.5</f>
        <v>10.645</v>
      </c>
      <c r="BV19" s="4">
        <f>BU19+BP19</f>
        <v>33.034999999999997</v>
      </c>
      <c r="BW19" s="4"/>
      <c r="BX19" s="4"/>
      <c r="BY19" s="4"/>
      <c r="BZ19" s="4"/>
      <c r="CA19" s="4"/>
      <c r="CB19" s="4"/>
      <c r="CC19" s="4"/>
      <c r="CD19" s="4"/>
      <c r="CE19" s="4"/>
      <c r="CF19" s="4"/>
      <c r="CG19" s="4"/>
      <c r="CH19" s="4"/>
      <c r="CI19" s="4"/>
      <c r="CJ19" s="4"/>
      <c r="CK19" s="4"/>
      <c r="CL19" s="4"/>
      <c r="CM19" s="4"/>
      <c r="CN19" s="4"/>
      <c r="CO19" s="4"/>
      <c r="CP19" s="2" t="s">
        <v>316</v>
      </c>
      <c r="CQ19" s="2" t="s">
        <v>254</v>
      </c>
      <c r="CR19" s="10" t="s">
        <v>308</v>
      </c>
      <c r="CS19" s="9" t="s">
        <v>256</v>
      </c>
    </row>
    <row r="20" spans="1:97" s="2" customFormat="1" ht="12.75">
      <c r="A20" s="2">
        <v>17</v>
      </c>
      <c r="B20" s="2" t="s">
        <v>248</v>
      </c>
      <c r="C20" s="2" t="s">
        <v>317</v>
      </c>
      <c r="D20" s="4" t="s">
        <v>261</v>
      </c>
      <c r="E20" s="2" t="s">
        <v>318</v>
      </c>
      <c r="F20" s="2" t="s">
        <v>319</v>
      </c>
      <c r="G20" s="2">
        <v>1977</v>
      </c>
      <c r="H20" s="2">
        <v>2008</v>
      </c>
      <c r="I20" s="2">
        <v>1</v>
      </c>
      <c r="J20" s="2">
        <v>1</v>
      </c>
      <c r="K20" s="2">
        <v>1</v>
      </c>
      <c r="L20" s="2">
        <v>1</v>
      </c>
      <c r="M20" s="2">
        <v>0</v>
      </c>
      <c r="N20" s="2">
        <v>0</v>
      </c>
      <c r="O20" s="4">
        <f>23</f>
        <v>23</v>
      </c>
      <c r="P20" s="4">
        <f>(O20-5)*12</f>
        <v>216</v>
      </c>
      <c r="Q20" s="4">
        <f>2000</f>
        <v>2000</v>
      </c>
      <c r="R20" s="4"/>
      <c r="S20" s="4">
        <v>877</v>
      </c>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V20" s="4"/>
      <c r="AW20" s="4"/>
      <c r="AX20" s="4"/>
      <c r="AY20" s="4"/>
      <c r="AZ20" s="4"/>
      <c r="BA20" s="4"/>
      <c r="BB20" s="4"/>
      <c r="BC20" s="4"/>
      <c r="BD20" s="4"/>
      <c r="BE20" s="4"/>
      <c r="BF20" s="4"/>
      <c r="BG20" s="4"/>
      <c r="BH20" s="4"/>
      <c r="BI20" s="4"/>
      <c r="BJ20" s="4"/>
      <c r="BK20" s="4"/>
      <c r="BL20" s="4"/>
      <c r="BM20" s="4"/>
      <c r="BN20" s="4"/>
      <c r="BO20" s="4"/>
      <c r="BP20" s="4">
        <f>64.72*0.5</f>
        <v>32.36</v>
      </c>
      <c r="BQ20" s="4">
        <f>BU20/BP20</f>
        <v>0.57586526576019781</v>
      </c>
      <c r="BR20" s="4"/>
      <c r="BS20" s="4"/>
      <c r="BT20" s="4"/>
      <c r="BU20" s="4">
        <f>37.27*0.5</f>
        <v>18.635000000000002</v>
      </c>
      <c r="BV20" s="4">
        <f>BU20+BP20</f>
        <v>50.995000000000005</v>
      </c>
      <c r="BW20" s="4"/>
      <c r="BX20" s="4"/>
      <c r="BY20" s="4"/>
      <c r="BZ20" s="4">
        <v>119.88</v>
      </c>
      <c r="CA20" s="4"/>
      <c r="CB20" s="4"/>
      <c r="CC20" s="4"/>
      <c r="CD20" s="4"/>
      <c r="CE20" s="4"/>
      <c r="CF20" s="4"/>
      <c r="CG20" s="4"/>
      <c r="CH20" s="4"/>
      <c r="CI20" s="4"/>
      <c r="CJ20" s="4"/>
      <c r="CK20" s="4"/>
      <c r="CL20" s="4"/>
      <c r="CM20" s="4"/>
      <c r="CN20" s="4"/>
      <c r="CO20" s="4"/>
      <c r="CP20" s="2" t="s">
        <v>320</v>
      </c>
      <c r="CQ20" s="2" t="s">
        <v>254</v>
      </c>
      <c r="CR20" s="10" t="s">
        <v>308</v>
      </c>
      <c r="CS20" s="9" t="s">
        <v>256</v>
      </c>
    </row>
    <row r="21" spans="1:97" s="2" customFormat="1" ht="12.75">
      <c r="A21" s="2">
        <v>18</v>
      </c>
      <c r="B21" s="2" t="s">
        <v>248</v>
      </c>
      <c r="C21" s="2" t="s">
        <v>321</v>
      </c>
      <c r="D21" s="4" t="s">
        <v>250</v>
      </c>
      <c r="E21" s="2" t="s">
        <v>322</v>
      </c>
      <c r="F21" s="2" t="s">
        <v>323</v>
      </c>
      <c r="G21" s="2">
        <v>2008</v>
      </c>
      <c r="H21" s="2">
        <v>2008</v>
      </c>
      <c r="I21" s="2">
        <v>1</v>
      </c>
      <c r="J21" s="2">
        <v>0</v>
      </c>
      <c r="K21" s="2">
        <v>1</v>
      </c>
      <c r="L21" s="2">
        <v>1</v>
      </c>
      <c r="M21" s="2">
        <v>0</v>
      </c>
      <c r="N21" s="2">
        <v>0</v>
      </c>
      <c r="O21" s="4">
        <f>(15.6+17.6)/2</f>
        <v>16.600000000000001</v>
      </c>
      <c r="P21" s="4">
        <f>(O21-5)*12</f>
        <v>139.20000000000002</v>
      </c>
      <c r="Q21" s="4">
        <v>1550</v>
      </c>
      <c r="R21" s="4"/>
      <c r="S21" s="4">
        <v>354</v>
      </c>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W21" s="4">
        <v>2734</v>
      </c>
      <c r="AX21" s="4">
        <f>(12.9+10/1)/2</f>
        <v>11.45</v>
      </c>
      <c r="AY21" s="4"/>
      <c r="AZ21" s="4">
        <f>(AX21/2)^2*PI()*AW21/10000</f>
        <v>28.151358986776938</v>
      </c>
      <c r="BA21" s="4"/>
      <c r="BB21" s="4"/>
      <c r="BC21" s="4"/>
      <c r="BD21" s="4"/>
      <c r="BE21" s="4"/>
      <c r="BF21" s="4"/>
      <c r="BG21" s="4"/>
      <c r="BH21" s="4"/>
      <c r="BI21" s="4"/>
      <c r="BJ21" s="4"/>
      <c r="BK21" s="4"/>
      <c r="BL21" s="4"/>
      <c r="BM21" s="4"/>
      <c r="BN21" s="4"/>
      <c r="BO21" s="4"/>
      <c r="BP21" s="4">
        <v>23.718</v>
      </c>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2" t="s">
        <v>324</v>
      </c>
      <c r="CQ21" s="2" t="s">
        <v>254</v>
      </c>
      <c r="CR21" s="10" t="s">
        <v>325</v>
      </c>
      <c r="CS21" s="9" t="s">
        <v>256</v>
      </c>
    </row>
    <row r="22" spans="1:97" s="2" customFormat="1" ht="12.75">
      <c r="A22" s="2">
        <v>19</v>
      </c>
      <c r="B22" s="2" t="s">
        <v>248</v>
      </c>
      <c r="C22" s="2" t="s">
        <v>326</v>
      </c>
      <c r="D22" s="4" t="s">
        <v>250</v>
      </c>
      <c r="E22" s="2" t="s">
        <v>327</v>
      </c>
      <c r="F22" s="2" t="s">
        <v>328</v>
      </c>
      <c r="G22" s="2">
        <v>2014</v>
      </c>
      <c r="H22" s="2">
        <v>2014</v>
      </c>
      <c r="I22" s="2">
        <v>1</v>
      </c>
      <c r="J22" s="2">
        <v>0</v>
      </c>
      <c r="K22" s="2">
        <v>0</v>
      </c>
      <c r="L22" s="2">
        <v>1</v>
      </c>
      <c r="M22" s="2">
        <v>0</v>
      </c>
      <c r="N22" s="2">
        <v>0</v>
      </c>
      <c r="O22" s="4">
        <v>15.6</v>
      </c>
      <c r="P22" s="4">
        <v>127.19999999999999</v>
      </c>
      <c r="Q22" s="4">
        <v>1400</v>
      </c>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W22" s="4">
        <v>3129</v>
      </c>
      <c r="AX22" s="4">
        <v>9.09</v>
      </c>
      <c r="AY22" s="4"/>
      <c r="AZ22" s="4">
        <f>(AX22/2)^2*PI()*AW22/10000</f>
        <v>20.305945253512977</v>
      </c>
      <c r="BA22" s="4"/>
      <c r="BB22" s="4"/>
      <c r="BC22" s="4"/>
      <c r="BD22" s="4"/>
      <c r="BE22" s="4"/>
      <c r="BF22" s="4"/>
      <c r="BG22" s="4"/>
      <c r="BH22" s="4"/>
      <c r="BI22" s="4"/>
      <c r="BJ22" s="4"/>
      <c r="BK22" s="4"/>
      <c r="BL22" s="4"/>
      <c r="BM22" s="4"/>
      <c r="BN22" s="4"/>
      <c r="BO22" s="4"/>
      <c r="BP22" s="4">
        <v>18.899999999999999</v>
      </c>
      <c r="BQ22" s="4"/>
      <c r="BR22" s="4"/>
      <c r="BS22" s="4"/>
      <c r="BT22" s="4"/>
      <c r="BU22" s="4"/>
      <c r="BV22" s="4"/>
      <c r="BW22" s="4"/>
      <c r="BX22" s="4">
        <v>120.2</v>
      </c>
      <c r="BY22" s="4"/>
      <c r="BZ22" s="4"/>
      <c r="CA22" s="4"/>
      <c r="CB22" s="4"/>
      <c r="CC22" s="4"/>
      <c r="CD22" s="4"/>
      <c r="CE22" s="4"/>
      <c r="CF22" s="4"/>
      <c r="CG22" s="4"/>
      <c r="CH22" s="4"/>
      <c r="CI22" s="4"/>
      <c r="CJ22" s="4"/>
      <c r="CK22" s="4"/>
      <c r="CL22" s="4"/>
      <c r="CM22" s="4"/>
      <c r="CN22" s="4"/>
      <c r="CO22" s="4"/>
      <c r="CP22" s="2" t="s">
        <v>329</v>
      </c>
      <c r="CQ22" s="2" t="s">
        <v>254</v>
      </c>
      <c r="CR22" s="10" t="s">
        <v>330</v>
      </c>
      <c r="CS22" s="9" t="s">
        <v>256</v>
      </c>
    </row>
    <row r="23" spans="1:97" s="2" customFormat="1" ht="12.75">
      <c r="A23" s="2">
        <v>20</v>
      </c>
      <c r="B23" s="2" t="s">
        <v>248</v>
      </c>
      <c r="C23" s="2" t="s">
        <v>331</v>
      </c>
      <c r="D23" s="4" t="s">
        <v>250</v>
      </c>
      <c r="E23" s="2" t="s">
        <v>332</v>
      </c>
      <c r="F23" s="2" t="s">
        <v>333</v>
      </c>
      <c r="G23" s="2">
        <v>2014</v>
      </c>
      <c r="H23" s="2">
        <v>2014</v>
      </c>
      <c r="I23" s="2">
        <v>1</v>
      </c>
      <c r="J23" s="2">
        <v>1</v>
      </c>
      <c r="K23" s="2">
        <v>1</v>
      </c>
      <c r="L23" s="2">
        <v>1</v>
      </c>
      <c r="M23" s="2">
        <v>0</v>
      </c>
      <c r="N23" s="2">
        <v>0</v>
      </c>
      <c r="O23" s="4">
        <v>15.6</v>
      </c>
      <c r="P23" s="4">
        <v>127.19999999999999</v>
      </c>
      <c r="Q23" s="4">
        <v>1400</v>
      </c>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W23" s="4">
        <v>3555</v>
      </c>
      <c r="AX23" s="4">
        <v>9.73</v>
      </c>
      <c r="AY23" s="4"/>
      <c r="AZ23" s="4">
        <f>(AX23/2)^2*PI()*AW23/10000</f>
        <v>26.433530194037907</v>
      </c>
      <c r="BA23" s="4"/>
      <c r="BB23" s="4"/>
      <c r="BC23" s="4"/>
      <c r="BD23" s="4"/>
      <c r="BE23" s="4"/>
      <c r="BF23" s="4"/>
      <c r="BG23" s="4"/>
      <c r="BH23" s="4"/>
      <c r="BI23" s="4"/>
      <c r="BJ23" s="4"/>
      <c r="BK23" s="4"/>
      <c r="BL23" s="4"/>
      <c r="BM23" s="4"/>
      <c r="BN23" s="4"/>
      <c r="BO23" s="4"/>
      <c r="BP23" s="4">
        <v>24.75</v>
      </c>
      <c r="BQ23" s="4"/>
      <c r="BR23" s="4"/>
      <c r="BS23" s="4"/>
      <c r="BT23" s="4"/>
      <c r="BU23" s="4"/>
      <c r="BV23" s="4"/>
      <c r="BW23" s="4"/>
      <c r="BX23" s="4">
        <v>108.1</v>
      </c>
      <c r="BY23" s="4"/>
      <c r="BZ23" s="4"/>
      <c r="CA23" s="4"/>
      <c r="CB23" s="4"/>
      <c r="CC23" s="4"/>
      <c r="CD23" s="4"/>
      <c r="CE23" s="4"/>
      <c r="CF23" s="4"/>
      <c r="CG23" s="4"/>
      <c r="CH23" s="4"/>
      <c r="CI23" s="4"/>
      <c r="CJ23" s="4"/>
      <c r="CK23" s="4"/>
      <c r="CL23" s="4"/>
      <c r="CM23" s="4"/>
      <c r="CN23" s="4"/>
      <c r="CO23" s="4"/>
      <c r="CP23" s="2" t="s">
        <v>334</v>
      </c>
      <c r="CQ23" s="2" t="s">
        <v>254</v>
      </c>
      <c r="CR23" s="10" t="s">
        <v>330</v>
      </c>
      <c r="CS23" s="9" t="s">
        <v>256</v>
      </c>
    </row>
    <row r="24" spans="1:97" s="2" customFormat="1" ht="12.75">
      <c r="A24" s="2">
        <v>21</v>
      </c>
      <c r="B24" s="2" t="s">
        <v>248</v>
      </c>
      <c r="C24" s="2" t="s">
        <v>331</v>
      </c>
      <c r="D24" s="4" t="s">
        <v>250</v>
      </c>
      <c r="E24" s="2" t="s">
        <v>335</v>
      </c>
      <c r="F24" s="2" t="s">
        <v>336</v>
      </c>
      <c r="G24" s="2">
        <v>2014</v>
      </c>
      <c r="H24" s="2">
        <v>2014</v>
      </c>
      <c r="I24" s="2">
        <v>1</v>
      </c>
      <c r="J24" s="2">
        <v>0</v>
      </c>
      <c r="K24" s="2">
        <v>1</v>
      </c>
      <c r="L24" s="2">
        <v>1</v>
      </c>
      <c r="M24" s="2">
        <v>0</v>
      </c>
      <c r="N24" s="2">
        <v>0</v>
      </c>
      <c r="O24" s="4">
        <v>15.6</v>
      </c>
      <c r="P24" s="4">
        <v>127.19999999999999</v>
      </c>
      <c r="Q24" s="4">
        <v>1400</v>
      </c>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W24" s="4">
        <v>3182</v>
      </c>
      <c r="AX24" s="4">
        <v>9.35</v>
      </c>
      <c r="AY24" s="4"/>
      <c r="AZ24" s="4">
        <f>(AX24/2)^2*PI()*AW24/10000</f>
        <v>21.848080052984994</v>
      </c>
      <c r="BA24" s="4"/>
      <c r="BB24" s="4"/>
      <c r="BC24" s="4"/>
      <c r="BD24" s="4"/>
      <c r="BE24" s="4"/>
      <c r="BF24" s="4"/>
      <c r="BG24" s="4"/>
      <c r="BH24" s="4"/>
      <c r="BI24" s="4"/>
      <c r="BJ24" s="4"/>
      <c r="BK24" s="4"/>
      <c r="BL24" s="4"/>
      <c r="BM24" s="4"/>
      <c r="BN24" s="4"/>
      <c r="BO24" s="4"/>
      <c r="BP24" s="4">
        <v>20.76</v>
      </c>
      <c r="BQ24" s="4"/>
      <c r="BR24" s="4"/>
      <c r="BS24" s="4"/>
      <c r="BT24" s="4"/>
      <c r="BU24" s="4"/>
      <c r="BV24" s="4"/>
      <c r="BW24" s="4"/>
      <c r="BX24" s="4">
        <v>111.7</v>
      </c>
      <c r="BY24" s="4"/>
      <c r="BZ24" s="4"/>
      <c r="CA24" s="4"/>
      <c r="CB24" s="4"/>
      <c r="CC24" s="4"/>
      <c r="CD24" s="4"/>
      <c r="CE24" s="4"/>
      <c r="CF24" s="4"/>
      <c r="CG24" s="4"/>
      <c r="CH24" s="4"/>
      <c r="CI24" s="4"/>
      <c r="CJ24" s="4"/>
      <c r="CK24" s="4"/>
      <c r="CL24" s="4"/>
      <c r="CM24" s="4"/>
      <c r="CN24" s="4"/>
      <c r="CO24" s="4"/>
      <c r="CP24" s="2" t="s">
        <v>334</v>
      </c>
      <c r="CQ24" s="2" t="s">
        <v>254</v>
      </c>
      <c r="CR24" s="10" t="s">
        <v>330</v>
      </c>
      <c r="CS24" s="9" t="s">
        <v>256</v>
      </c>
    </row>
    <row r="25" spans="1:97" s="2" customFormat="1" ht="12.75">
      <c r="A25" s="2">
        <v>22</v>
      </c>
      <c r="B25" s="2" t="s">
        <v>248</v>
      </c>
      <c r="C25" s="2" t="s">
        <v>337</v>
      </c>
      <c r="D25" s="4" t="s">
        <v>250</v>
      </c>
      <c r="E25" s="2" t="s">
        <v>338</v>
      </c>
      <c r="F25" s="2" t="s">
        <v>339</v>
      </c>
      <c r="G25" s="2">
        <v>2010</v>
      </c>
      <c r="H25" s="2">
        <v>2010</v>
      </c>
      <c r="I25" s="2">
        <v>1</v>
      </c>
      <c r="J25" s="2">
        <v>1</v>
      </c>
      <c r="K25" s="2">
        <v>1</v>
      </c>
      <c r="L25" s="2">
        <v>1</v>
      </c>
      <c r="M25" s="2">
        <v>0</v>
      </c>
      <c r="N25" s="2">
        <v>0</v>
      </c>
      <c r="O25" s="4">
        <v>15.9</v>
      </c>
      <c r="P25" s="4">
        <f>(O25-5)*12</f>
        <v>130.80000000000001</v>
      </c>
      <c r="Q25" s="4">
        <v>1424</v>
      </c>
      <c r="R25" s="4"/>
      <c r="S25" s="4">
        <f>(100+250)/2</f>
        <v>175</v>
      </c>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W25" s="4">
        <f>(3475+3325+3300+3250+4025+3625+3625+3575+4250+3375+2750+3025+2550+2475+3075+3550+2425+3225)/18</f>
        <v>3272.2222222222222</v>
      </c>
      <c r="AX25" s="4">
        <f>(9.7+9.1+8.8+9.5+8+8.3+9+10.1+8.8+8.3+8.7+9+9+9.5+9.2+8.8+11.3+10.7)/18</f>
        <v>9.2111111111111104</v>
      </c>
      <c r="AY25" s="4"/>
      <c r="AZ25" s="4">
        <f>(AX25/2)^2*PI()*AW25/10000</f>
        <v>21.805031242491747</v>
      </c>
      <c r="BA25" s="4"/>
      <c r="BB25" s="4"/>
      <c r="BC25" s="4"/>
      <c r="BD25" s="4"/>
      <c r="BE25" s="4"/>
      <c r="BF25" s="4"/>
      <c r="BG25" s="4"/>
      <c r="BH25" s="4"/>
      <c r="BI25" s="4"/>
      <c r="BJ25" s="4"/>
      <c r="BK25" s="4"/>
      <c r="BL25" s="4"/>
      <c r="BM25" s="4"/>
      <c r="BN25" s="4"/>
      <c r="BO25" s="4"/>
      <c r="BP25" s="4">
        <f>40.708*0.5</f>
        <v>20.353999999999999</v>
      </c>
      <c r="BQ25" s="4"/>
      <c r="BR25" s="4"/>
      <c r="BS25" s="4"/>
      <c r="BT25" s="4"/>
      <c r="BU25" s="4"/>
      <c r="BV25" s="4"/>
      <c r="BW25" s="4"/>
      <c r="BX25" s="4">
        <v>80.834999999999994</v>
      </c>
      <c r="BY25" s="4"/>
      <c r="BZ25" s="4"/>
      <c r="CA25" s="4"/>
      <c r="CB25" s="4"/>
      <c r="CC25" s="4"/>
      <c r="CD25" s="4"/>
      <c r="CE25" s="4"/>
      <c r="CF25" s="4"/>
      <c r="CG25" s="4"/>
      <c r="CH25" s="4"/>
      <c r="CI25" s="4"/>
      <c r="CJ25" s="4"/>
      <c r="CK25" s="4"/>
      <c r="CL25" s="4"/>
      <c r="CM25" s="4"/>
      <c r="CN25" s="4"/>
      <c r="CO25" s="4"/>
      <c r="CP25" s="2" t="s">
        <v>340</v>
      </c>
      <c r="CQ25" s="2" t="s">
        <v>254</v>
      </c>
      <c r="CR25" s="10" t="s">
        <v>341</v>
      </c>
      <c r="CS25" s="9" t="s">
        <v>256</v>
      </c>
    </row>
    <row r="26" spans="1:97" s="2" customFormat="1" ht="12.75">
      <c r="A26" s="2">
        <v>23</v>
      </c>
      <c r="B26" s="2" t="s">
        <v>248</v>
      </c>
      <c r="C26" s="2" t="s">
        <v>342</v>
      </c>
      <c r="D26" s="4" t="s">
        <v>250</v>
      </c>
      <c r="E26" s="2" t="s">
        <v>343</v>
      </c>
      <c r="F26" s="2" t="s">
        <v>344</v>
      </c>
      <c r="G26" s="2">
        <v>2013</v>
      </c>
      <c r="H26" s="2">
        <v>2016</v>
      </c>
      <c r="I26" s="2">
        <v>1</v>
      </c>
      <c r="J26" s="2">
        <v>0</v>
      </c>
      <c r="K26" s="2">
        <v>1</v>
      </c>
      <c r="L26" s="2">
        <v>1</v>
      </c>
      <c r="M26" s="2">
        <v>0</v>
      </c>
      <c r="N26" s="11">
        <v>0</v>
      </c>
      <c r="O26" s="4">
        <v>15.6</v>
      </c>
      <c r="P26" s="4">
        <f>(O26-5)*12+(5-3)</f>
        <v>129.19999999999999</v>
      </c>
      <c r="Q26" s="4">
        <v>1420</v>
      </c>
      <c r="R26" s="4"/>
      <c r="S26" s="4"/>
      <c r="T26" s="4"/>
      <c r="U26" s="4">
        <v>1847</v>
      </c>
      <c r="V26" s="4"/>
      <c r="W26" s="4"/>
      <c r="X26" s="4"/>
      <c r="Y26" s="4"/>
      <c r="Z26" s="4"/>
      <c r="AA26" s="4"/>
      <c r="AB26" s="4"/>
      <c r="AC26" s="4"/>
      <c r="AD26" s="4"/>
      <c r="AE26" s="4"/>
      <c r="AF26" s="4"/>
      <c r="AG26" s="4"/>
      <c r="AH26" s="4"/>
      <c r="AI26" s="4"/>
      <c r="AJ26" s="4"/>
      <c r="AK26" s="4"/>
      <c r="AL26" s="4"/>
      <c r="AM26" s="4"/>
      <c r="AN26" s="4"/>
      <c r="AO26" s="4"/>
      <c r="AP26" s="4"/>
      <c r="AQ26" s="4"/>
      <c r="AR26" s="4"/>
      <c r="AS26" s="4"/>
      <c r="AT26" s="4"/>
      <c r="AW26" s="4"/>
      <c r="AX26" s="4"/>
      <c r="AY26" s="4"/>
      <c r="AZ26" s="4"/>
      <c r="BA26" s="4"/>
      <c r="BB26" s="4"/>
      <c r="BC26" s="4"/>
      <c r="BD26" s="4"/>
      <c r="BE26" s="4"/>
      <c r="BF26" s="4"/>
      <c r="BG26" s="4"/>
      <c r="BH26" s="4"/>
      <c r="BI26" s="4"/>
      <c r="BJ26" s="4"/>
      <c r="BK26" s="4"/>
      <c r="BL26" s="4"/>
      <c r="BM26" s="4"/>
      <c r="BN26" s="4"/>
      <c r="BO26" s="4"/>
      <c r="BP26" s="4">
        <v>27</v>
      </c>
      <c r="BQ26" s="4"/>
      <c r="BR26" s="4"/>
      <c r="BS26" s="4"/>
      <c r="BT26" s="4"/>
      <c r="BU26" s="4">
        <v>19</v>
      </c>
      <c r="BV26" s="4">
        <f t="shared" ref="BV26:BV34" si="3">BU26+BP26</f>
        <v>46</v>
      </c>
      <c r="BW26" s="4"/>
      <c r="BX26" s="4">
        <v>68.099999999999994</v>
      </c>
      <c r="BY26" s="4"/>
      <c r="BZ26" s="4">
        <f>BV26+BX26</f>
        <v>114.1</v>
      </c>
      <c r="CA26" s="4"/>
      <c r="CB26" s="4"/>
      <c r="CC26" s="4"/>
      <c r="CD26" s="4"/>
      <c r="CE26" s="4"/>
      <c r="CF26" s="4">
        <v>4.17</v>
      </c>
      <c r="CG26" s="4"/>
      <c r="CH26" s="4"/>
      <c r="CI26" s="4"/>
      <c r="CJ26" s="4">
        <v>3.11</v>
      </c>
      <c r="CK26" s="4">
        <v>7.28</v>
      </c>
      <c r="CL26" s="4"/>
      <c r="CM26" s="4">
        <v>0.51</v>
      </c>
      <c r="CN26" s="4"/>
      <c r="CO26" s="4">
        <f>CK26-CM26</f>
        <v>6.7700000000000005</v>
      </c>
      <c r="CP26" s="2" t="s">
        <v>345</v>
      </c>
      <c r="CQ26" s="2" t="s">
        <v>254</v>
      </c>
      <c r="CR26" s="10" t="s">
        <v>346</v>
      </c>
      <c r="CS26" s="9" t="s">
        <v>256</v>
      </c>
    </row>
    <row r="27" spans="1:97" s="2" customFormat="1" ht="12.75">
      <c r="A27" s="2">
        <v>24</v>
      </c>
      <c r="B27" s="2" t="s">
        <v>248</v>
      </c>
      <c r="C27" s="2" t="s">
        <v>342</v>
      </c>
      <c r="D27" s="4" t="s">
        <v>250</v>
      </c>
      <c r="E27" s="2" t="s">
        <v>347</v>
      </c>
      <c r="F27" s="2" t="s">
        <v>348</v>
      </c>
      <c r="G27" s="2">
        <v>2013</v>
      </c>
      <c r="H27" s="2">
        <v>2016</v>
      </c>
      <c r="I27" s="2">
        <v>1</v>
      </c>
      <c r="J27" s="2">
        <v>3</v>
      </c>
      <c r="K27" s="2">
        <v>1</v>
      </c>
      <c r="L27" s="2">
        <v>1</v>
      </c>
      <c r="M27" s="2">
        <v>1</v>
      </c>
      <c r="N27" s="11">
        <v>1</v>
      </c>
      <c r="O27" s="4">
        <v>15.6</v>
      </c>
      <c r="P27" s="4">
        <f>(O27-5)*12+(5-3)</f>
        <v>129.19999999999999</v>
      </c>
      <c r="Q27" s="4">
        <v>1420</v>
      </c>
      <c r="R27" s="4"/>
      <c r="S27" s="4"/>
      <c r="T27" s="4"/>
      <c r="U27" s="4">
        <v>1847</v>
      </c>
      <c r="V27" s="4"/>
      <c r="W27" s="4"/>
      <c r="X27" s="4"/>
      <c r="Y27" s="4"/>
      <c r="Z27" s="4"/>
      <c r="AA27" s="4"/>
      <c r="AB27" s="4"/>
      <c r="AC27" s="4"/>
      <c r="AD27" s="4"/>
      <c r="AE27" s="4"/>
      <c r="AF27" s="4"/>
      <c r="AG27" s="4"/>
      <c r="AH27" s="4"/>
      <c r="AI27" s="4"/>
      <c r="AJ27" s="4"/>
      <c r="AK27" s="4"/>
      <c r="AL27" s="4"/>
      <c r="AM27" s="4"/>
      <c r="AN27" s="4"/>
      <c r="AO27" s="4"/>
      <c r="AP27" s="4"/>
      <c r="AQ27" s="4"/>
      <c r="AR27" s="4"/>
      <c r="AS27" s="4"/>
      <c r="AT27" s="4"/>
      <c r="AW27" s="4"/>
      <c r="AX27" s="4"/>
      <c r="AY27" s="4"/>
      <c r="AZ27" s="4"/>
      <c r="BA27" s="4"/>
      <c r="BB27" s="4"/>
      <c r="BC27" s="4"/>
      <c r="BD27" s="4"/>
      <c r="BE27" s="4"/>
      <c r="BF27" s="4"/>
      <c r="BG27" s="4"/>
      <c r="BH27" s="4"/>
      <c r="BI27" s="4"/>
      <c r="BJ27" s="4"/>
      <c r="BK27" s="4"/>
      <c r="BL27" s="4"/>
      <c r="BM27" s="4"/>
      <c r="BN27" s="4"/>
      <c r="BO27" s="4"/>
      <c r="BP27" s="4">
        <v>33</v>
      </c>
      <c r="BQ27" s="4"/>
      <c r="BR27" s="4"/>
      <c r="BS27" s="4"/>
      <c r="BT27" s="4"/>
      <c r="BU27" s="4">
        <v>24</v>
      </c>
      <c r="BV27" s="4">
        <f t="shared" si="3"/>
        <v>57</v>
      </c>
      <c r="BW27" s="4"/>
      <c r="BX27" s="4">
        <v>66</v>
      </c>
      <c r="BY27" s="4"/>
      <c r="BZ27" s="4">
        <f>BV27+BX27</f>
        <v>123</v>
      </c>
      <c r="CA27" s="4"/>
      <c r="CB27" s="4"/>
      <c r="CC27" s="4"/>
      <c r="CD27" s="4"/>
      <c r="CE27" s="4"/>
      <c r="CF27" s="4">
        <v>5.08</v>
      </c>
      <c r="CG27" s="4"/>
      <c r="CH27" s="4"/>
      <c r="CI27" s="4"/>
      <c r="CJ27" s="4">
        <v>4.0199999999999996</v>
      </c>
      <c r="CK27" s="4">
        <v>9.1</v>
      </c>
      <c r="CL27" s="4"/>
      <c r="CM27" s="4">
        <v>1.0900000000000001</v>
      </c>
      <c r="CN27" s="4"/>
      <c r="CO27" s="4">
        <f>CK27-CM27</f>
        <v>8.01</v>
      </c>
      <c r="CP27" s="2" t="s">
        <v>345</v>
      </c>
      <c r="CQ27" s="2" t="s">
        <v>254</v>
      </c>
      <c r="CR27" s="10" t="s">
        <v>349</v>
      </c>
      <c r="CS27" s="9" t="s">
        <v>256</v>
      </c>
    </row>
    <row r="28" spans="1:97" s="2" customFormat="1" ht="12.75">
      <c r="A28" s="2">
        <v>25</v>
      </c>
      <c r="B28" s="2" t="s">
        <v>248</v>
      </c>
      <c r="C28" s="2" t="s">
        <v>342</v>
      </c>
      <c r="D28" s="4" t="s">
        <v>250</v>
      </c>
      <c r="E28" s="2" t="s">
        <v>350</v>
      </c>
      <c r="F28" s="2" t="s">
        <v>351</v>
      </c>
      <c r="G28" s="2">
        <v>2013</v>
      </c>
      <c r="H28" s="2">
        <v>2016</v>
      </c>
      <c r="I28" s="2">
        <v>1</v>
      </c>
      <c r="J28" s="2">
        <v>1</v>
      </c>
      <c r="K28" s="2">
        <v>1</v>
      </c>
      <c r="L28" s="2">
        <v>1</v>
      </c>
      <c r="M28" s="2">
        <v>1</v>
      </c>
      <c r="N28" s="11">
        <v>1</v>
      </c>
      <c r="O28" s="4">
        <v>15.6</v>
      </c>
      <c r="P28" s="4">
        <f>(O28-5)*12+(5-3)</f>
        <v>129.19999999999999</v>
      </c>
      <c r="Q28" s="4">
        <v>1420</v>
      </c>
      <c r="R28" s="4"/>
      <c r="S28" s="4"/>
      <c r="T28" s="4"/>
      <c r="U28" s="4">
        <v>1847</v>
      </c>
      <c r="V28" s="4"/>
      <c r="W28" s="4"/>
      <c r="X28" s="4"/>
      <c r="Y28" s="4"/>
      <c r="Z28" s="4"/>
      <c r="AA28" s="4"/>
      <c r="AB28" s="4"/>
      <c r="AC28" s="4"/>
      <c r="AD28" s="4"/>
      <c r="AE28" s="4"/>
      <c r="AF28" s="4"/>
      <c r="AG28" s="4"/>
      <c r="AH28" s="4"/>
      <c r="AI28" s="4"/>
      <c r="AJ28" s="4"/>
      <c r="AK28" s="4"/>
      <c r="AL28" s="4"/>
      <c r="AM28" s="4"/>
      <c r="AN28" s="4"/>
      <c r="AO28" s="4"/>
      <c r="AP28" s="4"/>
      <c r="AQ28" s="4"/>
      <c r="AR28" s="4"/>
      <c r="AS28" s="4"/>
      <c r="AT28" s="4"/>
      <c r="AW28" s="4"/>
      <c r="AX28" s="4"/>
      <c r="AY28" s="4"/>
      <c r="AZ28" s="4"/>
      <c r="BA28" s="4"/>
      <c r="BB28" s="4"/>
      <c r="BC28" s="4"/>
      <c r="BD28" s="4"/>
      <c r="BE28" s="4"/>
      <c r="BF28" s="4"/>
      <c r="BG28" s="4"/>
      <c r="BH28" s="4"/>
      <c r="BI28" s="4"/>
      <c r="BJ28" s="4"/>
      <c r="BK28" s="4"/>
      <c r="BL28" s="4"/>
      <c r="BM28" s="4"/>
      <c r="BN28" s="4"/>
      <c r="BO28" s="4"/>
      <c r="BP28" s="4">
        <v>35.1</v>
      </c>
      <c r="BQ28" s="4"/>
      <c r="BR28" s="4"/>
      <c r="BS28" s="4"/>
      <c r="BT28" s="4"/>
      <c r="BU28" s="4">
        <v>26.1</v>
      </c>
      <c r="BV28" s="4">
        <f t="shared" si="3"/>
        <v>61.2</v>
      </c>
      <c r="BW28" s="4"/>
      <c r="BX28" s="4">
        <v>64.099999999999994</v>
      </c>
      <c r="BY28" s="4"/>
      <c r="BZ28" s="4">
        <f>BV28+BX28</f>
        <v>125.3</v>
      </c>
      <c r="CA28" s="4"/>
      <c r="CB28" s="4"/>
      <c r="CC28" s="4"/>
      <c r="CD28" s="4"/>
      <c r="CE28" s="4"/>
      <c r="CF28" s="4">
        <v>5.46</v>
      </c>
      <c r="CG28" s="4"/>
      <c r="CH28" s="4"/>
      <c r="CI28" s="4"/>
      <c r="CJ28" s="4">
        <v>4.34</v>
      </c>
      <c r="CK28" s="4">
        <v>9.8000000000000007</v>
      </c>
      <c r="CL28" s="4"/>
      <c r="CM28" s="4">
        <v>1.37</v>
      </c>
      <c r="CN28" s="4"/>
      <c r="CO28" s="4">
        <f>CK28-CM28</f>
        <v>8.43</v>
      </c>
      <c r="CP28" s="2" t="s">
        <v>345</v>
      </c>
      <c r="CQ28" s="2" t="s">
        <v>254</v>
      </c>
      <c r="CR28" s="10" t="s">
        <v>352</v>
      </c>
      <c r="CS28" s="9" t="s">
        <v>256</v>
      </c>
    </row>
    <row r="29" spans="1:97" s="2" customFormat="1" ht="12.75">
      <c r="A29" s="2">
        <v>26</v>
      </c>
      <c r="B29" s="2" t="s">
        <v>248</v>
      </c>
      <c r="C29" s="2" t="s">
        <v>342</v>
      </c>
      <c r="D29" s="4" t="s">
        <v>250</v>
      </c>
      <c r="E29" s="2" t="s">
        <v>353</v>
      </c>
      <c r="F29" s="2" t="s">
        <v>354</v>
      </c>
      <c r="G29" s="2">
        <v>2013</v>
      </c>
      <c r="H29" s="2">
        <v>2016</v>
      </c>
      <c r="I29" s="2">
        <v>1</v>
      </c>
      <c r="J29" s="2">
        <v>2</v>
      </c>
      <c r="K29" s="2">
        <v>1</v>
      </c>
      <c r="L29" s="2">
        <v>1</v>
      </c>
      <c r="M29" s="2">
        <v>1</v>
      </c>
      <c r="N29" s="11">
        <v>1</v>
      </c>
      <c r="O29" s="4">
        <v>15.6</v>
      </c>
      <c r="P29" s="4">
        <f>(O29-5)*12+(5-3)</f>
        <v>129.19999999999999</v>
      </c>
      <c r="Q29" s="4">
        <v>1420</v>
      </c>
      <c r="R29" s="4"/>
      <c r="S29" s="4"/>
      <c r="T29" s="4"/>
      <c r="U29" s="4">
        <v>1847</v>
      </c>
      <c r="V29" s="4"/>
      <c r="W29" s="4"/>
      <c r="X29" s="4"/>
      <c r="Y29" s="4"/>
      <c r="Z29" s="4"/>
      <c r="AA29" s="4"/>
      <c r="AB29" s="4"/>
      <c r="AC29" s="4"/>
      <c r="AD29" s="4"/>
      <c r="AE29" s="4"/>
      <c r="AF29" s="4"/>
      <c r="AG29" s="4"/>
      <c r="AH29" s="4"/>
      <c r="AI29" s="4"/>
      <c r="AJ29" s="4"/>
      <c r="AK29" s="4"/>
      <c r="AL29" s="4"/>
      <c r="AM29" s="4"/>
      <c r="AN29" s="4"/>
      <c r="AO29" s="4"/>
      <c r="AP29" s="4"/>
      <c r="AQ29" s="4"/>
      <c r="AR29" s="4"/>
      <c r="AS29" s="4"/>
      <c r="AT29" s="4"/>
      <c r="AW29" s="4"/>
      <c r="AX29" s="4"/>
      <c r="AY29" s="4"/>
      <c r="AZ29" s="4"/>
      <c r="BA29" s="4"/>
      <c r="BB29" s="4"/>
      <c r="BC29" s="4"/>
      <c r="BD29" s="4"/>
      <c r="BE29" s="4"/>
      <c r="BF29" s="4"/>
      <c r="BG29" s="4"/>
      <c r="BH29" s="4"/>
      <c r="BI29" s="4"/>
      <c r="BJ29" s="4"/>
      <c r="BK29" s="4"/>
      <c r="BL29" s="4"/>
      <c r="BM29" s="4"/>
      <c r="BN29" s="4"/>
      <c r="BO29" s="4"/>
      <c r="BP29" s="4">
        <v>37.700000000000003</v>
      </c>
      <c r="BQ29" s="4"/>
      <c r="BR29" s="4"/>
      <c r="BS29" s="4"/>
      <c r="BT29" s="4"/>
      <c r="BU29" s="4">
        <v>26</v>
      </c>
      <c r="BV29" s="4">
        <f t="shared" si="3"/>
        <v>63.7</v>
      </c>
      <c r="BW29" s="4"/>
      <c r="BX29" s="4">
        <v>63</v>
      </c>
      <c r="BY29" s="4"/>
      <c r="BZ29" s="4">
        <f>BV29+BX29</f>
        <v>126.7</v>
      </c>
      <c r="CA29" s="4"/>
      <c r="CB29" s="4"/>
      <c r="CC29" s="4"/>
      <c r="CD29" s="4"/>
      <c r="CE29" s="4"/>
      <c r="CF29" s="4">
        <v>5.76</v>
      </c>
      <c r="CG29" s="4"/>
      <c r="CH29" s="4"/>
      <c r="CI29" s="4"/>
      <c r="CJ29" s="4">
        <v>4.33</v>
      </c>
      <c r="CK29" s="4">
        <v>10.09</v>
      </c>
      <c r="CL29" s="4"/>
      <c r="CM29" s="4">
        <v>1.29</v>
      </c>
      <c r="CN29" s="4"/>
      <c r="CO29" s="4">
        <f>CK29-CM29</f>
        <v>8.8000000000000007</v>
      </c>
      <c r="CP29" s="2" t="s">
        <v>345</v>
      </c>
      <c r="CQ29" s="2" t="s">
        <v>254</v>
      </c>
      <c r="CR29" s="10" t="s">
        <v>355</v>
      </c>
      <c r="CS29" s="9" t="s">
        <v>256</v>
      </c>
    </row>
    <row r="30" spans="1:97" s="2" customFormat="1" ht="12.75">
      <c r="A30" s="2">
        <v>27</v>
      </c>
      <c r="B30" s="2" t="s">
        <v>248</v>
      </c>
      <c r="C30" s="2" t="s">
        <v>356</v>
      </c>
      <c r="D30" s="4" t="s">
        <v>250</v>
      </c>
      <c r="E30" s="2" t="s">
        <v>357</v>
      </c>
      <c r="F30" s="2" t="s">
        <v>358</v>
      </c>
      <c r="G30" s="2">
        <v>1980</v>
      </c>
      <c r="H30" s="2">
        <v>1989</v>
      </c>
      <c r="I30" s="2">
        <v>1</v>
      </c>
      <c r="J30" s="2">
        <v>1</v>
      </c>
      <c r="K30" s="2">
        <v>1</v>
      </c>
      <c r="L30" s="2">
        <v>1</v>
      </c>
      <c r="M30" s="2">
        <v>0</v>
      </c>
      <c r="N30" s="11">
        <v>0</v>
      </c>
      <c r="O30" s="4">
        <v>16</v>
      </c>
      <c r="P30" s="4">
        <f>(O30-5)*12</f>
        <v>132</v>
      </c>
      <c r="Q30" s="4">
        <v>1800</v>
      </c>
      <c r="R30" s="4"/>
      <c r="S30" s="4">
        <v>31</v>
      </c>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W30" s="4">
        <v>3750</v>
      </c>
      <c r="AX30" s="4"/>
      <c r="AY30" s="4"/>
      <c r="AZ30" s="4"/>
      <c r="BA30" s="4"/>
      <c r="BB30" s="4"/>
      <c r="BC30" s="4">
        <v>11.17</v>
      </c>
      <c r="BD30" s="4"/>
      <c r="BE30" s="4"/>
      <c r="BF30" s="4"/>
      <c r="BG30" s="4"/>
      <c r="BH30" s="4"/>
      <c r="BI30" s="4"/>
      <c r="BJ30" s="4"/>
      <c r="BK30" s="4"/>
      <c r="BL30" s="4"/>
      <c r="BM30" s="4">
        <f>0.4314*10000/1000*50%</f>
        <v>2.157</v>
      </c>
      <c r="BN30" s="4">
        <f>1.305*10000/1000*50%</f>
        <v>6.5250000000000004</v>
      </c>
      <c r="BO30" s="4">
        <f>(9.889)*10000/1000*50%</f>
        <v>49.445</v>
      </c>
      <c r="BP30" s="4">
        <f>SUM(BM30:BO30)</f>
        <v>58.127000000000002</v>
      </c>
      <c r="BQ30" s="4">
        <f>BU30/BP30</f>
        <v>0.56884064204242424</v>
      </c>
      <c r="BR30" s="4">
        <f>(3.864)*10000/1000*50%</f>
        <v>19.32</v>
      </c>
      <c r="BS30" s="4">
        <f>(1.449)*10000/1000*50%</f>
        <v>7.2450000000000001</v>
      </c>
      <c r="BT30" s="4">
        <f>(1.3)*10000/1000*50%</f>
        <v>6.5</v>
      </c>
      <c r="BU30" s="4">
        <f>SUM(BR30:BT30)</f>
        <v>33.064999999999998</v>
      </c>
      <c r="BV30" s="4">
        <f t="shared" si="3"/>
        <v>91.192000000000007</v>
      </c>
      <c r="BW30" s="4"/>
      <c r="BX30" s="4"/>
      <c r="BY30" s="4"/>
      <c r="BZ30" s="4"/>
      <c r="CA30" s="4"/>
      <c r="CB30" s="4"/>
      <c r="CC30" s="4"/>
      <c r="CD30" s="4"/>
      <c r="CE30" s="4"/>
      <c r="CF30" s="4">
        <f>((10.0169+1.0598)/10)*10000/1000*50%</f>
        <v>5.5383499999999994</v>
      </c>
      <c r="CG30" s="4"/>
      <c r="CH30" s="4"/>
      <c r="CI30" s="4"/>
      <c r="CJ30" s="4"/>
      <c r="CK30" s="4"/>
      <c r="CL30" s="4"/>
      <c r="CM30" s="4"/>
      <c r="CN30" s="4"/>
      <c r="CP30" s="2" t="s">
        <v>359</v>
      </c>
      <c r="CQ30" s="2" t="s">
        <v>254</v>
      </c>
      <c r="CR30" s="10" t="s">
        <v>360</v>
      </c>
      <c r="CS30" s="9" t="s">
        <v>256</v>
      </c>
    </row>
    <row r="31" spans="1:97" s="2" customFormat="1" ht="12.75">
      <c r="A31" s="2">
        <v>28</v>
      </c>
      <c r="B31" s="2" t="s">
        <v>248</v>
      </c>
      <c r="C31" s="2" t="s">
        <v>356</v>
      </c>
      <c r="D31" s="4" t="s">
        <v>250</v>
      </c>
      <c r="E31" s="2" t="s">
        <v>361</v>
      </c>
      <c r="F31" s="2" t="s">
        <v>362</v>
      </c>
      <c r="G31" s="2">
        <v>1982</v>
      </c>
      <c r="H31" s="2">
        <v>1989</v>
      </c>
      <c r="I31" s="2">
        <v>1</v>
      </c>
      <c r="J31" s="2">
        <v>0</v>
      </c>
      <c r="K31" s="2">
        <v>1</v>
      </c>
      <c r="L31" s="2">
        <v>1</v>
      </c>
      <c r="M31" s="2">
        <v>0</v>
      </c>
      <c r="N31" s="11">
        <v>0</v>
      </c>
      <c r="O31" s="4">
        <v>16</v>
      </c>
      <c r="P31" s="4">
        <f>(O31-5)*12</f>
        <v>132</v>
      </c>
      <c r="Q31" s="4">
        <v>1800</v>
      </c>
      <c r="R31" s="4"/>
      <c r="S31" s="4">
        <v>31</v>
      </c>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W31" s="4">
        <v>2700</v>
      </c>
      <c r="AX31" s="4"/>
      <c r="AY31" s="4"/>
      <c r="AZ31" s="4"/>
      <c r="BA31" s="4"/>
      <c r="BB31" s="4"/>
      <c r="BC31" s="4">
        <v>8.02</v>
      </c>
      <c r="BD31" s="4"/>
      <c r="BE31" s="4"/>
      <c r="BF31" s="4"/>
      <c r="BG31" s="4"/>
      <c r="BH31" s="4"/>
      <c r="BI31" s="4"/>
      <c r="BJ31" s="4"/>
      <c r="BK31" s="4"/>
      <c r="BL31" s="4"/>
      <c r="BM31" s="4">
        <f>0.2886*10000/1000*50%</f>
        <v>1.4430000000000003</v>
      </c>
      <c r="BN31" s="4">
        <f>0.8213*10000/1000*50%</f>
        <v>4.1064999999999996</v>
      </c>
      <c r="BO31" s="4">
        <f>4.199*10000/1000*50%</f>
        <v>20.995000000000001</v>
      </c>
      <c r="BP31" s="4">
        <f>SUM(BM31:BO31)</f>
        <v>26.544499999999999</v>
      </c>
      <c r="BQ31" s="4"/>
      <c r="BR31" s="4">
        <f>(4.857)*10000/1000*50%</f>
        <v>24.285</v>
      </c>
      <c r="BS31" s="4">
        <f>(1.337)*10000/1000*50%</f>
        <v>6.6849999999999996</v>
      </c>
      <c r="BT31" s="4">
        <f>(0.5091)*10000/1000*50%</f>
        <v>2.5455000000000001</v>
      </c>
      <c r="BU31" s="4">
        <f>SUM(BR31:BT31)</f>
        <v>33.515499999999996</v>
      </c>
      <c r="BV31" s="4">
        <f t="shared" si="3"/>
        <v>60.059999999999995</v>
      </c>
      <c r="BW31" s="4"/>
      <c r="BX31" s="4"/>
      <c r="BY31" s="4"/>
      <c r="BZ31" s="4"/>
      <c r="CA31" s="4"/>
      <c r="CB31" s="4"/>
      <c r="CC31" s="4"/>
      <c r="CD31" s="4"/>
      <c r="CE31" s="4"/>
      <c r="CF31" s="4">
        <f>((4.2415+0.3274)/8)*10000/1000*50%</f>
        <v>2.8555625</v>
      </c>
      <c r="CG31" s="4"/>
      <c r="CH31" s="4"/>
      <c r="CI31" s="4"/>
      <c r="CJ31" s="4"/>
      <c r="CK31" s="4"/>
      <c r="CL31" s="4"/>
      <c r="CM31" s="4"/>
      <c r="CN31" s="4"/>
      <c r="CP31" s="2" t="s">
        <v>359</v>
      </c>
      <c r="CQ31" s="2" t="s">
        <v>254</v>
      </c>
      <c r="CR31" s="10" t="s">
        <v>360</v>
      </c>
      <c r="CS31" s="9" t="s">
        <v>256</v>
      </c>
    </row>
    <row r="32" spans="1:97" s="2" customFormat="1" ht="12.75">
      <c r="A32" s="2">
        <v>29</v>
      </c>
      <c r="B32" s="2" t="s">
        <v>363</v>
      </c>
      <c r="C32" s="2" t="s">
        <v>364</v>
      </c>
      <c r="D32" s="4" t="s">
        <v>365</v>
      </c>
      <c r="E32" s="2" t="s">
        <v>366</v>
      </c>
      <c r="F32" s="2" t="s">
        <v>367</v>
      </c>
      <c r="G32" s="2">
        <v>2008</v>
      </c>
      <c r="H32" s="2">
        <v>2009</v>
      </c>
      <c r="I32" s="2">
        <v>0</v>
      </c>
      <c r="J32" s="2">
        <v>0</v>
      </c>
      <c r="K32" s="2">
        <v>0</v>
      </c>
      <c r="L32" s="2">
        <v>0</v>
      </c>
      <c r="M32" s="2">
        <v>0</v>
      </c>
      <c r="N32" s="12">
        <v>0</v>
      </c>
      <c r="O32" s="4">
        <v>14.8</v>
      </c>
      <c r="P32" s="4">
        <f>(O32-5)*12</f>
        <v>117.60000000000001</v>
      </c>
      <c r="Q32" s="4">
        <v>1451.4</v>
      </c>
      <c r="R32" s="4">
        <v>7</v>
      </c>
      <c r="S32" s="4">
        <v>110</v>
      </c>
      <c r="T32" s="4">
        <v>61.208329999999997</v>
      </c>
      <c r="U32" s="4">
        <v>2161.15</v>
      </c>
      <c r="V32" s="4">
        <v>1.5333300000000001</v>
      </c>
      <c r="W32" s="4">
        <v>0.4</v>
      </c>
      <c r="X32" s="4"/>
      <c r="Y32" s="4">
        <v>4.55</v>
      </c>
      <c r="Z32" s="4"/>
      <c r="AA32" s="4"/>
      <c r="AB32" s="4"/>
      <c r="AC32" s="4"/>
      <c r="AD32" s="4">
        <f>(0.023)*1000</f>
        <v>23</v>
      </c>
      <c r="AE32" s="4"/>
      <c r="AF32" s="4"/>
      <c r="AG32" s="4"/>
      <c r="AH32" s="4"/>
      <c r="AI32" s="4"/>
      <c r="AJ32" s="4"/>
      <c r="AK32" s="4"/>
      <c r="AL32" s="4"/>
      <c r="AM32" s="4"/>
      <c r="AN32" s="4"/>
      <c r="AO32" s="4"/>
      <c r="AP32" s="4"/>
      <c r="AQ32" s="4">
        <v>203</v>
      </c>
      <c r="AR32" s="4">
        <v>176</v>
      </c>
      <c r="AS32" s="4"/>
      <c r="AT32" s="4"/>
      <c r="AV32" s="4">
        <v>290</v>
      </c>
      <c r="AW32" s="4">
        <v>2660</v>
      </c>
      <c r="AX32" s="4">
        <v>8.1999999999999993</v>
      </c>
      <c r="AY32" s="4"/>
      <c r="AZ32" s="4">
        <f t="shared" ref="AZ32:AZ40" si="4">(AX32/2)^2*PI()*AW32/10000</f>
        <v>14.047505886820614</v>
      </c>
      <c r="BA32" s="4"/>
      <c r="BB32" s="4"/>
      <c r="BC32" s="4"/>
      <c r="BD32" s="4"/>
      <c r="BE32" s="4"/>
      <c r="BF32" s="4"/>
      <c r="BG32" s="4"/>
      <c r="BH32" s="4"/>
      <c r="BI32" s="4"/>
      <c r="BJ32" s="4"/>
      <c r="BK32" s="4"/>
      <c r="BL32" s="4"/>
      <c r="BM32" s="4">
        <f>1.29*50%</f>
        <v>0.64500000000000002</v>
      </c>
      <c r="BN32" s="4">
        <f>3.72*50%</f>
        <v>1.86</v>
      </c>
      <c r="BO32" s="4">
        <f>26.4*50%</f>
        <v>13.2</v>
      </c>
      <c r="BP32" s="4">
        <f>SUM(BM32:BO32)</f>
        <v>15.704999999999998</v>
      </c>
      <c r="BQ32" s="4">
        <f>BU32/BP32</f>
        <v>1.1464501751034704</v>
      </c>
      <c r="BR32" s="4">
        <f>(18.7+7.47)*50%</f>
        <v>13.084999999999999</v>
      </c>
      <c r="BS32" s="4">
        <f>9.84*50%</f>
        <v>4.92</v>
      </c>
      <c r="BT32" s="4"/>
      <c r="BU32" s="4">
        <f>SUM(BR32:BT32)</f>
        <v>18.004999999999999</v>
      </c>
      <c r="BV32" s="4">
        <f t="shared" si="3"/>
        <v>33.709999999999994</v>
      </c>
      <c r="BX32" s="4"/>
      <c r="BY32" s="4"/>
      <c r="BZ32" s="4"/>
      <c r="CA32" s="4"/>
      <c r="CB32" s="4"/>
      <c r="CC32" s="4"/>
      <c r="CD32" s="4">
        <f>7.19*50%</f>
        <v>3.5950000000000002</v>
      </c>
      <c r="CE32" s="4"/>
      <c r="CF32" s="4"/>
      <c r="CG32" s="4"/>
      <c r="CH32" s="4"/>
      <c r="CI32" s="4"/>
      <c r="CJ32" s="4"/>
      <c r="CK32" s="4"/>
      <c r="CL32" s="4"/>
      <c r="CM32" s="4"/>
      <c r="CN32" s="4"/>
      <c r="CP32" s="2" t="s">
        <v>368</v>
      </c>
      <c r="CQ32" s="2" t="s">
        <v>254</v>
      </c>
      <c r="CR32" s="10" t="s">
        <v>369</v>
      </c>
      <c r="CS32" s="9" t="s">
        <v>256</v>
      </c>
    </row>
    <row r="33" spans="1:97" s="2" customFormat="1" ht="12.75">
      <c r="A33" s="2">
        <v>30</v>
      </c>
      <c r="B33" s="2" t="s">
        <v>363</v>
      </c>
      <c r="C33" s="2" t="s">
        <v>364</v>
      </c>
      <c r="D33" s="4" t="s">
        <v>365</v>
      </c>
      <c r="E33" s="2" t="s">
        <v>370</v>
      </c>
      <c r="F33" s="2" t="s">
        <v>371</v>
      </c>
      <c r="G33" s="2">
        <v>2008</v>
      </c>
      <c r="H33" s="2">
        <v>2009</v>
      </c>
      <c r="I33" s="2">
        <v>0</v>
      </c>
      <c r="J33" s="2">
        <v>0</v>
      </c>
      <c r="K33" s="2">
        <v>0</v>
      </c>
      <c r="L33" s="2">
        <v>0</v>
      </c>
      <c r="M33" s="2">
        <v>0</v>
      </c>
      <c r="N33" s="12">
        <v>0</v>
      </c>
      <c r="O33" s="4">
        <v>14.8</v>
      </c>
      <c r="P33" s="4">
        <f>(O33-5)*12</f>
        <v>117.60000000000001</v>
      </c>
      <c r="Q33" s="4">
        <v>1451.4</v>
      </c>
      <c r="R33" s="4">
        <v>7</v>
      </c>
      <c r="S33" s="4">
        <v>160</v>
      </c>
      <c r="T33" s="4">
        <v>61.208329999999997</v>
      </c>
      <c r="U33" s="4">
        <v>2161.15</v>
      </c>
      <c r="V33" s="4">
        <v>1.5333300000000001</v>
      </c>
      <c r="W33" s="4">
        <v>0.31</v>
      </c>
      <c r="X33" s="4"/>
      <c r="Y33" s="4">
        <v>4.79</v>
      </c>
      <c r="Z33" s="4"/>
      <c r="AA33" s="4"/>
      <c r="AB33" s="4"/>
      <c r="AC33" s="4"/>
      <c r="AD33" s="4">
        <f>(0.025)*1000</f>
        <v>25</v>
      </c>
      <c r="AE33" s="4"/>
      <c r="AF33" s="4"/>
      <c r="AG33" s="4"/>
      <c r="AH33" s="4"/>
      <c r="AI33" s="4"/>
      <c r="AJ33" s="4"/>
      <c r="AK33" s="4"/>
      <c r="AL33" s="4"/>
      <c r="AM33" s="4"/>
      <c r="AN33" s="4"/>
      <c r="AO33" s="4"/>
      <c r="AP33" s="4"/>
      <c r="AQ33" s="4">
        <v>357</v>
      </c>
      <c r="AR33" s="4">
        <v>463</v>
      </c>
      <c r="AS33" s="4"/>
      <c r="AT33" s="4"/>
      <c r="AV33" s="4">
        <v>67</v>
      </c>
      <c r="AW33" s="4">
        <v>4790</v>
      </c>
      <c r="AX33" s="4">
        <v>11.2</v>
      </c>
      <c r="AY33" s="4"/>
      <c r="AZ33" s="4">
        <f t="shared" si="4"/>
        <v>47.191245550339858</v>
      </c>
      <c r="BA33" s="4"/>
      <c r="BB33" s="4"/>
      <c r="BC33" s="4"/>
      <c r="BD33" s="4"/>
      <c r="BE33" s="4"/>
      <c r="BF33" s="4"/>
      <c r="BG33" s="4"/>
      <c r="BH33" s="4"/>
      <c r="BI33" s="4"/>
      <c r="BJ33" s="4"/>
      <c r="BK33" s="4"/>
      <c r="BL33" s="4"/>
      <c r="BM33" s="4">
        <f>4.06*50%</f>
        <v>2.0299999999999998</v>
      </c>
      <c r="BN33" s="4">
        <f>10.9*50%</f>
        <v>5.45</v>
      </c>
      <c r="BO33" s="4">
        <f>92.2*50%</f>
        <v>46.1</v>
      </c>
      <c r="BP33" s="4">
        <f>SUM(BM33:BO33)</f>
        <v>53.58</v>
      </c>
      <c r="BQ33" s="4">
        <f>BU33/BP33</f>
        <v>0.63176558417319884</v>
      </c>
      <c r="BR33" s="4">
        <f>(23.9+17.4)*50%</f>
        <v>20.65</v>
      </c>
      <c r="BS33" s="4">
        <f>26.4*50%</f>
        <v>13.2</v>
      </c>
      <c r="BT33" s="4"/>
      <c r="BU33" s="4">
        <f>SUM(BR33:BT33)</f>
        <v>33.849999999999994</v>
      </c>
      <c r="BV33" s="4">
        <f t="shared" si="3"/>
        <v>87.429999999999993</v>
      </c>
      <c r="BX33" s="4"/>
      <c r="BY33" s="4"/>
      <c r="BZ33" s="4"/>
      <c r="CA33" s="4"/>
      <c r="CB33" s="4"/>
      <c r="CC33" s="4"/>
      <c r="CD33" s="4">
        <f>3.03*50%</f>
        <v>1.5149999999999999</v>
      </c>
      <c r="CE33" s="4"/>
      <c r="CF33" s="4"/>
      <c r="CG33" s="4"/>
      <c r="CH33" s="4"/>
      <c r="CI33" s="4"/>
      <c r="CJ33" s="4"/>
      <c r="CK33" s="4"/>
      <c r="CL33" s="4"/>
      <c r="CM33" s="4"/>
      <c r="CN33" s="4"/>
      <c r="CP33" s="2" t="s">
        <v>368</v>
      </c>
      <c r="CQ33" s="2" t="s">
        <v>254</v>
      </c>
      <c r="CR33" s="10" t="s">
        <v>369</v>
      </c>
      <c r="CS33" s="9" t="s">
        <v>256</v>
      </c>
    </row>
    <row r="34" spans="1:97" s="2" customFormat="1" ht="12.75">
      <c r="A34" s="2">
        <v>31</v>
      </c>
      <c r="B34" s="2" t="s">
        <v>363</v>
      </c>
      <c r="C34" s="2" t="s">
        <v>364</v>
      </c>
      <c r="D34" s="4" t="s">
        <v>365</v>
      </c>
      <c r="E34" s="2" t="s">
        <v>372</v>
      </c>
      <c r="F34" s="2" t="s">
        <v>373</v>
      </c>
      <c r="G34" s="2">
        <v>2008</v>
      </c>
      <c r="H34" s="2">
        <v>2009</v>
      </c>
      <c r="I34" s="2">
        <v>0</v>
      </c>
      <c r="J34" s="2">
        <v>0</v>
      </c>
      <c r="K34" s="2">
        <v>0</v>
      </c>
      <c r="L34" s="2">
        <v>0</v>
      </c>
      <c r="M34" s="2">
        <v>0</v>
      </c>
      <c r="N34" s="12">
        <v>0</v>
      </c>
      <c r="O34" s="4">
        <v>14.8</v>
      </c>
      <c r="P34" s="4">
        <f>(O34-5)*12</f>
        <v>117.60000000000001</v>
      </c>
      <c r="Q34" s="4">
        <v>1451.4</v>
      </c>
      <c r="R34" s="4">
        <v>7</v>
      </c>
      <c r="S34" s="4">
        <v>200</v>
      </c>
      <c r="T34" s="4">
        <v>61.208329999999997</v>
      </c>
      <c r="U34" s="4">
        <v>2161.15</v>
      </c>
      <c r="V34" s="4">
        <v>1.5333300000000001</v>
      </c>
      <c r="W34" s="4">
        <v>0.48</v>
      </c>
      <c r="X34" s="4"/>
      <c r="Y34" s="4">
        <v>4.6900000000000004</v>
      </c>
      <c r="Z34" s="4"/>
      <c r="AA34" s="4"/>
      <c r="AB34" s="4"/>
      <c r="AC34" s="4"/>
      <c r="AD34" s="4">
        <f>(0.025)*1000</f>
        <v>25</v>
      </c>
      <c r="AE34" s="4"/>
      <c r="AF34" s="4"/>
      <c r="AG34" s="4"/>
      <c r="AH34" s="4"/>
      <c r="AI34" s="4"/>
      <c r="AJ34" s="4"/>
      <c r="AK34" s="4"/>
      <c r="AL34" s="4"/>
      <c r="AM34" s="4"/>
      <c r="AN34" s="4"/>
      <c r="AO34" s="4"/>
      <c r="AP34" s="4"/>
      <c r="AQ34" s="4">
        <v>256</v>
      </c>
      <c r="AR34" s="4">
        <v>368</v>
      </c>
      <c r="AS34" s="4"/>
      <c r="AT34" s="4"/>
      <c r="AV34" s="4">
        <v>324</v>
      </c>
      <c r="AW34" s="4">
        <v>2400</v>
      </c>
      <c r="AX34" s="4">
        <v>10.1</v>
      </c>
      <c r="AY34" s="4"/>
      <c r="AZ34" s="4">
        <f t="shared" si="4"/>
        <v>19.228431995561689</v>
      </c>
      <c r="BA34" s="4"/>
      <c r="BB34" s="4"/>
      <c r="BC34" s="4"/>
      <c r="BD34" s="4"/>
      <c r="BE34" s="4"/>
      <c r="BF34" s="4"/>
      <c r="BG34" s="4"/>
      <c r="BH34" s="4"/>
      <c r="BI34" s="4"/>
      <c r="BJ34" s="4"/>
      <c r="BK34" s="4"/>
      <c r="BL34" s="4"/>
      <c r="BM34" s="4">
        <f>1.69*50%</f>
        <v>0.84499999999999997</v>
      </c>
      <c r="BN34" s="4">
        <f>4.64*50%</f>
        <v>2.3199999999999998</v>
      </c>
      <c r="BO34" s="4">
        <f>37.3*50%</f>
        <v>18.649999999999999</v>
      </c>
      <c r="BP34" s="4">
        <f>SUM(BM34:BO34)</f>
        <v>21.814999999999998</v>
      </c>
      <c r="BQ34" s="4">
        <f>BU34/BP34</f>
        <v>1.3183589273435712</v>
      </c>
      <c r="BR34" s="4">
        <f>(23.1+9.92)*50%</f>
        <v>16.510000000000002</v>
      </c>
      <c r="BS34" s="4">
        <f>24.5*50%</f>
        <v>12.25</v>
      </c>
      <c r="BT34" s="4"/>
      <c r="BU34" s="4">
        <f>SUM(BR34:BT34)</f>
        <v>28.76</v>
      </c>
      <c r="BV34" s="4">
        <f t="shared" si="3"/>
        <v>50.575000000000003</v>
      </c>
      <c r="BX34" s="4"/>
      <c r="BY34" s="4"/>
      <c r="BZ34" s="4"/>
      <c r="CA34" s="4"/>
      <c r="CB34" s="4"/>
      <c r="CC34" s="4"/>
      <c r="CD34" s="4">
        <f>5.26*50%</f>
        <v>2.63</v>
      </c>
      <c r="CE34" s="4"/>
      <c r="CF34" s="4"/>
      <c r="CG34" s="4"/>
      <c r="CH34" s="4"/>
      <c r="CI34" s="4"/>
      <c r="CJ34" s="4"/>
      <c r="CK34" s="4"/>
      <c r="CL34" s="4"/>
      <c r="CM34" s="4"/>
      <c r="CN34" s="4"/>
      <c r="CP34" s="2" t="s">
        <v>368</v>
      </c>
      <c r="CQ34" s="2" t="s">
        <v>254</v>
      </c>
      <c r="CR34" s="10" t="s">
        <v>369</v>
      </c>
      <c r="CS34" s="9" t="s">
        <v>256</v>
      </c>
    </row>
    <row r="35" spans="1:97" s="2" customFormat="1" ht="12.75">
      <c r="A35" s="2">
        <v>32</v>
      </c>
      <c r="B35" s="2" t="s">
        <v>374</v>
      </c>
      <c r="C35" s="2" t="s">
        <v>375</v>
      </c>
      <c r="D35" s="4" t="s">
        <v>250</v>
      </c>
      <c r="E35" s="2" t="s">
        <v>376</v>
      </c>
      <c r="F35" s="2" t="s">
        <v>377</v>
      </c>
      <c r="G35" s="2">
        <v>2002</v>
      </c>
      <c r="H35" s="2">
        <v>2003</v>
      </c>
      <c r="I35" s="2">
        <v>0</v>
      </c>
      <c r="J35" s="2">
        <v>0</v>
      </c>
      <c r="K35" s="2">
        <v>0</v>
      </c>
      <c r="L35" s="2">
        <v>0</v>
      </c>
      <c r="M35" s="2">
        <v>0</v>
      </c>
      <c r="N35" s="2">
        <v>0</v>
      </c>
      <c r="O35" s="4">
        <v>16.087499999999999</v>
      </c>
      <c r="P35" s="4">
        <v>133.5</v>
      </c>
      <c r="Q35" s="4">
        <v>1556.5</v>
      </c>
      <c r="R35" s="4">
        <v>0</v>
      </c>
      <c r="S35" s="4">
        <f>(50+92)/2</f>
        <v>71</v>
      </c>
      <c r="U35" s="13">
        <v>1659.6</v>
      </c>
      <c r="V35" s="4">
        <v>2.329167</v>
      </c>
      <c r="W35" s="4"/>
      <c r="X35" s="4"/>
      <c r="Y35" s="4"/>
      <c r="Z35" s="4"/>
      <c r="AA35" s="4"/>
      <c r="AB35" s="4"/>
      <c r="AC35" s="4"/>
      <c r="AD35" s="4"/>
      <c r="AE35" s="4"/>
      <c r="AF35" s="4"/>
      <c r="AG35" s="4"/>
      <c r="AH35" s="4"/>
      <c r="AI35" s="4"/>
      <c r="AJ35" s="4"/>
      <c r="AK35" s="4"/>
      <c r="AL35" s="4"/>
      <c r="AM35" s="4"/>
      <c r="AN35" s="4"/>
      <c r="AO35" s="4"/>
      <c r="AP35" s="4"/>
      <c r="AQ35" s="4"/>
      <c r="AR35" s="4"/>
      <c r="AS35" s="4"/>
      <c r="AT35" s="4"/>
      <c r="AV35" s="4"/>
      <c r="AW35" s="4">
        <f>(8000+8791+5263)/3</f>
        <v>7351.333333333333</v>
      </c>
      <c r="AX35" s="4">
        <f>(8000*12.3+8791*9.8+5263*11.4)/(AW35*3)</f>
        <v>11.088691393851455</v>
      </c>
      <c r="AY35" s="4">
        <f>(8000*17+8791*14.2+5263*15.9)/(AW35*3)</f>
        <v>15.621379341616034</v>
      </c>
      <c r="AZ35" s="4">
        <f t="shared" si="4"/>
        <v>70.993173583070003</v>
      </c>
      <c r="BA35" s="4"/>
      <c r="BB35" s="4"/>
      <c r="BC35" s="4"/>
      <c r="BD35" s="4"/>
      <c r="BE35" s="4"/>
      <c r="BF35" s="4"/>
      <c r="BG35" s="4"/>
      <c r="BH35" s="4"/>
      <c r="BI35" s="4"/>
      <c r="BJ35" s="4"/>
      <c r="BK35" s="4"/>
      <c r="BL35" s="4"/>
      <c r="BM35" s="4"/>
      <c r="BN35" s="4"/>
      <c r="BO35" s="4"/>
      <c r="BP35" s="4">
        <f>((233.1+151.1+138.3)/3)*50%</f>
        <v>87.083333333333329</v>
      </c>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2" t="s">
        <v>378</v>
      </c>
      <c r="CQ35" s="2" t="s">
        <v>254</v>
      </c>
      <c r="CR35" s="10" t="s">
        <v>379</v>
      </c>
      <c r="CS35" s="9" t="s">
        <v>256</v>
      </c>
    </row>
    <row r="36" spans="1:97" s="2" customFormat="1" ht="12.75">
      <c r="A36" s="2">
        <v>33</v>
      </c>
      <c r="B36" s="2" t="s">
        <v>374</v>
      </c>
      <c r="C36" s="2" t="s">
        <v>380</v>
      </c>
      <c r="D36" s="4" t="s">
        <v>365</v>
      </c>
      <c r="E36" s="2" t="s">
        <v>381</v>
      </c>
      <c r="F36" s="2" t="s">
        <v>382</v>
      </c>
      <c r="G36" s="2">
        <v>2005</v>
      </c>
      <c r="H36" s="2">
        <v>2005</v>
      </c>
      <c r="I36" s="2">
        <v>0</v>
      </c>
      <c r="J36" s="2">
        <v>0</v>
      </c>
      <c r="K36" s="2">
        <v>0</v>
      </c>
      <c r="L36" s="2">
        <v>0</v>
      </c>
      <c r="M36" s="2">
        <v>0</v>
      </c>
      <c r="N36" s="12">
        <v>1</v>
      </c>
      <c r="O36" s="4">
        <v>11.3</v>
      </c>
      <c r="P36" s="4">
        <f>(O36-5)*12</f>
        <v>75.600000000000009</v>
      </c>
      <c r="Q36" s="4">
        <v>3244</v>
      </c>
      <c r="R36" s="4">
        <v>425</v>
      </c>
      <c r="S36" s="4">
        <v>330</v>
      </c>
      <c r="T36" s="4"/>
      <c r="U36" s="4">
        <v>1085.9000000000001</v>
      </c>
      <c r="V36" s="4">
        <v>0.74166699999999997</v>
      </c>
      <c r="W36" s="4"/>
      <c r="X36" s="4"/>
      <c r="Y36" s="4"/>
      <c r="Z36" s="4"/>
      <c r="AA36" s="4"/>
      <c r="AB36" s="4"/>
      <c r="AC36" s="4"/>
      <c r="AD36" s="4"/>
      <c r="AE36" s="4"/>
      <c r="AF36" s="4"/>
      <c r="AG36" s="4"/>
      <c r="AH36" s="4"/>
      <c r="AI36" s="4"/>
      <c r="AJ36" s="4"/>
      <c r="AK36" s="4"/>
      <c r="AL36" s="4"/>
      <c r="AM36" s="4"/>
      <c r="AN36" s="4"/>
      <c r="AO36" s="4"/>
      <c r="AP36" s="4"/>
      <c r="AQ36" s="4"/>
      <c r="AR36" s="4"/>
      <c r="AS36" s="4"/>
      <c r="AT36" s="4"/>
      <c r="AV36" s="4"/>
      <c r="AW36" s="4">
        <v>12500</v>
      </c>
      <c r="AX36" s="4">
        <f>(4.63*70+1.78*55)/125</f>
        <v>3.3759999999999999</v>
      </c>
      <c r="AY36" s="4"/>
      <c r="AZ36" s="4">
        <f t="shared" si="4"/>
        <v>11.189347722437693</v>
      </c>
      <c r="BA36" s="4"/>
      <c r="BB36" s="4"/>
      <c r="BC36" s="4"/>
      <c r="BD36" s="4"/>
      <c r="BE36" s="4"/>
      <c r="BF36" s="4"/>
      <c r="BG36" s="4"/>
      <c r="BH36" s="4"/>
      <c r="BI36" s="4"/>
      <c r="BJ36" s="4"/>
      <c r="BK36" s="4"/>
      <c r="BL36" s="4"/>
      <c r="BM36" s="4"/>
      <c r="BN36" s="4"/>
      <c r="BO36" s="4"/>
      <c r="BP36" s="4">
        <f>23.31*50%</f>
        <v>11.654999999999999</v>
      </c>
      <c r="BQ36" s="4">
        <f>BU36/BP36</f>
        <v>1.5096525096525097</v>
      </c>
      <c r="BR36" s="4">
        <f>9.51*50%</f>
        <v>4.7549999999999999</v>
      </c>
      <c r="BS36" s="4">
        <f>15.67*50%</f>
        <v>7.835</v>
      </c>
      <c r="BT36" s="4">
        <f>(7.56+2.45)*50%</f>
        <v>5.0049999999999999</v>
      </c>
      <c r="BU36" s="4">
        <f>SUM(BR36:BT36)</f>
        <v>17.594999999999999</v>
      </c>
      <c r="BV36" s="4">
        <f>BU36+BP36</f>
        <v>29.25</v>
      </c>
      <c r="BW36" s="4"/>
      <c r="BX36" s="4"/>
      <c r="BY36" s="4"/>
      <c r="BZ36" s="4"/>
      <c r="CB36" s="4"/>
      <c r="CC36" s="4"/>
      <c r="CD36" s="4"/>
      <c r="CE36" s="4"/>
      <c r="CF36" s="4"/>
      <c r="CG36" s="4"/>
      <c r="CH36" s="4"/>
      <c r="CI36" s="4"/>
      <c r="CJ36" s="4"/>
      <c r="CK36" s="4"/>
      <c r="CL36" s="4"/>
      <c r="CM36" s="4"/>
      <c r="CN36" s="4"/>
      <c r="CP36" s="2" t="s">
        <v>383</v>
      </c>
      <c r="CQ36" s="2" t="s">
        <v>254</v>
      </c>
      <c r="CR36" s="10" t="s">
        <v>384</v>
      </c>
      <c r="CS36" s="9" t="s">
        <v>256</v>
      </c>
    </row>
    <row r="37" spans="1:97" s="2" customFormat="1" ht="12.75">
      <c r="A37" s="2">
        <v>34</v>
      </c>
      <c r="B37" s="2" t="s">
        <v>374</v>
      </c>
      <c r="C37" s="2" t="s">
        <v>380</v>
      </c>
      <c r="D37" s="4" t="s">
        <v>365</v>
      </c>
      <c r="E37" s="2" t="s">
        <v>385</v>
      </c>
      <c r="F37" s="2" t="s">
        <v>386</v>
      </c>
      <c r="G37" s="2">
        <v>2002</v>
      </c>
      <c r="H37" s="2">
        <v>2005</v>
      </c>
      <c r="I37" s="2">
        <v>1</v>
      </c>
      <c r="J37" s="2">
        <v>0</v>
      </c>
      <c r="K37" s="2">
        <v>1</v>
      </c>
      <c r="L37" s="2">
        <v>0</v>
      </c>
      <c r="M37" s="2">
        <v>0</v>
      </c>
      <c r="N37" s="2">
        <v>0</v>
      </c>
      <c r="O37" s="4">
        <v>16.177083333333332</v>
      </c>
      <c r="P37" s="4">
        <v>135.35</v>
      </c>
      <c r="Q37" s="4">
        <v>1759.125</v>
      </c>
      <c r="R37" s="4">
        <v>56.75</v>
      </c>
      <c r="S37" s="4">
        <v>70</v>
      </c>
      <c r="T37" s="4">
        <v>64.9375</v>
      </c>
      <c r="U37" s="4">
        <v>2042.8500000000001</v>
      </c>
      <c r="V37" s="4">
        <v>2.5979166666666664</v>
      </c>
      <c r="W37" s="4"/>
      <c r="X37" s="4"/>
      <c r="Y37" s="4"/>
      <c r="Z37" s="4"/>
      <c r="AA37" s="4"/>
      <c r="AB37" s="4"/>
      <c r="AC37" s="4"/>
      <c r="AD37" s="4"/>
      <c r="AE37" s="4"/>
      <c r="AF37" s="4"/>
      <c r="AG37" s="4"/>
      <c r="AH37" s="4"/>
      <c r="AI37" s="4"/>
      <c r="AJ37" s="4"/>
      <c r="AK37" s="4"/>
      <c r="AL37" s="4"/>
      <c r="AM37" s="4"/>
      <c r="AN37" s="4"/>
      <c r="AO37" s="4"/>
      <c r="AP37" s="4"/>
      <c r="AQ37" s="4"/>
      <c r="AR37" s="4"/>
      <c r="AS37" s="4"/>
      <c r="AT37" s="4"/>
      <c r="AV37" s="4"/>
      <c r="AW37" s="4">
        <v>3240</v>
      </c>
      <c r="AX37" s="4">
        <v>8.1999999999999993</v>
      </c>
      <c r="AY37" s="4"/>
      <c r="AZ37" s="4">
        <f t="shared" si="4"/>
        <v>17.110495892217592</v>
      </c>
      <c r="BA37" s="4"/>
      <c r="BB37" s="4"/>
      <c r="BC37" s="4"/>
      <c r="BD37" s="4">
        <v>45.2</v>
      </c>
      <c r="BE37" s="4">
        <v>48.2</v>
      </c>
      <c r="BF37" s="4">
        <v>48.9</v>
      </c>
      <c r="BG37" s="4">
        <v>44.8</v>
      </c>
      <c r="BH37" s="4"/>
      <c r="BI37" s="4">
        <v>45.6</v>
      </c>
      <c r="BJ37" s="4"/>
      <c r="BK37" s="4"/>
      <c r="BL37" s="4"/>
      <c r="BM37" s="4"/>
      <c r="BN37" s="4">
        <v>4.5999999999999996</v>
      </c>
      <c r="BO37" s="4">
        <v>18</v>
      </c>
      <c r="BP37" s="4">
        <f>SUM(BM37:BO37)</f>
        <v>22.6</v>
      </c>
      <c r="BQ37" s="4">
        <f>BU37/BP37</f>
        <v>1.5088495575221239</v>
      </c>
      <c r="BR37" s="4">
        <v>11.8</v>
      </c>
      <c r="BS37" s="4">
        <v>14</v>
      </c>
      <c r="BT37" s="4">
        <v>8.3000000000000007</v>
      </c>
      <c r="BU37" s="4">
        <f>SUM(BR37:BT37)</f>
        <v>34.1</v>
      </c>
      <c r="BV37" s="4">
        <f>BU37+BP37</f>
        <v>56.7</v>
      </c>
      <c r="BW37" s="4"/>
      <c r="BX37" s="4">
        <v>84.3</v>
      </c>
      <c r="BY37" s="4"/>
      <c r="BZ37" s="4">
        <f>BV37+BX37</f>
        <v>141</v>
      </c>
      <c r="CA37" s="4"/>
      <c r="CB37" s="4"/>
      <c r="CC37" s="4"/>
      <c r="CD37" s="4">
        <v>2.8</v>
      </c>
      <c r="CE37" s="4"/>
      <c r="CF37" s="4"/>
      <c r="CG37" s="4"/>
      <c r="CH37" s="4"/>
      <c r="CI37" s="4"/>
      <c r="CJ37" s="4"/>
      <c r="CK37" s="4"/>
      <c r="CL37" s="4"/>
      <c r="CM37" s="4"/>
      <c r="CN37" s="4"/>
      <c r="CO37" s="4"/>
      <c r="CP37" s="2" t="s">
        <v>387</v>
      </c>
      <c r="CQ37" s="2" t="s">
        <v>254</v>
      </c>
      <c r="CR37" s="10" t="s">
        <v>388</v>
      </c>
      <c r="CS37" s="9" t="s">
        <v>256</v>
      </c>
    </row>
    <row r="38" spans="1:97" s="2" customFormat="1" ht="12.75">
      <c r="A38" s="2">
        <v>35</v>
      </c>
      <c r="B38" s="2" t="s">
        <v>374</v>
      </c>
      <c r="C38" s="2" t="s">
        <v>380</v>
      </c>
      <c r="D38" s="4" t="s">
        <v>365</v>
      </c>
      <c r="E38" s="2" t="s">
        <v>389</v>
      </c>
      <c r="F38" s="2" t="s">
        <v>390</v>
      </c>
      <c r="G38" s="2">
        <v>2002</v>
      </c>
      <c r="H38" s="2">
        <v>2005</v>
      </c>
      <c r="I38" s="2">
        <v>0</v>
      </c>
      <c r="J38" s="2">
        <v>0</v>
      </c>
      <c r="K38" s="2">
        <v>0</v>
      </c>
      <c r="L38" s="2">
        <v>0</v>
      </c>
      <c r="M38" s="2">
        <v>0</v>
      </c>
      <c r="N38" s="2">
        <v>0</v>
      </c>
      <c r="O38" s="4">
        <v>16.177083333333332</v>
      </c>
      <c r="P38" s="4">
        <v>135.35</v>
      </c>
      <c r="Q38" s="4">
        <v>1759.125</v>
      </c>
      <c r="R38" s="4">
        <v>56.75</v>
      </c>
      <c r="S38" s="4">
        <v>70</v>
      </c>
      <c r="T38" s="4">
        <v>64.9375</v>
      </c>
      <c r="U38" s="4">
        <v>2042.8500000000001</v>
      </c>
      <c r="V38" s="4">
        <v>2.5979166666666664</v>
      </c>
      <c r="W38" s="4"/>
      <c r="X38" s="4"/>
      <c r="Y38" s="4"/>
      <c r="Z38" s="4"/>
      <c r="AA38" s="4"/>
      <c r="AB38" s="4"/>
      <c r="AC38" s="4"/>
      <c r="AD38" s="4"/>
      <c r="AE38" s="4"/>
      <c r="AF38" s="4"/>
      <c r="AG38" s="4"/>
      <c r="AH38" s="4"/>
      <c r="AI38" s="4"/>
      <c r="AJ38" s="4"/>
      <c r="AK38" s="4"/>
      <c r="AL38" s="4"/>
      <c r="AM38" s="4"/>
      <c r="AN38" s="4"/>
      <c r="AO38" s="4"/>
      <c r="AP38" s="4"/>
      <c r="AQ38" s="4"/>
      <c r="AR38" s="4"/>
      <c r="AS38" s="4"/>
      <c r="AT38" s="4"/>
      <c r="AV38" s="4"/>
      <c r="AW38" s="4">
        <v>8200</v>
      </c>
      <c r="AX38" s="4">
        <v>7.5</v>
      </c>
      <c r="AY38" s="4"/>
      <c r="AZ38" s="4">
        <f t="shared" si="4"/>
        <v>36.226490286707303</v>
      </c>
      <c r="BA38" s="4"/>
      <c r="BB38" s="4"/>
      <c r="BC38" s="4"/>
      <c r="BD38" s="4">
        <v>45.2</v>
      </c>
      <c r="BE38" s="4">
        <v>48.2</v>
      </c>
      <c r="BF38" s="4">
        <v>48.9</v>
      </c>
      <c r="BG38" s="4">
        <v>44.8</v>
      </c>
      <c r="BH38" s="4"/>
      <c r="BI38" s="4">
        <v>45.6</v>
      </c>
      <c r="BJ38" s="4"/>
      <c r="BK38" s="4"/>
      <c r="BL38" s="4"/>
      <c r="BM38" s="4"/>
      <c r="BN38" s="4">
        <v>8.1</v>
      </c>
      <c r="BO38" s="4">
        <v>31.6</v>
      </c>
      <c r="BP38" s="4">
        <f>SUM(BM38:BO38)</f>
        <v>39.700000000000003</v>
      </c>
      <c r="BQ38" s="4">
        <f>BU38/BP38</f>
        <v>1.1435768261964734</v>
      </c>
      <c r="BR38" s="4">
        <v>19.8</v>
      </c>
      <c r="BS38" s="4">
        <v>13</v>
      </c>
      <c r="BT38" s="4">
        <v>12.6</v>
      </c>
      <c r="BU38" s="4">
        <f>SUM(BR38:BT38)</f>
        <v>45.4</v>
      </c>
      <c r="BV38" s="4">
        <f>BU38+BP38</f>
        <v>85.1</v>
      </c>
      <c r="BW38" s="4"/>
      <c r="BX38" s="4">
        <v>61.3</v>
      </c>
      <c r="BY38" s="4"/>
      <c r="BZ38" s="4">
        <f>BV38+BX38</f>
        <v>146.39999999999998</v>
      </c>
      <c r="CA38" s="4"/>
      <c r="CB38" s="4"/>
      <c r="CC38" s="4"/>
      <c r="CD38" s="4">
        <v>4.7</v>
      </c>
      <c r="CE38" s="4"/>
      <c r="CF38" s="4"/>
      <c r="CG38" s="4"/>
      <c r="CH38" s="4"/>
      <c r="CI38" s="4"/>
      <c r="CJ38" s="4"/>
      <c r="CK38" s="4"/>
      <c r="CL38" s="4"/>
      <c r="CM38" s="4"/>
      <c r="CN38" s="4"/>
      <c r="CO38" s="4"/>
      <c r="CP38" s="2" t="s">
        <v>391</v>
      </c>
      <c r="CQ38" s="2" t="s">
        <v>254</v>
      </c>
      <c r="CR38" s="10" t="s">
        <v>388</v>
      </c>
      <c r="CS38" s="9" t="s">
        <v>256</v>
      </c>
    </row>
    <row r="39" spans="1:97" s="2" customFormat="1" ht="12.75">
      <c r="A39" s="2">
        <v>36</v>
      </c>
      <c r="B39" s="2" t="s">
        <v>374</v>
      </c>
      <c r="C39" s="2" t="s">
        <v>380</v>
      </c>
      <c r="D39" s="4" t="s">
        <v>365</v>
      </c>
      <c r="E39" s="2" t="s">
        <v>392</v>
      </c>
      <c r="F39" s="2" t="s">
        <v>393</v>
      </c>
      <c r="G39" s="2">
        <v>2002</v>
      </c>
      <c r="H39" s="2">
        <v>2005</v>
      </c>
      <c r="I39" s="2">
        <v>0</v>
      </c>
      <c r="J39" s="2">
        <v>0</v>
      </c>
      <c r="K39" s="2">
        <v>0</v>
      </c>
      <c r="L39" s="2">
        <v>0</v>
      </c>
      <c r="M39" s="2">
        <v>0</v>
      </c>
      <c r="N39" s="2">
        <v>1</v>
      </c>
      <c r="O39" s="4">
        <v>13.062499999999995</v>
      </c>
      <c r="P39" s="4">
        <v>105.32499999999999</v>
      </c>
      <c r="Q39" s="4">
        <v>3462.5</v>
      </c>
      <c r="R39" s="4">
        <v>437.75</v>
      </c>
      <c r="S39" s="4">
        <v>330</v>
      </c>
      <c r="T39" s="4"/>
      <c r="U39" s="4">
        <v>1223.2</v>
      </c>
      <c r="V39" s="4">
        <v>0.89166666666666672</v>
      </c>
      <c r="W39" s="4"/>
      <c r="X39" s="4"/>
      <c r="Y39" s="4"/>
      <c r="Z39" s="4"/>
      <c r="AA39" s="4"/>
      <c r="AB39" s="4"/>
      <c r="AC39" s="4"/>
      <c r="AD39" s="4"/>
      <c r="AE39" s="4"/>
      <c r="AF39" s="4"/>
      <c r="AG39" s="4"/>
      <c r="AH39" s="4"/>
      <c r="AI39" s="4"/>
      <c r="AJ39" s="4"/>
      <c r="AK39" s="4"/>
      <c r="AL39" s="4"/>
      <c r="AM39" s="4"/>
      <c r="AN39" s="4"/>
      <c r="AO39" s="4"/>
      <c r="AP39" s="4"/>
      <c r="AQ39" s="4"/>
      <c r="AR39" s="4"/>
      <c r="AS39" s="4"/>
      <c r="AT39" s="4"/>
      <c r="AV39" s="4"/>
      <c r="AW39" s="4">
        <v>8125</v>
      </c>
      <c r="AX39" s="4">
        <v>5.0999999999999996</v>
      </c>
      <c r="AY39" s="4"/>
      <c r="AZ39" s="4">
        <f t="shared" si="4"/>
        <v>16.597917561848696</v>
      </c>
      <c r="BA39" s="4"/>
      <c r="BB39" s="4"/>
      <c r="BC39" s="4"/>
      <c r="BD39" s="4">
        <v>45.2</v>
      </c>
      <c r="BE39" s="4">
        <v>48.2</v>
      </c>
      <c r="BF39" s="4">
        <v>48.9</v>
      </c>
      <c r="BG39" s="4">
        <v>44.8</v>
      </c>
      <c r="BH39" s="4"/>
      <c r="BI39" s="4">
        <v>45.6</v>
      </c>
      <c r="BJ39" s="4"/>
      <c r="BK39" s="4"/>
      <c r="BL39" s="4"/>
      <c r="BM39" s="4"/>
      <c r="BN39" s="4">
        <v>3.3</v>
      </c>
      <c r="BO39" s="4">
        <v>17.2</v>
      </c>
      <c r="BP39" s="4">
        <f>SUM(BM39:BO39)</f>
        <v>20.5</v>
      </c>
      <c r="BQ39" s="4">
        <f>BU39/BP39</f>
        <v>2.1804878048780485</v>
      </c>
      <c r="BR39" s="4">
        <v>23.9</v>
      </c>
      <c r="BS39" s="4">
        <v>15.7</v>
      </c>
      <c r="BT39" s="4">
        <v>5.0999999999999996</v>
      </c>
      <c r="BU39" s="4">
        <f>SUM(BR39:BT39)</f>
        <v>44.699999999999996</v>
      </c>
      <c r="BV39" s="4">
        <f>BU39+BP39</f>
        <v>65.199999999999989</v>
      </c>
      <c r="BW39" s="4"/>
      <c r="BX39" s="4">
        <v>113.8</v>
      </c>
      <c r="BY39" s="4"/>
      <c r="BZ39" s="4">
        <f>BV39+BX39</f>
        <v>179</v>
      </c>
      <c r="CA39" s="4"/>
      <c r="CB39" s="4"/>
      <c r="CC39" s="4"/>
      <c r="CD39" s="4">
        <v>10.5</v>
      </c>
      <c r="CE39" s="4"/>
      <c r="CF39" s="4"/>
      <c r="CG39" s="4"/>
      <c r="CH39" s="4"/>
      <c r="CI39" s="4"/>
      <c r="CJ39" s="4"/>
      <c r="CK39" s="4"/>
      <c r="CL39" s="4"/>
      <c r="CM39" s="4"/>
      <c r="CN39" s="4"/>
      <c r="CO39" s="4"/>
      <c r="CP39" s="2" t="s">
        <v>387</v>
      </c>
      <c r="CQ39" s="2" t="s">
        <v>254</v>
      </c>
      <c r="CR39" s="10" t="s">
        <v>388</v>
      </c>
      <c r="CS39" s="9" t="s">
        <v>256</v>
      </c>
    </row>
    <row r="40" spans="1:97" s="2" customFormat="1" ht="12.75">
      <c r="A40" s="2">
        <v>37</v>
      </c>
      <c r="B40" s="2" t="s">
        <v>363</v>
      </c>
      <c r="C40" s="2" t="s">
        <v>394</v>
      </c>
      <c r="D40" s="4" t="s">
        <v>250</v>
      </c>
      <c r="E40" s="2" t="s">
        <v>395</v>
      </c>
      <c r="F40" s="2" t="s">
        <v>396</v>
      </c>
      <c r="G40" s="2">
        <v>2006</v>
      </c>
      <c r="H40" s="2">
        <v>2016</v>
      </c>
      <c r="I40" s="2">
        <v>0</v>
      </c>
      <c r="J40" s="2">
        <v>0</v>
      </c>
      <c r="K40" s="2">
        <v>0</v>
      </c>
      <c r="L40" s="2">
        <v>0</v>
      </c>
      <c r="M40" s="2">
        <v>0</v>
      </c>
      <c r="N40" s="2">
        <v>0</v>
      </c>
      <c r="O40" s="4">
        <v>17.5</v>
      </c>
      <c r="P40" s="4">
        <f>(O40-5)*12</f>
        <v>150</v>
      </c>
      <c r="Q40" s="4">
        <v>2719</v>
      </c>
      <c r="R40" s="4">
        <v>1.1000000000000001</v>
      </c>
      <c r="S40" s="4">
        <v>60</v>
      </c>
      <c r="T40" s="4">
        <v>69.340909999999994</v>
      </c>
      <c r="U40" s="4">
        <v>2353.88</v>
      </c>
      <c r="V40" s="4">
        <v>1.72197</v>
      </c>
      <c r="W40" s="4"/>
      <c r="X40" s="4"/>
      <c r="Y40" s="4"/>
      <c r="Z40" s="4"/>
      <c r="AA40" s="4"/>
      <c r="AB40" s="4"/>
      <c r="AC40" s="4"/>
      <c r="AD40" s="4"/>
      <c r="AE40" s="4"/>
      <c r="AF40" s="4"/>
      <c r="AG40" s="4"/>
      <c r="AH40" s="4"/>
      <c r="AI40" s="4"/>
      <c r="AJ40" s="4"/>
      <c r="AK40" s="4"/>
      <c r="AL40" s="4"/>
      <c r="AM40" s="4"/>
      <c r="AN40" s="4"/>
      <c r="AO40" s="4"/>
      <c r="AP40" s="4"/>
      <c r="AQ40" s="4"/>
      <c r="AR40" s="4"/>
      <c r="AS40" s="4"/>
      <c r="AT40" s="4"/>
      <c r="AV40" s="4"/>
      <c r="AW40" s="4">
        <f>(9870+7307)/2</f>
        <v>8588.5</v>
      </c>
      <c r="AX40" s="4">
        <f>(11+13)/2</f>
        <v>12</v>
      </c>
      <c r="AY40" s="4"/>
      <c r="AZ40" s="4">
        <f t="shared" si="4"/>
        <v>97.133646619281379</v>
      </c>
      <c r="BA40" s="4"/>
      <c r="BB40" s="4">
        <v>6.9</v>
      </c>
      <c r="BC40" s="4"/>
      <c r="BD40" s="4"/>
      <c r="BE40" s="4"/>
      <c r="BF40" s="4"/>
      <c r="BG40" s="4"/>
      <c r="BH40" s="4"/>
      <c r="BI40" s="4"/>
      <c r="BJ40" s="4"/>
      <c r="BK40" s="4"/>
      <c r="BL40" s="4"/>
      <c r="BM40" s="4"/>
      <c r="BN40" s="4"/>
      <c r="BO40" s="4"/>
      <c r="BP40" s="4">
        <f>(170+200)/2*50%</f>
        <v>92.5</v>
      </c>
      <c r="BQ40" s="4"/>
      <c r="BR40" s="4"/>
      <c r="BS40" s="4"/>
      <c r="BT40" s="4"/>
      <c r="BU40" s="4"/>
      <c r="BV40" s="4"/>
      <c r="BW40" s="4"/>
      <c r="BX40" s="4"/>
      <c r="BY40" s="4"/>
      <c r="BZ40" s="4"/>
      <c r="CA40" s="4"/>
      <c r="CB40" s="4"/>
      <c r="CC40" s="4"/>
      <c r="CD40" s="4">
        <f>4.2*50%</f>
        <v>2.1</v>
      </c>
      <c r="CE40" s="4"/>
      <c r="CF40" s="4"/>
      <c r="CG40" s="4"/>
      <c r="CH40" s="4"/>
      <c r="CI40" s="4"/>
      <c r="CJ40" s="4"/>
      <c r="CK40" s="4"/>
      <c r="CL40" s="4"/>
      <c r="CM40" s="4"/>
      <c r="CN40" s="4"/>
      <c r="CO40" s="4"/>
      <c r="CP40" s="2" t="s">
        <v>397</v>
      </c>
      <c r="CQ40" s="2" t="s">
        <v>254</v>
      </c>
      <c r="CR40" s="10" t="s">
        <v>398</v>
      </c>
      <c r="CS40" s="9" t="s">
        <v>256</v>
      </c>
    </row>
    <row r="41" spans="1:97" s="2" customFormat="1" ht="12.75">
      <c r="A41" s="2">
        <v>38</v>
      </c>
      <c r="B41" s="2" t="s">
        <v>374</v>
      </c>
      <c r="C41" s="2" t="s">
        <v>399</v>
      </c>
      <c r="D41" s="4" t="s">
        <v>365</v>
      </c>
      <c r="E41" s="2" t="s">
        <v>400</v>
      </c>
      <c r="F41" s="2" t="s">
        <v>401</v>
      </c>
      <c r="G41" s="2">
        <v>2008</v>
      </c>
      <c r="H41" s="2">
        <v>2008</v>
      </c>
      <c r="I41" s="2">
        <v>0</v>
      </c>
      <c r="J41" s="2">
        <v>0</v>
      </c>
      <c r="K41" s="2">
        <v>0</v>
      </c>
      <c r="L41" s="2">
        <v>0</v>
      </c>
      <c r="M41" s="2">
        <v>0</v>
      </c>
      <c r="N41" s="12">
        <v>0</v>
      </c>
      <c r="O41" s="4">
        <v>16.75</v>
      </c>
      <c r="P41" s="4">
        <v>141</v>
      </c>
      <c r="Q41" s="4">
        <v>1086.5</v>
      </c>
      <c r="R41" s="4">
        <v>0</v>
      </c>
      <c r="S41" s="4">
        <v>88</v>
      </c>
      <c r="T41" s="4">
        <v>65.416669999999996</v>
      </c>
      <c r="U41" s="4">
        <v>2016.9</v>
      </c>
      <c r="V41" s="4">
        <v>2.35</v>
      </c>
      <c r="W41" s="4"/>
      <c r="X41" s="4"/>
      <c r="Y41" s="4"/>
      <c r="Z41" s="4"/>
      <c r="AA41" s="4"/>
      <c r="AB41" s="4"/>
      <c r="AC41" s="4"/>
      <c r="AD41" s="4"/>
      <c r="AE41" s="4"/>
      <c r="AF41" s="4"/>
      <c r="AG41" s="4"/>
      <c r="AH41" s="4"/>
      <c r="AI41" s="4"/>
      <c r="AJ41" s="4"/>
      <c r="AK41" s="4"/>
      <c r="AL41" s="4"/>
      <c r="AM41" s="4"/>
      <c r="AN41" s="4"/>
      <c r="AO41" s="4"/>
      <c r="AP41" s="4"/>
      <c r="AQ41" s="4"/>
      <c r="AR41" s="4"/>
      <c r="AS41" s="4"/>
      <c r="AT41" s="4"/>
      <c r="AV41" s="4"/>
      <c r="AW41" s="4"/>
      <c r="AX41" s="4"/>
      <c r="AY41" s="4"/>
      <c r="AZ41" s="4"/>
      <c r="BA41" s="4"/>
      <c r="BB41" s="4"/>
      <c r="BC41" s="4"/>
      <c r="BD41" s="4"/>
      <c r="BE41" s="4"/>
      <c r="BF41" s="4"/>
      <c r="BG41" s="4"/>
      <c r="BH41" s="4"/>
      <c r="BI41" s="4"/>
      <c r="BJ41" s="4"/>
      <c r="BK41" s="4"/>
      <c r="BL41" s="4"/>
      <c r="BM41" s="4"/>
      <c r="BN41" s="4"/>
      <c r="BO41" s="4"/>
      <c r="BP41" s="4">
        <f>84.2</f>
        <v>84.2</v>
      </c>
      <c r="BQ41" s="4"/>
      <c r="BR41" s="4"/>
      <c r="BS41" s="4"/>
      <c r="BT41" s="4"/>
      <c r="BU41" s="4"/>
      <c r="BV41" s="4"/>
      <c r="BX41" s="4"/>
      <c r="BY41" s="4"/>
      <c r="BZ41" s="4"/>
      <c r="CA41" s="4"/>
      <c r="CB41" s="4"/>
      <c r="CC41" s="4"/>
      <c r="CD41" s="4">
        <v>3.49</v>
      </c>
      <c r="CE41" s="4"/>
      <c r="CF41" s="4"/>
      <c r="CG41" s="4"/>
      <c r="CH41" s="4"/>
      <c r="CI41" s="4"/>
      <c r="CJ41" s="4"/>
      <c r="CK41" s="4"/>
      <c r="CL41" s="4"/>
      <c r="CM41" s="4"/>
      <c r="CN41" s="4"/>
      <c r="CP41" s="2" t="s">
        <v>402</v>
      </c>
      <c r="CQ41" s="2" t="s">
        <v>254</v>
      </c>
      <c r="CR41" s="10" t="s">
        <v>403</v>
      </c>
      <c r="CS41" s="9" t="s">
        <v>256</v>
      </c>
    </row>
    <row r="42" spans="1:97" s="2" customFormat="1" ht="12.75">
      <c r="A42" s="2">
        <v>39</v>
      </c>
      <c r="B42" s="2" t="s">
        <v>374</v>
      </c>
      <c r="C42" s="2" t="s">
        <v>404</v>
      </c>
      <c r="D42" s="4" t="s">
        <v>365</v>
      </c>
      <c r="E42" s="2" t="s">
        <v>405</v>
      </c>
      <c r="F42" s="2" t="s">
        <v>406</v>
      </c>
      <c r="G42" s="2">
        <v>2008</v>
      </c>
      <c r="H42" s="2">
        <v>2008</v>
      </c>
      <c r="I42" s="2">
        <v>0</v>
      </c>
      <c r="J42" s="2">
        <v>0</v>
      </c>
      <c r="K42" s="2">
        <v>0</v>
      </c>
      <c r="L42" s="2">
        <v>0</v>
      </c>
      <c r="M42" s="2">
        <v>0</v>
      </c>
      <c r="N42" s="12">
        <v>1</v>
      </c>
      <c r="O42" s="4">
        <v>16.75</v>
      </c>
      <c r="P42" s="4">
        <v>141</v>
      </c>
      <c r="Q42" s="4">
        <v>1086.5</v>
      </c>
      <c r="R42" s="4">
        <v>0</v>
      </c>
      <c r="S42" s="4">
        <v>88</v>
      </c>
      <c r="T42" s="4">
        <v>65.416669999999996</v>
      </c>
      <c r="U42" s="4">
        <v>2016.9</v>
      </c>
      <c r="V42" s="4">
        <v>2.35</v>
      </c>
      <c r="W42" s="4"/>
      <c r="X42" s="4"/>
      <c r="Y42" s="4"/>
      <c r="Z42" s="4"/>
      <c r="AA42" s="4"/>
      <c r="AB42" s="4"/>
      <c r="AC42" s="4"/>
      <c r="AD42" s="4"/>
      <c r="AE42" s="4"/>
      <c r="AF42" s="4"/>
      <c r="AG42" s="4"/>
      <c r="AH42" s="4"/>
      <c r="AI42" s="4"/>
      <c r="AJ42" s="4"/>
      <c r="AK42" s="4"/>
      <c r="AL42" s="4"/>
      <c r="AM42" s="4"/>
      <c r="AN42" s="4"/>
      <c r="AO42" s="4"/>
      <c r="AP42" s="4"/>
      <c r="AQ42" s="4"/>
      <c r="AR42" s="4"/>
      <c r="AS42" s="4"/>
      <c r="AT42" s="4"/>
      <c r="AV42" s="4"/>
      <c r="AW42" s="4"/>
      <c r="AX42" s="4"/>
      <c r="AY42" s="4"/>
      <c r="AZ42" s="4"/>
      <c r="BA42" s="4"/>
      <c r="BB42" s="4"/>
      <c r="BC42" s="4"/>
      <c r="BD42" s="4"/>
      <c r="BE42" s="4"/>
      <c r="BF42" s="4"/>
      <c r="BG42" s="4"/>
      <c r="BH42" s="4"/>
      <c r="BI42" s="4"/>
      <c r="BJ42" s="4"/>
      <c r="BK42" s="4"/>
      <c r="BL42" s="4"/>
      <c r="BM42" s="4"/>
      <c r="BN42" s="4"/>
      <c r="BO42" s="4"/>
      <c r="BP42" s="4">
        <f>(103.2+116.7+92.3+61.1+88.2)/5</f>
        <v>92.3</v>
      </c>
      <c r="BQ42" s="4"/>
      <c r="BR42" s="4"/>
      <c r="BS42" s="4"/>
      <c r="BT42" s="4"/>
      <c r="BU42" s="4"/>
      <c r="BV42" s="4"/>
      <c r="BX42" s="4"/>
      <c r="BY42" s="4"/>
      <c r="BZ42" s="4"/>
      <c r="CA42" s="4"/>
      <c r="CB42" s="4"/>
      <c r="CC42" s="4"/>
      <c r="CD42" s="4">
        <f>(4.14+4.65+4.2+4.02+2.87)/5</f>
        <v>3.976</v>
      </c>
      <c r="CE42" s="4"/>
      <c r="CF42" s="4"/>
      <c r="CG42" s="4"/>
      <c r="CH42" s="4"/>
      <c r="CI42" s="4"/>
      <c r="CJ42" s="4"/>
      <c r="CK42" s="4"/>
      <c r="CL42" s="4"/>
      <c r="CM42" s="4"/>
      <c r="CN42" s="4"/>
      <c r="CP42" s="2" t="s">
        <v>402</v>
      </c>
      <c r="CQ42" s="2" t="s">
        <v>254</v>
      </c>
      <c r="CR42" s="10" t="s">
        <v>407</v>
      </c>
      <c r="CS42" s="9" t="s">
        <v>256</v>
      </c>
    </row>
    <row r="43" spans="1:97" s="2" customFormat="1" ht="12.75">
      <c r="A43" s="2">
        <v>40</v>
      </c>
      <c r="B43" s="2" t="s">
        <v>374</v>
      </c>
      <c r="C43" s="2" t="s">
        <v>408</v>
      </c>
      <c r="D43" s="4" t="s">
        <v>250</v>
      </c>
      <c r="E43" s="2" t="s">
        <v>409</v>
      </c>
      <c r="F43" s="2" t="s">
        <v>410</v>
      </c>
      <c r="G43" s="2">
        <v>2009</v>
      </c>
      <c r="H43" s="2">
        <v>2009</v>
      </c>
      <c r="I43" s="2">
        <v>0</v>
      </c>
      <c r="J43" s="2">
        <v>0</v>
      </c>
      <c r="K43" s="2">
        <v>0</v>
      </c>
      <c r="L43" s="2">
        <v>0</v>
      </c>
      <c r="M43" s="2">
        <v>0</v>
      </c>
      <c r="N43" s="2">
        <v>0</v>
      </c>
      <c r="O43" s="4">
        <v>16.258333333333336</v>
      </c>
      <c r="P43" s="4">
        <f>(O43-5)*12</f>
        <v>135.10000000000002</v>
      </c>
      <c r="Q43" s="4">
        <v>1831.5</v>
      </c>
      <c r="R43" s="4">
        <v>5</v>
      </c>
      <c r="S43" s="4">
        <f>(320+80)/2</f>
        <v>200</v>
      </c>
      <c r="T43" s="4">
        <v>75.833333333333329</v>
      </c>
      <c r="U43" s="4">
        <v>1872.5</v>
      </c>
      <c r="V43" s="4">
        <v>1.4333333333333333</v>
      </c>
      <c r="W43" s="4"/>
      <c r="X43" s="4"/>
      <c r="Y43" s="4"/>
      <c r="Z43" s="4"/>
      <c r="AA43" s="4"/>
      <c r="AB43" s="4"/>
      <c r="AC43" s="4"/>
      <c r="AD43" s="4"/>
      <c r="AE43" s="4"/>
      <c r="AF43" s="4"/>
      <c r="AG43" s="4"/>
      <c r="AH43" s="4"/>
      <c r="AI43" s="4"/>
      <c r="AJ43" s="4"/>
      <c r="AK43" s="4"/>
      <c r="AL43" s="4"/>
      <c r="AM43" s="4"/>
      <c r="AN43" s="4"/>
      <c r="AO43" s="4"/>
      <c r="AP43" s="4"/>
      <c r="AQ43" s="4"/>
      <c r="AR43" s="4"/>
      <c r="AS43" s="4"/>
      <c r="AT43" s="4"/>
      <c r="AV43" s="4"/>
      <c r="AW43" s="4">
        <f>(6130+5000)/2</f>
        <v>5565</v>
      </c>
      <c r="AX43" s="4">
        <f>(12.9+13.9)/2</f>
        <v>13.4</v>
      </c>
      <c r="AY43" s="4">
        <f>(17.9+18.1)/2</f>
        <v>18</v>
      </c>
      <c r="AZ43" s="4">
        <f>(83+76.8)/2</f>
        <v>79.900000000000006</v>
      </c>
      <c r="BA43" s="4"/>
      <c r="BB43" s="4"/>
      <c r="BC43" s="4"/>
      <c r="BD43" s="4"/>
      <c r="BE43" s="4"/>
      <c r="BF43" s="4"/>
      <c r="BG43" s="4"/>
      <c r="BH43" s="4"/>
      <c r="BI43" s="4"/>
      <c r="BJ43" s="4"/>
      <c r="BK43" s="4"/>
      <c r="BL43" s="4"/>
      <c r="BM43" s="4"/>
      <c r="BN43" s="4">
        <f>(17.01+18.71)/2*0.5</f>
        <v>8.93</v>
      </c>
      <c r="BO43" s="4">
        <f>(129.63+101.28)/2*0.5</f>
        <v>57.727499999999999</v>
      </c>
      <c r="BP43" s="4">
        <f>SUM(BM43:BO43)</f>
        <v>66.657499999999999</v>
      </c>
      <c r="BQ43" s="4"/>
      <c r="BR43" s="4"/>
      <c r="BS43" s="4"/>
      <c r="BT43" s="4"/>
      <c r="BU43" s="4"/>
      <c r="BV43" s="4"/>
      <c r="BW43" s="4"/>
      <c r="BX43" s="4"/>
      <c r="BY43" s="4"/>
      <c r="BZ43" s="4"/>
      <c r="CA43" s="4"/>
      <c r="CB43" s="4">
        <f>(1.22+2.73)/2*0.5</f>
        <v>0.98750000000000004</v>
      </c>
      <c r="CC43" s="4">
        <f>(7.04+12.44)/2*0.5</f>
        <v>4.87</v>
      </c>
      <c r="CD43" s="4"/>
      <c r="CE43" s="4"/>
      <c r="CF43" s="4">
        <f>SUM(CA43:CD43)</f>
        <v>5.8574999999999999</v>
      </c>
      <c r="CG43" s="4"/>
      <c r="CH43" s="4"/>
      <c r="CI43" s="4"/>
      <c r="CJ43" s="4"/>
      <c r="CK43" s="4"/>
      <c r="CL43" s="4"/>
      <c r="CM43" s="4"/>
      <c r="CN43" s="4"/>
      <c r="CO43" s="4"/>
      <c r="CP43" s="2" t="s">
        <v>411</v>
      </c>
      <c r="CQ43" s="2" t="s">
        <v>254</v>
      </c>
      <c r="CR43" s="10" t="s">
        <v>412</v>
      </c>
      <c r="CS43" s="9" t="s">
        <v>256</v>
      </c>
    </row>
    <row r="44" spans="1:97" s="2" customFormat="1" ht="12.75">
      <c r="A44" s="2">
        <v>41</v>
      </c>
      <c r="B44" s="2" t="s">
        <v>374</v>
      </c>
      <c r="C44" s="2" t="s">
        <v>413</v>
      </c>
      <c r="D44" s="4" t="s">
        <v>250</v>
      </c>
      <c r="E44" s="2" t="s">
        <v>414</v>
      </c>
      <c r="F44" s="2" t="s">
        <v>415</v>
      </c>
      <c r="G44" s="2">
        <v>2009</v>
      </c>
      <c r="H44" s="2">
        <v>2009</v>
      </c>
      <c r="I44" s="2">
        <v>0</v>
      </c>
      <c r="J44" s="2">
        <v>0</v>
      </c>
      <c r="K44" s="2">
        <v>0</v>
      </c>
      <c r="L44" s="2">
        <v>0</v>
      </c>
      <c r="M44" s="2">
        <v>0</v>
      </c>
      <c r="N44" s="2">
        <v>0</v>
      </c>
      <c r="O44" s="4">
        <v>18.108333333333331</v>
      </c>
      <c r="P44" s="4">
        <f>(O44-5)*12</f>
        <v>157.29999999999995</v>
      </c>
      <c r="Q44" s="4">
        <v>1818.5</v>
      </c>
      <c r="R44" s="4">
        <v>5</v>
      </c>
      <c r="S44" s="4">
        <v>130</v>
      </c>
      <c r="T44" s="4">
        <v>75.833333333333329</v>
      </c>
      <c r="U44" s="4">
        <v>1781.2</v>
      </c>
      <c r="V44" s="4">
        <v>1.9750000000000003</v>
      </c>
      <c r="W44" s="4"/>
      <c r="X44" s="4"/>
      <c r="Y44" s="4"/>
      <c r="Z44" s="4"/>
      <c r="AA44" s="4"/>
      <c r="AB44" s="4"/>
      <c r="AC44" s="4"/>
      <c r="AD44" s="4"/>
      <c r="AE44" s="4"/>
      <c r="AF44" s="4"/>
      <c r="AG44" s="4"/>
      <c r="AH44" s="4"/>
      <c r="AI44" s="4"/>
      <c r="AJ44" s="4"/>
      <c r="AK44" s="4"/>
      <c r="AL44" s="4"/>
      <c r="AM44" s="4"/>
      <c r="AN44" s="4"/>
      <c r="AO44" s="4"/>
      <c r="AP44" s="4"/>
      <c r="AQ44" s="4"/>
      <c r="AR44" s="4"/>
      <c r="AS44" s="4"/>
      <c r="AT44" s="4"/>
      <c r="AV44" s="4"/>
      <c r="AW44" s="4">
        <f>5230</f>
        <v>5230</v>
      </c>
      <c r="AX44" s="4">
        <v>10.4</v>
      </c>
      <c r="AY44" s="4">
        <v>13.5</v>
      </c>
      <c r="AZ44" s="4">
        <v>45.7</v>
      </c>
      <c r="BA44" s="4"/>
      <c r="BB44" s="4"/>
      <c r="BC44" s="4"/>
      <c r="BD44" s="4"/>
      <c r="BE44" s="4"/>
      <c r="BF44" s="4"/>
      <c r="BG44" s="4"/>
      <c r="BH44" s="4"/>
      <c r="BI44" s="4"/>
      <c r="BJ44" s="4"/>
      <c r="BK44" s="4"/>
      <c r="BL44" s="4"/>
      <c r="BM44" s="4"/>
      <c r="BN44" s="4">
        <f>12.29*0.5</f>
        <v>6.1449999999999996</v>
      </c>
      <c r="BO44" s="4">
        <f>70.53*0.5</f>
        <v>35.265000000000001</v>
      </c>
      <c r="BP44" s="4">
        <f>SUM(BM44:BO44)</f>
        <v>41.41</v>
      </c>
      <c r="BQ44" s="4"/>
      <c r="BR44" s="4"/>
      <c r="BS44" s="4"/>
      <c r="BT44" s="4"/>
      <c r="BU44" s="4"/>
      <c r="BV44" s="4"/>
      <c r="BW44" s="4"/>
      <c r="BX44" s="4"/>
      <c r="BY44" s="4"/>
      <c r="BZ44" s="4"/>
      <c r="CA44" s="4"/>
      <c r="CB44" s="4">
        <f>2.49*0.5</f>
        <v>1.2450000000000001</v>
      </c>
      <c r="CC44" s="4">
        <f>9.65*0.5</f>
        <v>4.8250000000000002</v>
      </c>
      <c r="CD44" s="4"/>
      <c r="CE44" s="4"/>
      <c r="CF44" s="4">
        <f>SUM(CA44:CD44)</f>
        <v>6.07</v>
      </c>
      <c r="CG44" s="4"/>
      <c r="CH44" s="4"/>
      <c r="CI44" s="4"/>
      <c r="CJ44" s="4"/>
      <c r="CK44" s="4"/>
      <c r="CL44" s="4"/>
      <c r="CM44" s="4"/>
      <c r="CN44" s="4"/>
      <c r="CO44" s="4"/>
      <c r="CP44" s="2" t="s">
        <v>411</v>
      </c>
      <c r="CQ44" s="2" t="s">
        <v>254</v>
      </c>
      <c r="CR44" s="10" t="s">
        <v>412</v>
      </c>
      <c r="CS44" s="9" t="s">
        <v>256</v>
      </c>
    </row>
    <row r="45" spans="1:97" s="2" customFormat="1" ht="12.75">
      <c r="A45" s="2">
        <v>42</v>
      </c>
      <c r="B45" s="2" t="s">
        <v>374</v>
      </c>
      <c r="C45" s="2" t="s">
        <v>413</v>
      </c>
      <c r="D45" s="4" t="s">
        <v>250</v>
      </c>
      <c r="E45" s="2" t="s">
        <v>416</v>
      </c>
      <c r="F45" s="2" t="s">
        <v>417</v>
      </c>
      <c r="G45" s="2">
        <v>2009</v>
      </c>
      <c r="H45" s="2">
        <v>2009</v>
      </c>
      <c r="I45" s="2">
        <v>0</v>
      </c>
      <c r="J45" s="2">
        <v>0</v>
      </c>
      <c r="K45" s="2">
        <v>0</v>
      </c>
      <c r="L45" s="2">
        <v>0</v>
      </c>
      <c r="M45" s="2">
        <v>0</v>
      </c>
      <c r="N45" s="2">
        <v>0</v>
      </c>
      <c r="O45" s="4">
        <v>17.633333333333333</v>
      </c>
      <c r="P45" s="4">
        <f>(O45-5)*12</f>
        <v>151.6</v>
      </c>
      <c r="Q45" s="4">
        <v>2057.3000000000002</v>
      </c>
      <c r="R45" s="4">
        <v>5</v>
      </c>
      <c r="S45" s="4">
        <f>(125+125+125)/3</f>
        <v>125</v>
      </c>
      <c r="T45" s="4">
        <v>75.833333333333329</v>
      </c>
      <c r="U45" s="4">
        <v>1974.0000000000002</v>
      </c>
      <c r="V45" s="4">
        <v>3.2250000000000001</v>
      </c>
      <c r="W45" s="4"/>
      <c r="X45" s="4"/>
      <c r="Y45" s="4"/>
      <c r="Z45" s="4"/>
      <c r="AA45" s="4"/>
      <c r="AB45" s="4"/>
      <c r="AC45" s="4"/>
      <c r="AD45" s="4"/>
      <c r="AE45" s="4"/>
      <c r="AF45" s="4"/>
      <c r="AG45" s="4"/>
      <c r="AH45" s="4"/>
      <c r="AI45" s="4"/>
      <c r="AJ45" s="4"/>
      <c r="AK45" s="4"/>
      <c r="AL45" s="4"/>
      <c r="AM45" s="4"/>
      <c r="AN45" s="4"/>
      <c r="AO45" s="4"/>
      <c r="AP45" s="4"/>
      <c r="AQ45" s="4"/>
      <c r="AR45" s="4"/>
      <c r="AS45" s="4"/>
      <c r="AT45" s="4"/>
      <c r="AV45" s="4"/>
      <c r="AW45" s="4">
        <f>(5550+5200+5130)/3</f>
        <v>5293.333333333333</v>
      </c>
      <c r="AX45" s="4">
        <f>(12.5+12.8+11.7)/3</f>
        <v>12.333333333333334</v>
      </c>
      <c r="AY45" s="4">
        <f>(17+17.5+16.3)/3</f>
        <v>16.933333333333334</v>
      </c>
      <c r="AZ45" s="4">
        <f>(69.5+67.4+59.1)/3</f>
        <v>65.333333333333329</v>
      </c>
      <c r="BA45" s="4"/>
      <c r="BB45" s="4"/>
      <c r="BC45" s="4"/>
      <c r="BD45" s="4"/>
      <c r="BE45" s="4"/>
      <c r="BF45" s="4"/>
      <c r="BG45" s="4"/>
      <c r="BH45" s="4"/>
      <c r="BI45" s="4"/>
      <c r="BJ45" s="4"/>
      <c r="BK45" s="4"/>
      <c r="BL45" s="4"/>
      <c r="BM45" s="4"/>
      <c r="BN45" s="4">
        <f>(13.09+16.52+15.96)/3*0.5</f>
        <v>7.5949999999999998</v>
      </c>
      <c r="BO45" s="4">
        <f>(108.8+104.54+72.27)/3*0.5</f>
        <v>47.601666666666667</v>
      </c>
      <c r="BP45" s="4">
        <f>SUM(BM45:BO45)</f>
        <v>55.196666666666665</v>
      </c>
      <c r="BQ45" s="4"/>
      <c r="BR45" s="4"/>
      <c r="BS45" s="4"/>
      <c r="BT45" s="4"/>
      <c r="BU45" s="4"/>
      <c r="BV45" s="4"/>
      <c r="BW45" s="4"/>
      <c r="BX45" s="4"/>
      <c r="BY45" s="4"/>
      <c r="BZ45" s="4"/>
      <c r="CA45" s="4"/>
      <c r="CB45" s="4">
        <f>(0.39+0.07+0.22)/3*0.5</f>
        <v>0.11333333333333334</v>
      </c>
      <c r="CC45" s="4">
        <f>(1.67+0.22+0.71)/3*0.5</f>
        <v>0.43333333333333329</v>
      </c>
      <c r="CD45" s="4"/>
      <c r="CE45" s="4"/>
      <c r="CF45" s="4">
        <f>SUM(CA45:CD45)</f>
        <v>0.54666666666666663</v>
      </c>
      <c r="CG45" s="4"/>
      <c r="CH45" s="4"/>
      <c r="CI45" s="4"/>
      <c r="CJ45" s="4"/>
      <c r="CK45" s="4"/>
      <c r="CL45" s="4"/>
      <c r="CM45" s="4"/>
      <c r="CN45" s="4"/>
      <c r="CO45" s="4"/>
      <c r="CP45" s="2" t="s">
        <v>411</v>
      </c>
      <c r="CQ45" s="2" t="s">
        <v>254</v>
      </c>
      <c r="CR45" s="10" t="s">
        <v>412</v>
      </c>
      <c r="CS45" s="9" t="s">
        <v>256</v>
      </c>
    </row>
    <row r="46" spans="1:97" s="2" customFormat="1" ht="12.75">
      <c r="A46" s="2">
        <v>43</v>
      </c>
      <c r="B46" s="2" t="s">
        <v>374</v>
      </c>
      <c r="C46" s="2" t="s">
        <v>418</v>
      </c>
      <c r="D46" s="4" t="s">
        <v>250</v>
      </c>
      <c r="E46" s="2" t="s">
        <v>419</v>
      </c>
      <c r="F46" s="2" t="s">
        <v>420</v>
      </c>
      <c r="G46" s="2">
        <v>2013</v>
      </c>
      <c r="H46" s="2">
        <v>2016</v>
      </c>
      <c r="I46" s="2">
        <v>1</v>
      </c>
      <c r="J46" s="2">
        <v>0</v>
      </c>
      <c r="K46" s="2">
        <v>0</v>
      </c>
      <c r="L46" s="2">
        <v>1</v>
      </c>
      <c r="M46" s="2">
        <v>0</v>
      </c>
      <c r="N46" s="2">
        <v>0</v>
      </c>
      <c r="O46" s="4">
        <v>15.9</v>
      </c>
      <c r="P46" s="4">
        <f>(O46-5)*12</f>
        <v>130.80000000000001</v>
      </c>
      <c r="Q46" s="4">
        <v>1833</v>
      </c>
      <c r="R46" s="4">
        <v>2.25</v>
      </c>
      <c r="S46" s="4">
        <v>84</v>
      </c>
      <c r="T46" s="4">
        <v>70.104166666666671</v>
      </c>
      <c r="U46" s="4">
        <v>2523.9333333333334</v>
      </c>
      <c r="V46" s="4">
        <v>2.8458333333333337</v>
      </c>
      <c r="W46" s="4"/>
      <c r="X46" s="4"/>
      <c r="Y46" s="4"/>
      <c r="Z46" s="4"/>
      <c r="AA46" s="4"/>
      <c r="AB46" s="4"/>
      <c r="AC46" s="4"/>
      <c r="AD46" s="4"/>
      <c r="AE46" s="4"/>
      <c r="AF46" s="4"/>
      <c r="AG46" s="4"/>
      <c r="AH46" s="4"/>
      <c r="AI46" s="4"/>
      <c r="AJ46" s="4"/>
      <c r="AK46" s="4"/>
      <c r="AL46" s="4"/>
      <c r="AM46" s="4"/>
      <c r="AN46" s="4"/>
      <c r="AO46" s="4"/>
      <c r="AP46" s="4"/>
      <c r="AQ46" s="4"/>
      <c r="AR46" s="4"/>
      <c r="AS46" s="4"/>
      <c r="AT46" s="4"/>
      <c r="AV46" s="4"/>
      <c r="AW46" s="4">
        <f>(10500+9900)/2</f>
        <v>10200</v>
      </c>
      <c r="AX46" s="4">
        <f>(9.3+9.3)/2</f>
        <v>9.3000000000000007</v>
      </c>
      <c r="AY46" s="4"/>
      <c r="AZ46" s="4">
        <f>(72.6+76.4)/2</f>
        <v>74.5</v>
      </c>
      <c r="BA46" s="4"/>
      <c r="BB46" s="4"/>
      <c r="BC46" s="4"/>
      <c r="BD46" s="4"/>
      <c r="BE46" s="4"/>
      <c r="BF46" s="4"/>
      <c r="BG46" s="4"/>
      <c r="BH46" s="4"/>
      <c r="BI46" s="4"/>
      <c r="BJ46" s="4"/>
      <c r="BK46" s="4"/>
      <c r="BL46" s="4"/>
      <c r="BM46" s="4"/>
      <c r="BN46" s="4"/>
      <c r="BO46" s="4"/>
      <c r="BP46" s="4">
        <f>(181+190.3)/2*0.5</f>
        <v>92.825000000000003</v>
      </c>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2" t="s">
        <v>421</v>
      </c>
      <c r="CQ46" s="2" t="s">
        <v>254</v>
      </c>
      <c r="CR46" s="10" t="s">
        <v>422</v>
      </c>
      <c r="CS46" s="9" t="s">
        <v>256</v>
      </c>
    </row>
    <row r="47" spans="1:97" s="2" customFormat="1" ht="12.75">
      <c r="A47" s="2">
        <v>44</v>
      </c>
      <c r="B47" s="2" t="s">
        <v>374</v>
      </c>
      <c r="C47" s="2" t="s">
        <v>423</v>
      </c>
      <c r="D47" s="4" t="s">
        <v>250</v>
      </c>
      <c r="E47" s="2" t="s">
        <v>424</v>
      </c>
      <c r="F47" s="2" t="s">
        <v>425</v>
      </c>
      <c r="G47" s="2">
        <v>2013</v>
      </c>
      <c r="H47" s="2">
        <v>2016</v>
      </c>
      <c r="I47" s="2">
        <v>0</v>
      </c>
      <c r="J47" s="2">
        <v>0</v>
      </c>
      <c r="K47" s="2">
        <v>0</v>
      </c>
      <c r="L47" s="2">
        <v>0</v>
      </c>
      <c r="M47" s="2">
        <v>0</v>
      </c>
      <c r="N47" s="2">
        <v>0</v>
      </c>
      <c r="O47" s="4">
        <v>15.9</v>
      </c>
      <c r="P47" s="4">
        <f>(O47-5)*12</f>
        <v>130.80000000000001</v>
      </c>
      <c r="Q47" s="4">
        <v>1833</v>
      </c>
      <c r="R47" s="4">
        <v>2.25</v>
      </c>
      <c r="S47" s="4">
        <v>84</v>
      </c>
      <c r="T47" s="4">
        <v>70.104166666666671</v>
      </c>
      <c r="U47" s="4">
        <v>2523.9333333333334</v>
      </c>
      <c r="V47" s="4">
        <v>2.8458333333333337</v>
      </c>
      <c r="W47" s="4"/>
      <c r="X47" s="4"/>
      <c r="Y47" s="4"/>
      <c r="Z47" s="4"/>
      <c r="AA47" s="4"/>
      <c r="AB47" s="4"/>
      <c r="AC47" s="4"/>
      <c r="AD47" s="4"/>
      <c r="AE47" s="4"/>
      <c r="AF47" s="4"/>
      <c r="AG47" s="4"/>
      <c r="AH47" s="4"/>
      <c r="AI47" s="4"/>
      <c r="AJ47" s="4"/>
      <c r="AK47" s="4"/>
      <c r="AL47" s="4"/>
      <c r="AM47" s="4"/>
      <c r="AN47" s="4"/>
      <c r="AO47" s="4"/>
      <c r="AP47" s="4"/>
      <c r="AQ47" s="4"/>
      <c r="AR47" s="4"/>
      <c r="AS47" s="4"/>
      <c r="AT47" s="4"/>
      <c r="AV47" s="4"/>
      <c r="AW47" s="4">
        <f>(8000+8500)/2</f>
        <v>8250</v>
      </c>
      <c r="AX47" s="4">
        <f>(11.1+11.6)/2</f>
        <v>11.35</v>
      </c>
      <c r="AY47" s="4"/>
      <c r="AZ47" s="4">
        <f>(86.5+85.9)/2</f>
        <v>86.2</v>
      </c>
      <c r="BA47" s="4"/>
      <c r="BB47" s="4"/>
      <c r="BC47" s="4"/>
      <c r="BD47" s="4"/>
      <c r="BE47" s="4"/>
      <c r="BF47" s="4"/>
      <c r="BG47" s="4"/>
      <c r="BH47" s="4"/>
      <c r="BI47" s="4"/>
      <c r="BJ47" s="4"/>
      <c r="BK47" s="4"/>
      <c r="BL47" s="4"/>
      <c r="BM47" s="4"/>
      <c r="BN47" s="4"/>
      <c r="BO47" s="4"/>
      <c r="BP47" s="4">
        <f>(222.6+220.1)/2*0.5</f>
        <v>110.675</v>
      </c>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2" t="s">
        <v>421</v>
      </c>
      <c r="CQ47" s="2" t="s">
        <v>254</v>
      </c>
      <c r="CR47" s="10" t="s">
        <v>426</v>
      </c>
      <c r="CS47" s="9" t="s">
        <v>256</v>
      </c>
    </row>
    <row r="48" spans="1:97" s="2" customFormat="1" ht="12.75">
      <c r="A48" s="2">
        <v>45</v>
      </c>
      <c r="B48" s="2" t="s">
        <v>374</v>
      </c>
      <c r="C48" s="2" t="s">
        <v>427</v>
      </c>
      <c r="D48" s="4" t="s">
        <v>365</v>
      </c>
      <c r="E48" s="2" t="s">
        <v>428</v>
      </c>
      <c r="F48" s="2" t="s">
        <v>429</v>
      </c>
      <c r="G48" s="2">
        <v>1983</v>
      </c>
      <c r="H48" s="2">
        <v>1987</v>
      </c>
      <c r="I48" s="2">
        <v>1</v>
      </c>
      <c r="J48" s="2">
        <v>0</v>
      </c>
      <c r="K48" s="2">
        <v>0</v>
      </c>
      <c r="L48" s="2">
        <v>0</v>
      </c>
      <c r="M48" s="2">
        <v>1</v>
      </c>
      <c r="N48" s="2">
        <v>0</v>
      </c>
      <c r="O48" s="4">
        <v>15.375</v>
      </c>
      <c r="P48" s="4">
        <v>127.08</v>
      </c>
      <c r="Q48" s="4">
        <v>1487.6</v>
      </c>
      <c r="R48" s="4">
        <v>27.2</v>
      </c>
      <c r="S48" s="4">
        <v>65</v>
      </c>
      <c r="T48" s="4">
        <v>65.75</v>
      </c>
      <c r="U48" s="4">
        <v>1989.38</v>
      </c>
      <c r="V48" s="4">
        <v>1.691667</v>
      </c>
      <c r="W48" s="4"/>
      <c r="X48" s="4"/>
      <c r="Y48" s="4"/>
      <c r="Z48" s="4"/>
      <c r="AA48" s="4"/>
      <c r="AB48" s="4"/>
      <c r="AC48" s="4"/>
      <c r="AD48" s="4"/>
      <c r="AE48" s="4"/>
      <c r="AF48" s="4"/>
      <c r="AG48" s="4"/>
      <c r="AH48" s="4"/>
      <c r="AI48" s="4"/>
      <c r="AJ48" s="4"/>
      <c r="AK48" s="4"/>
      <c r="AL48" s="4"/>
      <c r="AM48" s="4"/>
      <c r="AN48" s="4"/>
      <c r="AO48" s="4"/>
      <c r="AP48" s="4"/>
      <c r="AQ48" s="4"/>
      <c r="AR48" s="4"/>
      <c r="AS48" s="4"/>
      <c r="AT48" s="4"/>
      <c r="AV48" s="4"/>
      <c r="AW48" s="4">
        <v>3000</v>
      </c>
      <c r="AX48" s="4"/>
      <c r="AY48" s="4"/>
      <c r="AZ48" s="4"/>
      <c r="BA48" s="4"/>
      <c r="BB48" s="4"/>
      <c r="BC48" s="4"/>
      <c r="BD48" s="4"/>
      <c r="BE48" s="4"/>
      <c r="BF48" s="4"/>
      <c r="BG48" s="4"/>
      <c r="BH48" s="4"/>
      <c r="BI48" s="4"/>
      <c r="BJ48" s="4"/>
      <c r="BK48" s="4"/>
      <c r="BL48" s="4"/>
      <c r="BM48" s="4">
        <f>22.8*50%</f>
        <v>11.4</v>
      </c>
      <c r="BN48" s="4">
        <f>15.5*50%</f>
        <v>7.75</v>
      </c>
      <c r="BO48" s="4">
        <f>30.2*50%</f>
        <v>15.1</v>
      </c>
      <c r="BP48" s="4">
        <f>80.3*50%</f>
        <v>40.15</v>
      </c>
      <c r="BQ48" s="4"/>
      <c r="BR48" s="4"/>
      <c r="BS48" s="4"/>
      <c r="BT48" s="4"/>
      <c r="BU48" s="4"/>
      <c r="BV48" s="4"/>
      <c r="BW48" s="4"/>
      <c r="BX48" s="4"/>
      <c r="BY48" s="4"/>
      <c r="BZ48" s="4"/>
      <c r="CA48" s="4">
        <f>22.8/5*50%</f>
        <v>2.2800000000000002</v>
      </c>
      <c r="CB48" s="4">
        <f>15.5/5*50%</f>
        <v>1.55</v>
      </c>
      <c r="CC48" s="4">
        <f>30.2/5*50%</f>
        <v>3.02</v>
      </c>
      <c r="CD48" s="4">
        <f>(589.9+652.3)/2*100*100/1000/1000*50%</f>
        <v>3.1054999999999997</v>
      </c>
      <c r="CE48" s="4"/>
      <c r="CF48" s="4">
        <f>80.3/5*50%</f>
        <v>8.0299999999999994</v>
      </c>
      <c r="CG48" s="4"/>
      <c r="CH48" s="4"/>
      <c r="CI48" s="4"/>
      <c r="CJ48" s="4"/>
      <c r="CK48" s="4"/>
      <c r="CL48" s="4"/>
      <c r="CM48" s="4"/>
      <c r="CN48" s="4"/>
      <c r="CO48" s="4"/>
      <c r="CP48" s="2" t="s">
        <v>430</v>
      </c>
      <c r="CQ48" s="2" t="s">
        <v>254</v>
      </c>
      <c r="CR48" s="10" t="s">
        <v>431</v>
      </c>
      <c r="CS48" s="9" t="s">
        <v>256</v>
      </c>
    </row>
    <row r="49" spans="1:97" s="2" customFormat="1" ht="12.75">
      <c r="A49" s="2">
        <v>46</v>
      </c>
      <c r="B49" s="2" t="s">
        <v>374</v>
      </c>
      <c r="C49" s="2" t="s">
        <v>427</v>
      </c>
      <c r="D49" s="4" t="s">
        <v>365</v>
      </c>
      <c r="E49" s="2" t="s">
        <v>432</v>
      </c>
      <c r="F49" s="2" t="s">
        <v>433</v>
      </c>
      <c r="G49" s="2">
        <v>1984</v>
      </c>
      <c r="H49" s="2">
        <v>1985</v>
      </c>
      <c r="I49" s="2">
        <v>0</v>
      </c>
      <c r="J49" s="2">
        <v>0</v>
      </c>
      <c r="K49" s="2">
        <v>0</v>
      </c>
      <c r="L49" s="2">
        <v>0</v>
      </c>
      <c r="M49" s="2">
        <v>0</v>
      </c>
      <c r="N49" s="2">
        <v>0</v>
      </c>
      <c r="O49" s="4">
        <v>15.304169999999999</v>
      </c>
      <c r="P49" s="4">
        <v>127.35</v>
      </c>
      <c r="Q49" s="4">
        <v>1380.5</v>
      </c>
      <c r="R49" s="4">
        <v>42.5</v>
      </c>
      <c r="S49" s="4">
        <v>65</v>
      </c>
      <c r="T49" s="4">
        <v>66.166669999999996</v>
      </c>
      <c r="U49" s="4">
        <v>1959.95</v>
      </c>
      <c r="V49" s="4">
        <v>1.745833</v>
      </c>
      <c r="W49" s="4"/>
      <c r="X49" s="4"/>
      <c r="Y49" s="4"/>
      <c r="Z49" s="4"/>
      <c r="AA49" s="4"/>
      <c r="AB49" s="4"/>
      <c r="AC49" s="4"/>
      <c r="AD49" s="4"/>
      <c r="AE49" s="4"/>
      <c r="AF49" s="4"/>
      <c r="AG49" s="4"/>
      <c r="AH49" s="4"/>
      <c r="AI49" s="4"/>
      <c r="AJ49" s="4"/>
      <c r="AK49" s="4"/>
      <c r="AL49" s="4"/>
      <c r="AM49" s="4"/>
      <c r="AN49" s="4"/>
      <c r="AO49" s="4"/>
      <c r="AP49" s="4"/>
      <c r="AQ49" s="4"/>
      <c r="AR49" s="4"/>
      <c r="AS49" s="4"/>
      <c r="AT49" s="4"/>
      <c r="AV49" s="4"/>
      <c r="AW49" s="4">
        <f>(8536+8617+4803)/3</f>
        <v>7318.666666666667</v>
      </c>
      <c r="AX49" s="4">
        <f>(8.3+12.9+10)/3</f>
        <v>10.4</v>
      </c>
      <c r="AY49" s="4"/>
      <c r="AZ49" s="4">
        <f>(31.9+108+42.1)/3</f>
        <v>60.666666666666664</v>
      </c>
      <c r="BA49" s="4"/>
      <c r="BB49" s="4"/>
      <c r="BC49" s="4"/>
      <c r="BD49" s="4"/>
      <c r="BE49" s="4"/>
      <c r="BF49" s="4"/>
      <c r="BG49" s="4"/>
      <c r="BH49" s="4"/>
      <c r="BI49" s="4"/>
      <c r="BJ49" s="4"/>
      <c r="BK49" s="4"/>
      <c r="BL49" s="4"/>
      <c r="BM49" s="4"/>
      <c r="BN49" s="4"/>
      <c r="BO49" s="4">
        <f>(80.1+218+67.1)/3*50%</f>
        <v>60.866666666666674</v>
      </c>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2" t="s">
        <v>434</v>
      </c>
      <c r="CQ49" s="2" t="s">
        <v>254</v>
      </c>
      <c r="CR49" s="10" t="s">
        <v>435</v>
      </c>
      <c r="CS49" s="9" t="s">
        <v>256</v>
      </c>
    </row>
    <row r="50" spans="1:97" s="2" customFormat="1" ht="12.75">
      <c r="A50" s="2">
        <v>47</v>
      </c>
      <c r="B50" s="2" t="s">
        <v>374</v>
      </c>
      <c r="C50" s="2" t="s">
        <v>427</v>
      </c>
      <c r="D50" s="4" t="s">
        <v>365</v>
      </c>
      <c r="E50" s="2" t="s">
        <v>436</v>
      </c>
      <c r="F50" s="2" t="s">
        <v>437</v>
      </c>
      <c r="G50" s="2">
        <v>2009</v>
      </c>
      <c r="H50" s="2">
        <v>2009</v>
      </c>
      <c r="I50" s="2">
        <v>0</v>
      </c>
      <c r="J50" s="2">
        <v>0</v>
      </c>
      <c r="K50" s="2">
        <v>0</v>
      </c>
      <c r="L50" s="2">
        <v>0</v>
      </c>
      <c r="M50" s="2">
        <v>0</v>
      </c>
      <c r="N50" s="2">
        <v>0</v>
      </c>
      <c r="O50" s="4">
        <v>16.100000000000001</v>
      </c>
      <c r="P50" s="4">
        <v>133.19999999999999</v>
      </c>
      <c r="Q50" s="4">
        <v>1457.5</v>
      </c>
      <c r="R50" s="4">
        <v>2</v>
      </c>
      <c r="S50" s="4">
        <v>132</v>
      </c>
      <c r="T50" s="4">
        <v>62</v>
      </c>
      <c r="U50" s="4">
        <v>1775</v>
      </c>
      <c r="V50" s="4">
        <v>2.0583330000000002</v>
      </c>
      <c r="W50" s="4"/>
      <c r="X50" s="4"/>
      <c r="Y50" s="4"/>
      <c r="Z50" s="4"/>
      <c r="AA50" s="4"/>
      <c r="AB50" s="4"/>
      <c r="AC50" s="4"/>
      <c r="AD50" s="4"/>
      <c r="AE50" s="4"/>
      <c r="AF50" s="4"/>
      <c r="AG50" s="4"/>
      <c r="AH50" s="4"/>
      <c r="AI50" s="4"/>
      <c r="AJ50" s="4"/>
      <c r="AK50" s="4"/>
      <c r="AL50" s="4"/>
      <c r="AM50" s="4"/>
      <c r="AN50" s="4"/>
      <c r="AO50" s="4"/>
      <c r="AP50" s="4"/>
      <c r="AQ50" s="4"/>
      <c r="AR50" s="4"/>
      <c r="AS50" s="4"/>
      <c r="AT50" s="4"/>
      <c r="AV50" s="4"/>
      <c r="AW50" s="4">
        <v>5400</v>
      </c>
      <c r="AX50" s="4">
        <v>8</v>
      </c>
      <c r="AY50" s="4">
        <v>12.1</v>
      </c>
      <c r="AZ50" s="4">
        <f>(AX50/2)^2*PI()*AW50/10000</f>
        <v>27.143360527015815</v>
      </c>
      <c r="BA50" s="4"/>
      <c r="BB50" s="4"/>
      <c r="BC50" s="4"/>
      <c r="BD50" s="4"/>
      <c r="BE50" s="4"/>
      <c r="BF50" s="4"/>
      <c r="BG50" s="4"/>
      <c r="BH50" s="4"/>
      <c r="BI50" s="4"/>
      <c r="BJ50" s="4"/>
      <c r="BK50" s="4"/>
      <c r="BL50" s="4"/>
      <c r="BM50" s="4"/>
      <c r="BN50" s="4">
        <f>2.6*5400/1000</f>
        <v>14.04</v>
      </c>
      <c r="BO50" s="4">
        <f>8.9*5400/1000</f>
        <v>48.06</v>
      </c>
      <c r="BP50" s="4">
        <f>11.6*5400/1000</f>
        <v>62.64</v>
      </c>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2" t="s">
        <v>438</v>
      </c>
      <c r="CQ50" s="2" t="s">
        <v>254</v>
      </c>
      <c r="CR50" s="10" t="s">
        <v>439</v>
      </c>
      <c r="CS50" s="9" t="s">
        <v>256</v>
      </c>
    </row>
    <row r="51" spans="1:97" s="2" customFormat="1" ht="12.75">
      <c r="A51" s="2">
        <v>48</v>
      </c>
      <c r="B51" s="2" t="s">
        <v>374</v>
      </c>
      <c r="C51" s="2" t="s">
        <v>427</v>
      </c>
      <c r="D51" s="4" t="s">
        <v>365</v>
      </c>
      <c r="E51" s="2" t="s">
        <v>440</v>
      </c>
      <c r="F51" s="2" t="s">
        <v>441</v>
      </c>
      <c r="G51" s="2">
        <v>2019</v>
      </c>
      <c r="H51" s="2">
        <v>2019</v>
      </c>
      <c r="I51" s="2">
        <v>1</v>
      </c>
      <c r="J51" s="2">
        <v>0</v>
      </c>
      <c r="K51" s="2">
        <v>1</v>
      </c>
      <c r="L51" s="2">
        <v>1</v>
      </c>
      <c r="M51" s="2">
        <v>0</v>
      </c>
      <c r="N51" s="2">
        <v>0</v>
      </c>
      <c r="O51" s="4">
        <v>16.91</v>
      </c>
      <c r="P51" s="4">
        <v>142.9</v>
      </c>
      <c r="Q51" s="4">
        <v>1407.5</v>
      </c>
      <c r="R51" s="4">
        <v>7</v>
      </c>
      <c r="S51" s="4">
        <v>65</v>
      </c>
      <c r="T51" s="4">
        <v>66.75</v>
      </c>
      <c r="U51" s="4">
        <v>1817.3</v>
      </c>
      <c r="V51" s="4">
        <v>2.1</v>
      </c>
      <c r="W51" s="4"/>
      <c r="X51" s="4"/>
      <c r="Y51" s="4"/>
      <c r="Z51" s="4"/>
      <c r="AA51" s="4"/>
      <c r="AB51" s="4"/>
      <c r="AC51" s="4"/>
      <c r="AD51" s="4"/>
      <c r="AE51" s="4"/>
      <c r="AF51" s="4"/>
      <c r="AG51" s="4"/>
      <c r="AH51" s="4"/>
      <c r="AI51" s="4"/>
      <c r="AJ51" s="4"/>
      <c r="AK51" s="4"/>
      <c r="AL51" s="4"/>
      <c r="AM51" s="4"/>
      <c r="AN51" s="4"/>
      <c r="AO51" s="4"/>
      <c r="AP51" s="4"/>
      <c r="AQ51" s="4"/>
      <c r="AR51" s="4"/>
      <c r="AS51" s="4"/>
      <c r="AT51" s="4"/>
      <c r="AV51" s="4"/>
      <c r="AW51" s="4">
        <v>9184</v>
      </c>
      <c r="AX51" s="4">
        <v>9.6999999999999993</v>
      </c>
      <c r="AY51" s="4"/>
      <c r="AZ51" s="4">
        <v>69.7</v>
      </c>
      <c r="BA51" s="4"/>
      <c r="BB51" s="4"/>
      <c r="BC51" s="4"/>
      <c r="BD51" s="4"/>
      <c r="BE51" s="4"/>
      <c r="BF51" s="4"/>
      <c r="BG51" s="4"/>
      <c r="BH51" s="4"/>
      <c r="BI51" s="4"/>
      <c r="BJ51" s="4"/>
      <c r="BK51" s="4"/>
      <c r="BL51" s="4"/>
      <c r="BM51" s="4">
        <v>1.7</v>
      </c>
      <c r="BN51" s="4">
        <v>5.8</v>
      </c>
      <c r="BO51" s="4">
        <v>60.9</v>
      </c>
      <c r="BP51" s="4">
        <v>68.400000000000006</v>
      </c>
      <c r="BQ51" s="4">
        <v>0.36</v>
      </c>
      <c r="BR51" s="4">
        <v>5.0999999999999996</v>
      </c>
      <c r="BS51" s="4">
        <v>12.8</v>
      </c>
      <c r="BT51" s="4">
        <v>6.7</v>
      </c>
      <c r="BU51" s="4">
        <v>24.6</v>
      </c>
      <c r="BV51" s="4">
        <v>93</v>
      </c>
      <c r="BW51" s="4"/>
      <c r="BX51" s="4"/>
      <c r="BY51" s="4"/>
      <c r="BZ51" s="4"/>
      <c r="CA51" s="4"/>
      <c r="CB51" s="4"/>
      <c r="CC51" s="4"/>
      <c r="CD51" s="4"/>
      <c r="CE51" s="4"/>
      <c r="CF51" s="4"/>
      <c r="CG51" s="4"/>
      <c r="CH51" s="4"/>
      <c r="CI51" s="4"/>
      <c r="CJ51" s="4"/>
      <c r="CK51" s="4"/>
      <c r="CL51" s="4"/>
      <c r="CM51" s="4"/>
      <c r="CN51" s="4"/>
      <c r="CO51" s="4"/>
      <c r="CP51" s="2" t="s">
        <v>442</v>
      </c>
      <c r="CQ51" s="2" t="s">
        <v>254</v>
      </c>
      <c r="CR51" s="10"/>
      <c r="CS51" s="9" t="s">
        <v>122</v>
      </c>
    </row>
    <row r="52" spans="1:97" s="2" customFormat="1" ht="12.75">
      <c r="A52" s="2">
        <v>49</v>
      </c>
      <c r="B52" s="2" t="s">
        <v>374</v>
      </c>
      <c r="C52" s="2" t="s">
        <v>427</v>
      </c>
      <c r="D52" s="4" t="s">
        <v>365</v>
      </c>
      <c r="E52" s="2" t="s">
        <v>443</v>
      </c>
      <c r="F52" s="2" t="s">
        <v>444</v>
      </c>
      <c r="G52" s="2">
        <v>1971</v>
      </c>
      <c r="H52" s="2">
        <v>1971</v>
      </c>
      <c r="I52" s="2">
        <v>1</v>
      </c>
      <c r="J52" s="2">
        <v>0</v>
      </c>
      <c r="K52" s="2">
        <v>1</v>
      </c>
      <c r="L52" s="2">
        <v>0</v>
      </c>
      <c r="M52" s="2">
        <v>0</v>
      </c>
      <c r="N52" s="2">
        <v>0</v>
      </c>
      <c r="O52" s="4">
        <v>15</v>
      </c>
      <c r="P52" s="4">
        <v>124.5</v>
      </c>
      <c r="Q52" s="4">
        <v>1600</v>
      </c>
      <c r="R52" s="4">
        <v>17</v>
      </c>
      <c r="S52" s="4">
        <v>65</v>
      </c>
      <c r="T52" s="4">
        <v>65.75</v>
      </c>
      <c r="U52" s="4">
        <v>1810</v>
      </c>
      <c r="V52" s="4">
        <v>1.858333</v>
      </c>
      <c r="W52" s="4"/>
      <c r="X52" s="4"/>
      <c r="Y52" s="4"/>
      <c r="Z52" s="4"/>
      <c r="AA52" s="4"/>
      <c r="AB52" s="4"/>
      <c r="AC52" s="4"/>
      <c r="AD52" s="4"/>
      <c r="AE52" s="4"/>
      <c r="AF52" s="4"/>
      <c r="AG52" s="4"/>
      <c r="AH52" s="4"/>
      <c r="AI52" s="4"/>
      <c r="AJ52" s="4"/>
      <c r="AK52" s="4"/>
      <c r="AL52" s="4"/>
      <c r="AM52" s="4"/>
      <c r="AN52" s="4"/>
      <c r="AO52" s="4"/>
      <c r="AP52" s="4"/>
      <c r="AQ52" s="4"/>
      <c r="AR52" s="4"/>
      <c r="AS52" s="4"/>
      <c r="AT52" s="4"/>
      <c r="AV52" s="4"/>
      <c r="AW52" s="4">
        <f>(4500+5100+8800)/3</f>
        <v>6133.333333333333</v>
      </c>
      <c r="AX52" s="4">
        <f>(8.3+9.3+9.2)/3</f>
        <v>8.9333333333333336</v>
      </c>
      <c r="AY52" s="4">
        <f>(12+13.2+13.3)/3</f>
        <v>12.833333333333334</v>
      </c>
      <c r="AZ52" s="4">
        <f>(AX52/2)^2*PI()*AW52/10000</f>
        <v>38.442668646540483</v>
      </c>
      <c r="BA52" s="4"/>
      <c r="BB52" s="4"/>
      <c r="BC52" s="4"/>
      <c r="BD52" s="4"/>
      <c r="BE52" s="4"/>
      <c r="BF52" s="4"/>
      <c r="BG52" s="4"/>
      <c r="BH52" s="4"/>
      <c r="BI52" s="4"/>
      <c r="BJ52" s="4"/>
      <c r="BK52" s="4"/>
      <c r="BL52" s="4"/>
      <c r="BM52" s="4">
        <f>3.1*50%</f>
        <v>1.55</v>
      </c>
      <c r="BN52" s="4">
        <f>7.3*50%</f>
        <v>3.65</v>
      </c>
      <c r="BO52" s="4">
        <f>40.6*50%</f>
        <v>20.3</v>
      </c>
      <c r="BP52" s="4">
        <f>SUM(BM52:BO52)</f>
        <v>25.5</v>
      </c>
      <c r="BQ52" s="4"/>
      <c r="BR52" s="4"/>
      <c r="BS52" s="4"/>
      <c r="BT52" s="4"/>
      <c r="BU52" s="4"/>
      <c r="BV52" s="4"/>
      <c r="BW52" s="4"/>
      <c r="BX52" s="4"/>
      <c r="BY52" s="4"/>
      <c r="BZ52" s="4"/>
      <c r="CA52" s="4">
        <f>3.1*50%</f>
        <v>1.55</v>
      </c>
      <c r="CB52" s="4">
        <f>7.3*50%</f>
        <v>3.65</v>
      </c>
      <c r="CC52" s="4">
        <f>40.6*50%</f>
        <v>20.3</v>
      </c>
      <c r="CD52" s="4">
        <f>SUM(BZ52:CB52)</f>
        <v>5.2</v>
      </c>
      <c r="CE52" s="4">
        <f>CD52+CA52</f>
        <v>6.75</v>
      </c>
      <c r="CF52" s="4">
        <f>SUM(CA52:CC52)</f>
        <v>25.5</v>
      </c>
      <c r="CG52" s="4">
        <f>(2.2+4.1+1.5)/3*50%</f>
        <v>1.3</v>
      </c>
      <c r="CH52" s="4">
        <f>(3.4+6.4+2.4)/3*50%</f>
        <v>2.0333333333333337</v>
      </c>
      <c r="CI52" s="4"/>
      <c r="CJ52" s="4">
        <f>SUM(CG52:CI52)</f>
        <v>3.3333333333333339</v>
      </c>
      <c r="CK52" s="4">
        <f>CF52+CJ52</f>
        <v>28.833333333333336</v>
      </c>
      <c r="CL52" s="4"/>
      <c r="CM52" s="4"/>
      <c r="CN52" s="4"/>
      <c r="CO52" s="4"/>
      <c r="CP52" s="2" t="s">
        <v>445</v>
      </c>
      <c r="CQ52" s="2" t="s">
        <v>254</v>
      </c>
      <c r="CR52" s="2" t="s">
        <v>446</v>
      </c>
      <c r="CS52" s="9" t="s">
        <v>256</v>
      </c>
    </row>
    <row r="53" spans="1:97" s="2" customFormat="1" ht="12.75">
      <c r="A53" s="2">
        <v>50</v>
      </c>
      <c r="B53" s="2" t="s">
        <v>374</v>
      </c>
      <c r="C53" s="2" t="s">
        <v>427</v>
      </c>
      <c r="D53" s="4" t="s">
        <v>365</v>
      </c>
      <c r="E53" s="2" t="s">
        <v>447</v>
      </c>
      <c r="F53" s="2" t="s">
        <v>448</v>
      </c>
      <c r="G53" s="2">
        <v>1983</v>
      </c>
      <c r="H53" s="2">
        <v>1987</v>
      </c>
      <c r="I53" s="2">
        <v>1</v>
      </c>
      <c r="J53" s="2">
        <v>0</v>
      </c>
      <c r="K53" s="2">
        <v>1</v>
      </c>
      <c r="L53" s="2">
        <v>0</v>
      </c>
      <c r="M53" s="2">
        <v>0</v>
      </c>
      <c r="N53" s="2">
        <v>0</v>
      </c>
      <c r="O53" s="4">
        <v>15.375</v>
      </c>
      <c r="P53" s="4">
        <v>127.08</v>
      </c>
      <c r="Q53" s="4">
        <v>1487.6</v>
      </c>
      <c r="R53" s="4">
        <v>27.2</v>
      </c>
      <c r="S53" s="4">
        <v>65</v>
      </c>
      <c r="T53" s="4">
        <v>65.75</v>
      </c>
      <c r="U53" s="4">
        <v>1989.38</v>
      </c>
      <c r="V53" s="4">
        <v>1.691667</v>
      </c>
      <c r="W53" s="4"/>
      <c r="X53" s="4"/>
      <c r="Y53" s="4"/>
      <c r="Z53" s="4"/>
      <c r="AA53" s="4"/>
      <c r="AB53" s="4"/>
      <c r="AC53" s="4"/>
      <c r="AD53" s="4"/>
      <c r="AE53" s="4"/>
      <c r="AF53" s="4"/>
      <c r="AG53" s="4"/>
      <c r="AH53" s="4"/>
      <c r="AI53" s="4"/>
      <c r="AJ53" s="4"/>
      <c r="AK53" s="4"/>
      <c r="AL53" s="4"/>
      <c r="AM53" s="4"/>
      <c r="AN53" s="4"/>
      <c r="AO53" s="4"/>
      <c r="AP53" s="4"/>
      <c r="AQ53" s="4"/>
      <c r="AR53" s="4"/>
      <c r="AS53" s="4"/>
      <c r="AT53" s="4"/>
      <c r="AV53" s="4"/>
      <c r="AW53" s="4">
        <v>7200</v>
      </c>
      <c r="AX53" s="4"/>
      <c r="AY53" s="4"/>
      <c r="AZ53" s="4"/>
      <c r="BA53" s="4"/>
      <c r="BB53" s="4"/>
      <c r="BC53" s="4"/>
      <c r="BD53" s="4"/>
      <c r="BE53" s="4"/>
      <c r="BF53" s="4"/>
      <c r="BG53" s="4"/>
      <c r="BH53" s="4"/>
      <c r="BI53" s="4"/>
      <c r="BJ53" s="4"/>
      <c r="BK53" s="4"/>
      <c r="BL53" s="4"/>
      <c r="BM53" s="4">
        <f>28.4*50%+BM55*40%</f>
        <v>14.2</v>
      </c>
      <c r="BN53" s="4">
        <f>13.1*50%+BN55*40%</f>
        <v>6.55</v>
      </c>
      <c r="BO53" s="4">
        <f>25.4*50%+BO55*40%</f>
        <v>40</v>
      </c>
      <c r="BP53" s="4">
        <f>SUM(BM53:BO53)</f>
        <v>60.75</v>
      </c>
      <c r="BQ53" s="4"/>
      <c r="BR53" s="4"/>
      <c r="BS53" s="4"/>
      <c r="BT53" s="4"/>
      <c r="BU53" s="4"/>
      <c r="BV53" s="4"/>
      <c r="BW53" s="4"/>
      <c r="BX53" s="4"/>
      <c r="BY53" s="4"/>
      <c r="BZ53" s="4"/>
      <c r="CA53" s="4">
        <f>28.4/5*50%</f>
        <v>2.84</v>
      </c>
      <c r="CB53" s="4">
        <f>13.1/5*50%</f>
        <v>1.31</v>
      </c>
      <c r="CC53" s="4">
        <f>25.4/5*50%</f>
        <v>2.54</v>
      </c>
      <c r="CD53" s="4">
        <f>(628.8+657.9)/2*100*100/1000/1000*50%</f>
        <v>3.2167499999999993</v>
      </c>
      <c r="CE53" s="4"/>
      <c r="CF53" s="4">
        <f>78.6/5*50%</f>
        <v>7.8599999999999994</v>
      </c>
      <c r="CG53" s="4"/>
      <c r="CH53" s="4"/>
      <c r="CI53" s="4"/>
      <c r="CJ53" s="4"/>
      <c r="CK53" s="4"/>
      <c r="CL53" s="4"/>
      <c r="CM53" s="4"/>
      <c r="CN53" s="4"/>
      <c r="CO53" s="4"/>
      <c r="CP53" s="2" t="s">
        <v>430</v>
      </c>
      <c r="CQ53" s="2" t="s">
        <v>254</v>
      </c>
      <c r="CR53" s="10" t="s">
        <v>431</v>
      </c>
      <c r="CS53" s="9" t="s">
        <v>256</v>
      </c>
    </row>
    <row r="54" spans="1:97" s="2" customFormat="1" ht="12.75">
      <c r="A54" s="2">
        <v>51</v>
      </c>
      <c r="B54" s="2" t="s">
        <v>374</v>
      </c>
      <c r="C54" s="2" t="s">
        <v>427</v>
      </c>
      <c r="D54" s="4" t="s">
        <v>365</v>
      </c>
      <c r="E54" s="2" t="s">
        <v>449</v>
      </c>
      <c r="F54" s="2" t="s">
        <v>450</v>
      </c>
      <c r="G54" s="2">
        <v>1984</v>
      </c>
      <c r="H54" s="2">
        <v>1985</v>
      </c>
      <c r="I54" s="2">
        <v>0</v>
      </c>
      <c r="J54" s="2">
        <v>0</v>
      </c>
      <c r="K54" s="2">
        <v>0</v>
      </c>
      <c r="L54" s="2">
        <v>0</v>
      </c>
      <c r="M54" s="2">
        <v>0</v>
      </c>
      <c r="N54" s="2">
        <v>0</v>
      </c>
      <c r="O54" s="4">
        <v>15.304169999999999</v>
      </c>
      <c r="P54" s="4">
        <v>127.35</v>
      </c>
      <c r="Q54" s="4">
        <v>1380.5</v>
      </c>
      <c r="R54" s="4">
        <v>42.5</v>
      </c>
      <c r="S54" s="4">
        <v>65</v>
      </c>
      <c r="T54" s="4">
        <v>66.166669999999996</v>
      </c>
      <c r="U54" s="4">
        <v>1959.95</v>
      </c>
      <c r="V54" s="4">
        <v>1.745833</v>
      </c>
      <c r="W54" s="4"/>
      <c r="X54" s="4"/>
      <c r="Y54" s="4"/>
      <c r="Z54" s="4"/>
      <c r="AA54" s="4"/>
      <c r="AB54" s="4"/>
      <c r="AC54" s="4"/>
      <c r="AD54" s="4"/>
      <c r="AE54" s="4"/>
      <c r="AF54" s="4"/>
      <c r="AG54" s="4"/>
      <c r="AH54" s="4"/>
      <c r="AI54" s="4"/>
      <c r="AJ54" s="4"/>
      <c r="AK54" s="4"/>
      <c r="AL54" s="4"/>
      <c r="AM54" s="4"/>
      <c r="AN54" s="4"/>
      <c r="AO54" s="4"/>
      <c r="AP54" s="4"/>
      <c r="AQ54" s="4"/>
      <c r="AR54" s="4"/>
      <c r="AS54" s="4"/>
      <c r="AT54" s="4"/>
      <c r="AV54" s="4"/>
      <c r="AW54" s="4">
        <f>(6045+6014+5488+6611+5751)/5</f>
        <v>5981.8</v>
      </c>
      <c r="AX54" s="4">
        <f>(13.5+11.5+13.2+12.8+12.3)/5</f>
        <v>12.66</v>
      </c>
      <c r="AY54" s="4"/>
      <c r="AZ54" s="4">
        <f>(71.9+53.7+60.9+77.7+66.2)/5</f>
        <v>66.08</v>
      </c>
      <c r="BA54" s="4"/>
      <c r="BB54" s="4"/>
      <c r="BC54" s="4"/>
      <c r="BD54" s="4"/>
      <c r="BE54" s="4"/>
      <c r="BF54" s="4"/>
      <c r="BG54" s="4"/>
      <c r="BH54" s="4"/>
      <c r="BI54" s="4"/>
      <c r="BJ54" s="4"/>
      <c r="BK54" s="4"/>
      <c r="BL54" s="4"/>
      <c r="BM54" s="4"/>
      <c r="BN54" s="4"/>
      <c r="BO54" s="4">
        <f>(161.7+113+139.6+118.3+132.7)/5*50%</f>
        <v>66.53</v>
      </c>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2" t="s">
        <v>451</v>
      </c>
      <c r="CQ54" s="2" t="s">
        <v>254</v>
      </c>
      <c r="CR54" s="10" t="s">
        <v>435</v>
      </c>
      <c r="CS54" s="9" t="s">
        <v>256</v>
      </c>
    </row>
    <row r="55" spans="1:97" s="2" customFormat="1" ht="12.75">
      <c r="A55" s="2">
        <v>52</v>
      </c>
      <c r="B55" s="2" t="s">
        <v>374</v>
      </c>
      <c r="C55" s="2" t="s">
        <v>427</v>
      </c>
      <c r="D55" s="4" t="s">
        <v>365</v>
      </c>
      <c r="E55" s="2" t="s">
        <v>452</v>
      </c>
      <c r="F55" s="2" t="s">
        <v>453</v>
      </c>
      <c r="G55" s="2">
        <v>1984</v>
      </c>
      <c r="H55" s="2">
        <v>1985</v>
      </c>
      <c r="I55" s="2">
        <v>0</v>
      </c>
      <c r="J55" s="2">
        <v>0</v>
      </c>
      <c r="K55" s="2">
        <v>0</v>
      </c>
      <c r="L55" s="2">
        <v>0</v>
      </c>
      <c r="M55" s="2">
        <v>0</v>
      </c>
      <c r="N55" s="2">
        <v>0</v>
      </c>
      <c r="O55" s="4">
        <v>15.304169999999999</v>
      </c>
      <c r="P55" s="4">
        <v>127.35</v>
      </c>
      <c r="Q55" s="4">
        <v>1380.5</v>
      </c>
      <c r="R55" s="4">
        <v>42.5</v>
      </c>
      <c r="S55" s="4">
        <v>65</v>
      </c>
      <c r="T55" s="4">
        <v>66.166669999999996</v>
      </c>
      <c r="U55" s="4">
        <v>1959.95</v>
      </c>
      <c r="V55" s="4">
        <v>1.745833</v>
      </c>
      <c r="W55" s="4"/>
      <c r="X55" s="4"/>
      <c r="Y55" s="4"/>
      <c r="Z55" s="4"/>
      <c r="AA55" s="4"/>
      <c r="AB55" s="4"/>
      <c r="AC55" s="4"/>
      <c r="AD55" s="4"/>
      <c r="AE55" s="4"/>
      <c r="AF55" s="4"/>
      <c r="AG55" s="4"/>
      <c r="AH55" s="4"/>
      <c r="AI55" s="4"/>
      <c r="AJ55" s="4"/>
      <c r="AK55" s="4"/>
      <c r="AL55" s="4"/>
      <c r="AM55" s="4"/>
      <c r="AN55" s="4"/>
      <c r="AO55" s="4"/>
      <c r="AP55" s="4"/>
      <c r="AQ55" s="4"/>
      <c r="AR55" s="4"/>
      <c r="AS55" s="4"/>
      <c r="AT55" s="4"/>
      <c r="AV55" s="4"/>
      <c r="AW55" s="4">
        <f>5181</f>
        <v>5181</v>
      </c>
      <c r="AX55" s="4">
        <f>12.7</f>
        <v>12.7</v>
      </c>
      <c r="AY55" s="4"/>
      <c r="AZ55" s="4">
        <v>57.6</v>
      </c>
      <c r="BA55" s="4"/>
      <c r="BB55" s="4"/>
      <c r="BC55" s="4"/>
      <c r="BD55" s="4"/>
      <c r="BE55" s="4"/>
      <c r="BF55" s="4"/>
      <c r="BG55" s="4"/>
      <c r="BH55" s="4"/>
      <c r="BI55" s="4"/>
      <c r="BJ55" s="4"/>
      <c r="BK55" s="4"/>
      <c r="BL55" s="4"/>
      <c r="BM55" s="4"/>
      <c r="BN55" s="4"/>
      <c r="BO55" s="4">
        <f>136.5*50%</f>
        <v>68.25</v>
      </c>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2" t="s">
        <v>451</v>
      </c>
      <c r="CQ55" s="2" t="s">
        <v>254</v>
      </c>
      <c r="CR55" s="10" t="s">
        <v>435</v>
      </c>
      <c r="CS55" s="9" t="s">
        <v>256</v>
      </c>
    </row>
    <row r="56" spans="1:97" s="2" customFormat="1" ht="12.75">
      <c r="A56" s="2">
        <v>53</v>
      </c>
      <c r="B56" s="2" t="s">
        <v>374</v>
      </c>
      <c r="C56" s="2" t="s">
        <v>427</v>
      </c>
      <c r="D56" s="4" t="s">
        <v>365</v>
      </c>
      <c r="E56" s="2" t="s">
        <v>454</v>
      </c>
      <c r="F56" s="2" t="s">
        <v>455</v>
      </c>
      <c r="G56" s="2">
        <v>1983</v>
      </c>
      <c r="H56" s="2">
        <v>1983</v>
      </c>
      <c r="I56" s="2">
        <v>0</v>
      </c>
      <c r="J56" s="2">
        <v>0</v>
      </c>
      <c r="K56" s="2">
        <v>0</v>
      </c>
      <c r="L56" s="2">
        <v>0</v>
      </c>
      <c r="M56" s="2">
        <v>0</v>
      </c>
      <c r="N56" s="2">
        <v>0</v>
      </c>
      <c r="O56" s="4">
        <v>15.39167</v>
      </c>
      <c r="P56" s="4">
        <v>125.4</v>
      </c>
      <c r="Q56" s="4">
        <v>1928</v>
      </c>
      <c r="R56" s="4">
        <v>12</v>
      </c>
      <c r="S56" s="4">
        <v>65</v>
      </c>
      <c r="T56" s="4">
        <v>65.75</v>
      </c>
      <c r="U56" s="4">
        <v>2046.8</v>
      </c>
      <c r="V56" s="4">
        <v>1.558333</v>
      </c>
      <c r="W56" s="4"/>
      <c r="X56" s="4"/>
      <c r="Y56" s="4"/>
      <c r="Z56" s="4"/>
      <c r="AA56" s="4"/>
      <c r="AB56" s="4"/>
      <c r="AC56" s="4"/>
      <c r="AD56" s="4"/>
      <c r="AE56" s="4"/>
      <c r="AF56" s="4"/>
      <c r="AG56" s="4"/>
      <c r="AH56" s="4"/>
      <c r="AI56" s="4"/>
      <c r="AJ56" s="4"/>
      <c r="AK56" s="4"/>
      <c r="AL56" s="4"/>
      <c r="AM56" s="4"/>
      <c r="AN56" s="4"/>
      <c r="AO56" s="4"/>
      <c r="AP56" s="4"/>
      <c r="AQ56" s="4"/>
      <c r="AR56" s="4"/>
      <c r="AS56" s="4"/>
      <c r="AT56" s="4"/>
      <c r="AV56" s="4"/>
      <c r="AW56" s="4">
        <v>7200</v>
      </c>
      <c r="AX56" s="4">
        <v>9.6</v>
      </c>
      <c r="AY56" s="4">
        <v>13.6</v>
      </c>
      <c r="AZ56" s="4">
        <v>53.9</v>
      </c>
      <c r="BA56" s="4"/>
      <c r="BB56" s="4">
        <v>11.9</v>
      </c>
      <c r="BC56" s="4"/>
      <c r="BD56" s="4"/>
      <c r="BE56" s="4"/>
      <c r="BF56" s="4"/>
      <c r="BG56" s="4"/>
      <c r="BH56" s="4"/>
      <c r="BI56" s="4"/>
      <c r="BJ56" s="4"/>
      <c r="BK56" s="4"/>
      <c r="BL56" s="4"/>
      <c r="BM56" s="2">
        <f>5.3*50%</f>
        <v>2.65</v>
      </c>
      <c r="BN56" s="2">
        <f>13.2*50%</f>
        <v>6.6</v>
      </c>
      <c r="BO56" s="2">
        <f>76.6*50%</f>
        <v>38.299999999999997</v>
      </c>
      <c r="BP56" s="2">
        <f t="shared" ref="BP56:BP64" si="5">SUM(BM56:BO56)</f>
        <v>47.55</v>
      </c>
      <c r="BQ56" s="4"/>
      <c r="BR56" s="4"/>
      <c r="BS56" s="4"/>
      <c r="BT56" s="4"/>
      <c r="BU56" s="4"/>
      <c r="BV56" s="4"/>
      <c r="BW56" s="4"/>
      <c r="BX56" s="4"/>
      <c r="BY56" s="4"/>
      <c r="BZ56" s="4"/>
      <c r="CG56" s="4"/>
      <c r="CH56" s="4"/>
      <c r="CI56" s="4"/>
      <c r="CJ56" s="4"/>
      <c r="CK56" s="4"/>
      <c r="CL56" s="4"/>
      <c r="CM56" s="4"/>
      <c r="CN56" s="4"/>
      <c r="CO56" s="4"/>
      <c r="CP56" s="2" t="s">
        <v>456</v>
      </c>
      <c r="CQ56" s="2" t="s">
        <v>254</v>
      </c>
      <c r="CR56" s="10" t="s">
        <v>431</v>
      </c>
      <c r="CS56" s="9" t="s">
        <v>256</v>
      </c>
    </row>
    <row r="57" spans="1:97" s="2" customFormat="1" ht="12.75">
      <c r="A57" s="2">
        <v>54</v>
      </c>
      <c r="B57" s="2" t="s">
        <v>374</v>
      </c>
      <c r="C57" s="2" t="s">
        <v>427</v>
      </c>
      <c r="D57" s="4" t="s">
        <v>365</v>
      </c>
      <c r="E57" s="2" t="s">
        <v>457</v>
      </c>
      <c r="F57" s="2" t="s">
        <v>458</v>
      </c>
      <c r="G57" s="2">
        <v>1983</v>
      </c>
      <c r="H57" s="2">
        <v>1987</v>
      </c>
      <c r="I57" s="2">
        <v>0</v>
      </c>
      <c r="J57" s="2">
        <v>0</v>
      </c>
      <c r="K57" s="2">
        <v>0</v>
      </c>
      <c r="L57" s="2">
        <v>0</v>
      </c>
      <c r="M57" s="2">
        <v>0</v>
      </c>
      <c r="N57" s="2">
        <v>0</v>
      </c>
      <c r="O57" s="4">
        <v>15.375</v>
      </c>
      <c r="P57" s="4">
        <v>127.08</v>
      </c>
      <c r="Q57" s="4">
        <v>1487.6</v>
      </c>
      <c r="R57" s="4">
        <v>27.2</v>
      </c>
      <c r="S57" s="4">
        <v>65</v>
      </c>
      <c r="T57" s="4">
        <v>65.75</v>
      </c>
      <c r="U57" s="4">
        <v>1989.38</v>
      </c>
      <c r="V57" s="4">
        <v>1.691667</v>
      </c>
      <c r="W57" s="4"/>
      <c r="X57" s="4"/>
      <c r="Y57" s="4"/>
      <c r="Z57" s="4"/>
      <c r="AA57" s="4"/>
      <c r="AB57" s="4"/>
      <c r="AC57" s="4"/>
      <c r="AD57" s="4"/>
      <c r="AE57" s="4"/>
      <c r="AF57" s="4"/>
      <c r="AG57" s="4"/>
      <c r="AH57" s="4"/>
      <c r="AI57" s="4"/>
      <c r="AJ57" s="4"/>
      <c r="AK57" s="4"/>
      <c r="AL57" s="4"/>
      <c r="AM57" s="4"/>
      <c r="AN57" s="4"/>
      <c r="AO57" s="4"/>
      <c r="AP57" s="4"/>
      <c r="AQ57" s="4"/>
      <c r="AR57" s="4"/>
      <c r="AS57" s="4"/>
      <c r="AT57" s="4"/>
      <c r="AV57" s="4"/>
      <c r="AW57" s="4">
        <v>8000</v>
      </c>
      <c r="AX57" s="4"/>
      <c r="AY57" s="4"/>
      <c r="AZ57" s="4"/>
      <c r="BA57" s="4"/>
      <c r="BB57" s="4"/>
      <c r="BC57" s="4"/>
      <c r="BD57" s="4"/>
      <c r="BE57" s="4"/>
      <c r="BF57" s="4"/>
      <c r="BG57" s="4"/>
      <c r="BH57" s="4"/>
      <c r="BI57" s="4"/>
      <c r="BJ57" s="4"/>
      <c r="BK57" s="4"/>
      <c r="BL57" s="4"/>
      <c r="BM57" s="4">
        <f>37.6*50%+BM58</f>
        <v>21.5258</v>
      </c>
      <c r="BN57" s="4">
        <f>14.3*50%+BN58</f>
        <v>14.651999999999999</v>
      </c>
      <c r="BO57" s="4">
        <f>27.4*50%+BO58</f>
        <v>69.154000000000011</v>
      </c>
      <c r="BP57" s="4">
        <f t="shared" si="5"/>
        <v>105.33180000000002</v>
      </c>
      <c r="BQ57" s="4"/>
      <c r="BR57" s="4"/>
      <c r="BS57" s="4"/>
      <c r="BT57" s="4"/>
      <c r="BU57" s="4"/>
      <c r="BV57" s="4"/>
      <c r="BW57" s="4"/>
      <c r="BX57" s="4"/>
      <c r="BY57" s="4"/>
      <c r="BZ57" s="4"/>
      <c r="CA57" s="4">
        <f>37.6/5*50%</f>
        <v>3.7600000000000002</v>
      </c>
      <c r="CB57" s="4">
        <f>14.3/5*50%</f>
        <v>1.4300000000000002</v>
      </c>
      <c r="CC57" s="4">
        <f>27.4/5*50%</f>
        <v>2.7399999999999998</v>
      </c>
      <c r="CD57" s="4">
        <f>(753+717)*100*100/1000/1000*50%</f>
        <v>7.35</v>
      </c>
      <c r="CE57" s="4"/>
      <c r="CF57" s="4">
        <f>91.1/5*50%</f>
        <v>9.11</v>
      </c>
      <c r="CG57" s="4"/>
      <c r="CH57" s="4"/>
      <c r="CI57" s="4"/>
      <c r="CJ57" s="4"/>
      <c r="CK57" s="4"/>
      <c r="CL57" s="4"/>
      <c r="CM57" s="4"/>
      <c r="CN57" s="4"/>
      <c r="CO57" s="4"/>
      <c r="CP57" s="2" t="s">
        <v>456</v>
      </c>
      <c r="CQ57" s="2" t="s">
        <v>254</v>
      </c>
      <c r="CR57" s="10" t="s">
        <v>431</v>
      </c>
      <c r="CS57" s="9" t="s">
        <v>256</v>
      </c>
    </row>
    <row r="58" spans="1:97" s="2" customFormat="1" ht="12.75">
      <c r="A58" s="2">
        <v>55</v>
      </c>
      <c r="B58" s="2" t="s">
        <v>374</v>
      </c>
      <c r="C58" s="2" t="s">
        <v>459</v>
      </c>
      <c r="D58" s="4" t="s">
        <v>365</v>
      </c>
      <c r="E58" s="2" t="s">
        <v>460</v>
      </c>
      <c r="F58" s="2" t="s">
        <v>461</v>
      </c>
      <c r="G58" s="2">
        <v>1982</v>
      </c>
      <c r="H58" s="2">
        <v>1991</v>
      </c>
      <c r="I58" s="2">
        <v>0</v>
      </c>
      <c r="J58" s="2">
        <v>0</v>
      </c>
      <c r="K58" s="2">
        <v>0</v>
      </c>
      <c r="L58" s="2">
        <v>0</v>
      </c>
      <c r="M58" s="2">
        <v>0</v>
      </c>
      <c r="N58" s="2">
        <v>0</v>
      </c>
      <c r="O58" s="4">
        <v>15.3</v>
      </c>
      <c r="P58" s="4">
        <f>(O58-5)*12</f>
        <v>123.60000000000001</v>
      </c>
      <c r="Q58" s="4">
        <v>1581</v>
      </c>
      <c r="R58" s="4">
        <v>20.5</v>
      </c>
      <c r="S58" s="4">
        <v>65</v>
      </c>
      <c r="T58" s="4">
        <v>67.00833333333334</v>
      </c>
      <c r="U58" s="4">
        <v>1872.7599999999998</v>
      </c>
      <c r="V58" s="4">
        <v>1.6700000000000008</v>
      </c>
      <c r="W58" s="4"/>
      <c r="X58" s="4"/>
      <c r="Y58" s="4"/>
      <c r="Z58" s="4"/>
      <c r="AA58" s="4"/>
      <c r="AB58" s="4"/>
      <c r="AC58" s="4"/>
      <c r="AD58" s="4"/>
      <c r="AE58" s="4"/>
      <c r="AF58" s="4"/>
      <c r="AG58" s="4"/>
      <c r="AH58" s="4"/>
      <c r="AI58" s="4"/>
      <c r="AJ58" s="4"/>
      <c r="AK58" s="4"/>
      <c r="AL58" s="4"/>
      <c r="AM58" s="4"/>
      <c r="AN58" s="4"/>
      <c r="AO58" s="4"/>
      <c r="AP58" s="4"/>
      <c r="AQ58" s="4"/>
      <c r="AR58" s="4"/>
      <c r="AS58" s="4"/>
      <c r="AT58" s="4"/>
      <c r="AV58" s="4"/>
      <c r="AW58" s="4">
        <v>7100</v>
      </c>
      <c r="AX58" s="4">
        <v>11.3</v>
      </c>
      <c r="AY58" s="4"/>
      <c r="AZ58" s="4">
        <f>(AX58/2)^2*PI()*AW58/10000</f>
        <v>71.204118953796325</v>
      </c>
      <c r="BA58" s="4"/>
      <c r="BB58" s="4"/>
      <c r="BC58" s="4"/>
      <c r="BD58" s="4">
        <v>46.2</v>
      </c>
      <c r="BE58" s="4">
        <v>48.4</v>
      </c>
      <c r="BF58" s="4">
        <v>47.6</v>
      </c>
      <c r="BG58" s="4">
        <v>40.1</v>
      </c>
      <c r="BH58" s="4"/>
      <c r="BI58" s="4">
        <v>44.8</v>
      </c>
      <c r="BJ58" s="4"/>
      <c r="BK58" s="4"/>
      <c r="BL58" s="4"/>
      <c r="BM58" s="4">
        <f>5.9*BD58/100</f>
        <v>2.7258000000000004</v>
      </c>
      <c r="BN58" s="4">
        <f>15.5*BE58/100</f>
        <v>7.5019999999999989</v>
      </c>
      <c r="BO58" s="4">
        <f>116.5*BF58/100</f>
        <v>55.454000000000008</v>
      </c>
      <c r="BP58" s="4">
        <f t="shared" si="5"/>
        <v>65.68180000000001</v>
      </c>
      <c r="BQ58" s="4">
        <f>BU58/BP58</f>
        <v>0.2842416011741456</v>
      </c>
      <c r="BR58" s="4">
        <f>27.9*BG58/100</f>
        <v>11.187899999999999</v>
      </c>
      <c r="BS58" s="4">
        <f>16.7*BI58/100</f>
        <v>7.4815999999999994</v>
      </c>
      <c r="BT58" s="4"/>
      <c r="BU58" s="4">
        <f>SUM(BR58:BT58)</f>
        <v>18.669499999999999</v>
      </c>
      <c r="BV58" s="4">
        <f>BU58+BP58</f>
        <v>84.351300000000009</v>
      </c>
      <c r="BW58" s="4"/>
      <c r="BX58" s="4">
        <f>7+94.2</f>
        <v>101.2</v>
      </c>
      <c r="BY58" s="4"/>
      <c r="BZ58" s="4">
        <f>BV58+BX58</f>
        <v>185.55130000000003</v>
      </c>
      <c r="CA58" s="4">
        <f>2.06+0.99</f>
        <v>3.05</v>
      </c>
      <c r="CB58" s="4">
        <v>0.79</v>
      </c>
      <c r="CC58" s="4">
        <v>4.66</v>
      </c>
      <c r="CD58" s="4">
        <f>2+0.3+1</f>
        <v>3.3</v>
      </c>
      <c r="CE58" s="4">
        <f>CD58+CA58</f>
        <v>6.35</v>
      </c>
      <c r="CF58" s="4">
        <f>SUM(CA58:CD58)</f>
        <v>11.8</v>
      </c>
      <c r="CG58" s="4">
        <v>11</v>
      </c>
      <c r="CH58" s="4"/>
      <c r="CI58" s="4"/>
      <c r="CJ58" s="4">
        <f>SUM(CG58:CI58)</f>
        <v>11</v>
      </c>
      <c r="CK58" s="4">
        <f>CJ58+CF58</f>
        <v>22.8</v>
      </c>
      <c r="CL58" s="4">
        <f>52.3*12/44</f>
        <v>14.263636363636362</v>
      </c>
      <c r="CM58" s="4">
        <f>10.7+2.6</f>
        <v>13.299999999999999</v>
      </c>
      <c r="CN58" s="4">
        <f>CL58-CM58</f>
        <v>0.96363636363636296</v>
      </c>
      <c r="CO58" s="4">
        <f>CK58-CM58</f>
        <v>9.5000000000000018</v>
      </c>
      <c r="CP58" s="2" t="s">
        <v>462</v>
      </c>
      <c r="CQ58" s="2" t="s">
        <v>254</v>
      </c>
      <c r="CR58" s="10" t="s">
        <v>463</v>
      </c>
      <c r="CS58" s="9" t="s">
        <v>256</v>
      </c>
    </row>
    <row r="59" spans="1:97" s="2" customFormat="1" ht="12.75">
      <c r="A59" s="2">
        <v>56</v>
      </c>
      <c r="B59" s="2" t="s">
        <v>374</v>
      </c>
      <c r="C59" s="2" t="s">
        <v>464</v>
      </c>
      <c r="D59" s="4" t="s">
        <v>465</v>
      </c>
      <c r="E59" s="2" t="s">
        <v>466</v>
      </c>
      <c r="F59" s="2" t="s">
        <v>467</v>
      </c>
      <c r="G59" s="2">
        <v>2005</v>
      </c>
      <c r="H59" s="2">
        <v>2005</v>
      </c>
      <c r="I59" s="2">
        <v>0</v>
      </c>
      <c r="J59" s="2">
        <v>0</v>
      </c>
      <c r="K59" s="2">
        <v>0</v>
      </c>
      <c r="L59" s="2">
        <v>0</v>
      </c>
      <c r="M59" s="2">
        <v>0</v>
      </c>
      <c r="N59" s="2">
        <v>0</v>
      </c>
      <c r="O59" s="4">
        <v>16.058330000000002</v>
      </c>
      <c r="P59" s="4">
        <v>133.30000000000001</v>
      </c>
      <c r="Q59" s="4">
        <v>953</v>
      </c>
      <c r="R59" s="4">
        <v>21</v>
      </c>
      <c r="S59" s="4">
        <v>270</v>
      </c>
      <c r="T59" s="4">
        <v>62</v>
      </c>
      <c r="U59" s="4">
        <v>1667.3</v>
      </c>
      <c r="V59" s="4">
        <v>1.433333</v>
      </c>
      <c r="W59" s="4"/>
      <c r="X59" s="4"/>
      <c r="Y59" s="4"/>
      <c r="Z59" s="4"/>
      <c r="AA59" s="4"/>
      <c r="AB59" s="4"/>
      <c r="AC59" s="4"/>
      <c r="AD59" s="4"/>
      <c r="AE59" s="4"/>
      <c r="AF59" s="4"/>
      <c r="AG59" s="4"/>
      <c r="AH59" s="4"/>
      <c r="AI59" s="4"/>
      <c r="AJ59" s="4"/>
      <c r="AK59" s="4"/>
      <c r="AL59" s="4"/>
      <c r="AM59" s="4"/>
      <c r="AN59" s="4"/>
      <c r="AO59" s="4"/>
      <c r="AP59" s="4"/>
      <c r="AQ59" s="4"/>
      <c r="AR59" s="4"/>
      <c r="AS59" s="4"/>
      <c r="AT59" s="4"/>
      <c r="AV59" s="4"/>
      <c r="AW59" s="4">
        <v>8133</v>
      </c>
      <c r="AX59" s="4">
        <f>(12.2*1033+12.8*7100)/8133</f>
        <v>12.723791958686832</v>
      </c>
      <c r="AY59" s="4">
        <f>(18*1033+18.5*7100)/8133</f>
        <v>18.436493298905692</v>
      </c>
      <c r="AZ59" s="4">
        <f>(AX59/2)^2*PI()*AW59/10000</f>
        <v>103.41267510803563</v>
      </c>
      <c r="BA59" s="4"/>
      <c r="BB59" s="4"/>
      <c r="BC59" s="4"/>
      <c r="BD59" s="4"/>
      <c r="BE59" s="4"/>
      <c r="BF59" s="4"/>
      <c r="BG59" s="4"/>
      <c r="BH59" s="4"/>
      <c r="BI59" s="4"/>
      <c r="BJ59" s="4"/>
      <c r="BK59" s="4"/>
      <c r="BL59" s="4"/>
      <c r="BM59" s="4">
        <f>5.8*50%</f>
        <v>2.9</v>
      </c>
      <c r="BN59" s="4">
        <f>16.6*50%</f>
        <v>8.3000000000000007</v>
      </c>
      <c r="BO59" s="4">
        <f>194.8*50%</f>
        <v>97.4</v>
      </c>
      <c r="BP59" s="4">
        <f t="shared" si="5"/>
        <v>108.60000000000001</v>
      </c>
      <c r="BQ59" s="4"/>
      <c r="BR59" s="4"/>
      <c r="BS59" s="4"/>
      <c r="BT59" s="4"/>
      <c r="BU59" s="4"/>
      <c r="BV59" s="4"/>
      <c r="BW59" s="4"/>
      <c r="BX59" s="4"/>
      <c r="BY59" s="4"/>
      <c r="BZ59" s="4"/>
      <c r="CA59" s="4"/>
      <c r="CB59" s="4"/>
      <c r="CC59" s="4"/>
      <c r="CD59" s="4"/>
      <c r="CE59" s="4"/>
      <c r="CF59" s="4"/>
      <c r="CG59" s="4"/>
      <c r="CH59" s="4"/>
      <c r="CI59" s="4"/>
      <c r="CJ59" s="4"/>
      <c r="CK59" s="4"/>
      <c r="CL59" s="4"/>
      <c r="CM59" s="4"/>
      <c r="CN59" s="4"/>
      <c r="CP59" s="2" t="s">
        <v>468</v>
      </c>
      <c r="CQ59" s="2" t="s">
        <v>254</v>
      </c>
      <c r="CR59" s="10" t="s">
        <v>469</v>
      </c>
      <c r="CS59" s="9" t="s">
        <v>256</v>
      </c>
    </row>
    <row r="60" spans="1:97" s="2" customFormat="1" ht="12.75">
      <c r="A60" s="2">
        <v>57</v>
      </c>
      <c r="B60" s="2" t="s">
        <v>374</v>
      </c>
      <c r="C60" s="2" t="s">
        <v>464</v>
      </c>
      <c r="D60" s="4" t="s">
        <v>465</v>
      </c>
      <c r="E60" s="2" t="s">
        <v>470</v>
      </c>
      <c r="F60" s="2" t="s">
        <v>471</v>
      </c>
      <c r="G60" s="2">
        <v>2006</v>
      </c>
      <c r="H60" s="2">
        <v>2006</v>
      </c>
      <c r="I60" s="2">
        <v>1</v>
      </c>
      <c r="J60" s="2">
        <v>0</v>
      </c>
      <c r="K60" s="2">
        <v>0</v>
      </c>
      <c r="L60" s="2">
        <v>0</v>
      </c>
      <c r="M60" s="2">
        <v>0</v>
      </c>
      <c r="N60" s="2">
        <v>0</v>
      </c>
      <c r="O60" s="4">
        <v>16.175000000000001</v>
      </c>
      <c r="P60" s="4">
        <v>134.80000000000001</v>
      </c>
      <c r="Q60" s="4">
        <v>1568</v>
      </c>
      <c r="R60" s="4">
        <v>6</v>
      </c>
      <c r="S60" s="4">
        <v>270</v>
      </c>
      <c r="T60" s="4">
        <v>64.083330000000004</v>
      </c>
      <c r="U60" s="4">
        <v>1480.5</v>
      </c>
      <c r="V60" s="4">
        <v>1.5833330000000001</v>
      </c>
      <c r="W60" s="4"/>
      <c r="X60" s="4"/>
      <c r="Y60" s="4"/>
      <c r="Z60" s="4"/>
      <c r="AA60" s="4"/>
      <c r="AB60" s="4"/>
      <c r="AC60" s="4"/>
      <c r="AD60" s="4"/>
      <c r="AE60" s="4"/>
      <c r="AF60" s="4"/>
      <c r="AG60" s="4"/>
      <c r="AH60" s="4"/>
      <c r="AI60" s="4"/>
      <c r="AJ60" s="4"/>
      <c r="AK60" s="4"/>
      <c r="AL60" s="4"/>
      <c r="AM60" s="4"/>
      <c r="AN60" s="4"/>
      <c r="AO60" s="4"/>
      <c r="AP60" s="4"/>
      <c r="AQ60" s="4"/>
      <c r="AR60" s="4"/>
      <c r="AS60" s="4"/>
      <c r="AT60" s="4"/>
      <c r="AV60" s="4"/>
      <c r="AW60" s="4">
        <v>7967</v>
      </c>
      <c r="AX60" s="4">
        <f>(12.9*167+12.7*7800)/7967</f>
        <v>12.70419229320949</v>
      </c>
      <c r="AY60" s="4">
        <f>(18.6*167+18.4*7800)/7967</f>
        <v>18.404192293209491</v>
      </c>
      <c r="AZ60" s="4">
        <f>(AX60/2)^2*PI()*AW60/10000</f>
        <v>100.99010318518286</v>
      </c>
      <c r="BA60" s="4"/>
      <c r="BB60" s="4"/>
      <c r="BC60" s="4"/>
      <c r="BD60" s="4"/>
      <c r="BE60" s="4"/>
      <c r="BF60" s="4"/>
      <c r="BG60" s="4"/>
      <c r="BH60" s="4"/>
      <c r="BI60" s="4"/>
      <c r="BJ60" s="4"/>
      <c r="BK60" s="4"/>
      <c r="BL60" s="4"/>
      <c r="BM60" s="4">
        <f>5.9*50%</f>
        <v>2.95</v>
      </c>
      <c r="BN60" s="4">
        <f>16.2*50%</f>
        <v>8.1</v>
      </c>
      <c r="BO60" s="4">
        <f>50%*195.2</f>
        <v>97.6</v>
      </c>
      <c r="BP60" s="4">
        <f t="shared" si="5"/>
        <v>108.64999999999999</v>
      </c>
      <c r="BQ60" s="4"/>
      <c r="BR60" s="4"/>
      <c r="BS60" s="4"/>
      <c r="BT60" s="4"/>
      <c r="BU60" s="4"/>
      <c r="BV60" s="4"/>
      <c r="BW60" s="4"/>
      <c r="BX60" s="4"/>
      <c r="BY60" s="4"/>
      <c r="BZ60" s="4"/>
      <c r="CA60" s="4"/>
      <c r="CB60" s="4"/>
      <c r="CC60" s="4"/>
      <c r="CD60" s="4"/>
      <c r="CE60" s="4"/>
      <c r="CF60" s="4"/>
      <c r="CG60" s="4"/>
      <c r="CH60" s="4"/>
      <c r="CI60" s="4"/>
      <c r="CJ60" s="4"/>
      <c r="CK60" s="4"/>
      <c r="CL60" s="4"/>
      <c r="CM60" s="4"/>
      <c r="CN60" s="4"/>
      <c r="CP60" s="2" t="s">
        <v>472</v>
      </c>
      <c r="CQ60" s="2" t="s">
        <v>254</v>
      </c>
      <c r="CR60" s="10" t="s">
        <v>469</v>
      </c>
      <c r="CS60" s="9" t="s">
        <v>256</v>
      </c>
    </row>
    <row r="61" spans="1:97" s="2" customFormat="1" ht="12.75">
      <c r="A61" s="2">
        <v>58</v>
      </c>
      <c r="B61" s="2" t="s">
        <v>374</v>
      </c>
      <c r="C61" s="2" t="s">
        <v>464</v>
      </c>
      <c r="D61" s="4" t="s">
        <v>465</v>
      </c>
      <c r="E61" s="2" t="s">
        <v>473</v>
      </c>
      <c r="F61" s="2" t="s">
        <v>474</v>
      </c>
      <c r="G61" s="2">
        <v>2007</v>
      </c>
      <c r="H61" s="2">
        <v>2007</v>
      </c>
      <c r="I61" s="2">
        <v>0</v>
      </c>
      <c r="J61" s="2">
        <v>0</v>
      </c>
      <c r="K61" s="2">
        <v>0</v>
      </c>
      <c r="L61" s="2">
        <v>0</v>
      </c>
      <c r="M61" s="2">
        <v>0</v>
      </c>
      <c r="N61" s="2">
        <v>0</v>
      </c>
      <c r="O61" s="4">
        <v>16.516670000000001</v>
      </c>
      <c r="P61" s="4">
        <v>138.19999999999999</v>
      </c>
      <c r="Q61" s="4">
        <v>1234</v>
      </c>
      <c r="R61" s="4">
        <v>0</v>
      </c>
      <c r="S61" s="4">
        <v>270</v>
      </c>
      <c r="T61" s="4">
        <v>61.833329999999997</v>
      </c>
      <c r="U61" s="4">
        <v>1997</v>
      </c>
      <c r="V61" s="4">
        <v>1.4583330000000001</v>
      </c>
      <c r="W61" s="4"/>
      <c r="X61" s="4"/>
      <c r="Y61" s="4"/>
      <c r="Z61" s="4"/>
      <c r="AA61" s="4"/>
      <c r="AB61" s="4"/>
      <c r="AC61" s="4"/>
      <c r="AD61" s="4"/>
      <c r="AE61" s="4"/>
      <c r="AF61" s="4"/>
      <c r="AG61" s="4"/>
      <c r="AH61" s="4"/>
      <c r="AI61" s="4"/>
      <c r="AJ61" s="4"/>
      <c r="AK61" s="4"/>
      <c r="AL61" s="4"/>
      <c r="AM61" s="4"/>
      <c r="AN61" s="4"/>
      <c r="AO61" s="4"/>
      <c r="AP61" s="4"/>
      <c r="AQ61" s="4"/>
      <c r="AR61" s="4"/>
      <c r="AS61" s="4"/>
      <c r="AT61" s="4"/>
      <c r="AV61" s="4"/>
      <c r="AW61" s="4">
        <v>8133</v>
      </c>
      <c r="AX61" s="4">
        <f>(12.7*333+12.7*7800)/8133</f>
        <v>12.700000000000001</v>
      </c>
      <c r="AY61" s="4">
        <f>(18.5*333+18.4*7800)/8133</f>
        <v>18.404094430099594</v>
      </c>
      <c r="AZ61" s="4">
        <f>(AX61/2)^2*PI()*AW61/10000</f>
        <v>103.02629818749874</v>
      </c>
      <c r="BA61" s="4"/>
      <c r="BB61" s="4"/>
      <c r="BC61" s="4"/>
      <c r="BD61" s="4"/>
      <c r="BE61" s="4"/>
      <c r="BF61" s="4"/>
      <c r="BG61" s="4"/>
      <c r="BH61" s="4"/>
      <c r="BI61" s="4"/>
      <c r="BJ61" s="4"/>
      <c r="BK61" s="4"/>
      <c r="BL61" s="4"/>
      <c r="BM61" s="4">
        <f>5.9*50%</f>
        <v>2.95</v>
      </c>
      <c r="BN61" s="4">
        <f>16.5*50%</f>
        <v>8.25</v>
      </c>
      <c r="BO61" s="4">
        <f>50%*197.4</f>
        <v>98.7</v>
      </c>
      <c r="BP61" s="4">
        <f t="shared" si="5"/>
        <v>109.9</v>
      </c>
      <c r="BQ61" s="4"/>
      <c r="BR61" s="4"/>
      <c r="BS61" s="4"/>
      <c r="BT61" s="4"/>
      <c r="BU61" s="4"/>
      <c r="BV61" s="4"/>
      <c r="BW61" s="4"/>
      <c r="BX61" s="4"/>
      <c r="BY61" s="4"/>
      <c r="BZ61" s="4"/>
      <c r="CA61" s="4">
        <f t="shared" ref="CA61:CC62" si="6">BM61-BM60</f>
        <v>0</v>
      </c>
      <c r="CB61" s="4">
        <f t="shared" si="6"/>
        <v>0.15000000000000036</v>
      </c>
      <c r="CC61" s="4">
        <f t="shared" si="6"/>
        <v>1.1000000000000085</v>
      </c>
      <c r="CF61" s="4">
        <f>BP61-BP60</f>
        <v>1.2500000000000142</v>
      </c>
      <c r="CG61" s="4"/>
      <c r="CH61" s="4"/>
      <c r="CI61" s="4"/>
      <c r="CJ61" s="4"/>
      <c r="CK61" s="4"/>
      <c r="CL61" s="4"/>
      <c r="CM61" s="4"/>
      <c r="CN61" s="4"/>
      <c r="CP61" s="2" t="s">
        <v>472</v>
      </c>
      <c r="CQ61" s="2" t="s">
        <v>254</v>
      </c>
      <c r="CR61" s="10" t="s">
        <v>469</v>
      </c>
      <c r="CS61" s="9" t="s">
        <v>256</v>
      </c>
    </row>
    <row r="62" spans="1:97" s="2" customFormat="1" ht="12.75">
      <c r="A62" s="2">
        <v>59</v>
      </c>
      <c r="B62" s="2" t="s">
        <v>374</v>
      </c>
      <c r="C62" s="2" t="s">
        <v>464</v>
      </c>
      <c r="D62" s="4" t="s">
        <v>465</v>
      </c>
      <c r="E62" s="2" t="s">
        <v>475</v>
      </c>
      <c r="F62" s="2" t="s">
        <v>476</v>
      </c>
      <c r="G62" s="2">
        <v>2008</v>
      </c>
      <c r="H62" s="2">
        <v>2008</v>
      </c>
      <c r="I62" s="2">
        <v>0</v>
      </c>
      <c r="J62" s="2">
        <v>0</v>
      </c>
      <c r="K62" s="2">
        <v>0</v>
      </c>
      <c r="L62" s="2">
        <v>0</v>
      </c>
      <c r="M62" s="2">
        <v>0</v>
      </c>
      <c r="N62" s="11">
        <v>0</v>
      </c>
      <c r="O62" s="4">
        <v>16.033329999999999</v>
      </c>
      <c r="P62" s="4">
        <v>134</v>
      </c>
      <c r="Q62" s="4">
        <v>1606</v>
      </c>
      <c r="R62" s="4">
        <v>13</v>
      </c>
      <c r="S62" s="4">
        <v>270</v>
      </c>
      <c r="T62" s="4">
        <v>63.166670000000003</v>
      </c>
      <c r="U62" s="4">
        <v>1897.6</v>
      </c>
      <c r="V62" s="4">
        <v>1.375</v>
      </c>
      <c r="W62" s="4"/>
      <c r="X62" s="4"/>
      <c r="Y62" s="4"/>
      <c r="Z62" s="4"/>
      <c r="AA62" s="4"/>
      <c r="AB62" s="4"/>
      <c r="AC62" s="4"/>
      <c r="AD62" s="4"/>
      <c r="AE62" s="4"/>
      <c r="AF62" s="4"/>
      <c r="AG62" s="4"/>
      <c r="AH62" s="4"/>
      <c r="AI62" s="4"/>
      <c r="AJ62" s="4"/>
      <c r="AK62" s="4"/>
      <c r="AL62" s="4"/>
      <c r="AM62" s="4"/>
      <c r="AN62" s="4"/>
      <c r="AO62" s="4"/>
      <c r="AP62" s="4"/>
      <c r="AQ62" s="4"/>
      <c r="AR62" s="4"/>
      <c r="AS62" s="4"/>
      <c r="AT62" s="4"/>
      <c r="AV62" s="4"/>
      <c r="AW62" s="4">
        <v>8300</v>
      </c>
      <c r="AX62" s="4">
        <f>(11.6*367+12.7*7933)/8300</f>
        <v>12.651361445783131</v>
      </c>
      <c r="AY62" s="4">
        <f>(17.4*367+18.5*7933)/8300</f>
        <v>18.451361445783132</v>
      </c>
      <c r="AZ62" s="4">
        <f>(AX62/2)^2*PI()*AW62/10000</f>
        <v>104.33799836625894</v>
      </c>
      <c r="BA62" s="4"/>
      <c r="BB62" s="4"/>
      <c r="BC62" s="4"/>
      <c r="BD62" s="4"/>
      <c r="BE62" s="4"/>
      <c r="BF62" s="4"/>
      <c r="BG62" s="4"/>
      <c r="BH62" s="4"/>
      <c r="BI62" s="4"/>
      <c r="BJ62" s="4"/>
      <c r="BK62" s="4"/>
      <c r="BL62" s="4"/>
      <c r="BM62" s="4">
        <f>6.1*50%</f>
        <v>3.05</v>
      </c>
      <c r="BN62" s="4">
        <f>(16.6+16.2+16.5+16.9)/4*50%</f>
        <v>8.2749999999999986</v>
      </c>
      <c r="BO62" s="4">
        <f>50%*201.4</f>
        <v>100.7</v>
      </c>
      <c r="BP62" s="4">
        <f t="shared" si="5"/>
        <v>112.02500000000001</v>
      </c>
      <c r="BQ62" s="4"/>
      <c r="BR62" s="4"/>
      <c r="BS62" s="4"/>
      <c r="BT62" s="4"/>
      <c r="BU62" s="4"/>
      <c r="BV62" s="4"/>
      <c r="BW62" s="4"/>
      <c r="BX62" s="4"/>
      <c r="BY62" s="4"/>
      <c r="BZ62" s="4"/>
      <c r="CA62" s="4">
        <f t="shared" si="6"/>
        <v>9.9999999999999645E-2</v>
      </c>
      <c r="CB62" s="4">
        <f t="shared" si="6"/>
        <v>2.4999999999998579E-2</v>
      </c>
      <c r="CC62" s="4">
        <f t="shared" si="6"/>
        <v>2</v>
      </c>
      <c r="CF62" s="4">
        <f>BP62-BP61</f>
        <v>2.125</v>
      </c>
      <c r="CG62" s="4"/>
      <c r="CH62" s="4"/>
      <c r="CI62" s="4"/>
      <c r="CJ62" s="4"/>
      <c r="CK62" s="4"/>
      <c r="CL62" s="4"/>
      <c r="CM62" s="4"/>
      <c r="CN62" s="4"/>
      <c r="CP62" s="2" t="s">
        <v>472</v>
      </c>
      <c r="CQ62" s="2" t="s">
        <v>254</v>
      </c>
      <c r="CR62" s="10" t="s">
        <v>469</v>
      </c>
      <c r="CS62" s="9" t="s">
        <v>256</v>
      </c>
    </row>
    <row r="63" spans="1:97" s="2" customFormat="1" ht="12.75">
      <c r="A63" s="2">
        <v>60</v>
      </c>
      <c r="B63" s="2" t="s">
        <v>374</v>
      </c>
      <c r="C63" s="2" t="s">
        <v>464</v>
      </c>
      <c r="D63" s="4" t="s">
        <v>465</v>
      </c>
      <c r="E63" s="2" t="s">
        <v>477</v>
      </c>
      <c r="F63" s="2" t="s">
        <v>478</v>
      </c>
      <c r="G63" s="2">
        <v>2006</v>
      </c>
      <c r="H63" s="2">
        <v>2006</v>
      </c>
      <c r="I63" s="2">
        <v>0</v>
      </c>
      <c r="J63" s="2">
        <v>0</v>
      </c>
      <c r="K63" s="2">
        <v>0</v>
      </c>
      <c r="L63" s="2">
        <v>0</v>
      </c>
      <c r="M63" s="2">
        <v>0</v>
      </c>
      <c r="N63" s="2">
        <v>0</v>
      </c>
      <c r="O63" s="4">
        <v>15.3</v>
      </c>
      <c r="P63" s="4">
        <f>(O63-5)*12</f>
        <v>123.60000000000001</v>
      </c>
      <c r="Q63" s="4">
        <v>1459</v>
      </c>
      <c r="R63" s="4">
        <v>6</v>
      </c>
      <c r="S63" s="4">
        <v>280</v>
      </c>
      <c r="T63" s="4">
        <v>64.083330000000004</v>
      </c>
      <c r="U63" s="4">
        <v>1480.5</v>
      </c>
      <c r="V63" s="4">
        <v>1.5833330000000001</v>
      </c>
      <c r="W63" s="4"/>
      <c r="X63" s="4"/>
      <c r="Y63" s="4"/>
      <c r="Z63" s="4"/>
      <c r="AA63" s="4"/>
      <c r="AB63" s="4"/>
      <c r="AC63" s="4"/>
      <c r="AD63" s="4"/>
      <c r="AE63" s="4"/>
      <c r="AF63" s="4"/>
      <c r="AG63" s="4"/>
      <c r="AH63" s="4"/>
      <c r="AI63" s="4"/>
      <c r="AJ63" s="4"/>
      <c r="AK63" s="4"/>
      <c r="AL63" s="4"/>
      <c r="AM63" s="4"/>
      <c r="AN63" s="4"/>
      <c r="AO63" s="4"/>
      <c r="AP63" s="4"/>
      <c r="AQ63" s="4"/>
      <c r="AR63" s="4"/>
      <c r="AS63" s="4"/>
      <c r="AT63" s="4"/>
      <c r="AV63" s="4"/>
      <c r="AW63" s="4">
        <v>9675</v>
      </c>
      <c r="AX63" s="4">
        <v>10.52</v>
      </c>
      <c r="AY63" s="4"/>
      <c r="AZ63" s="4">
        <v>88.3</v>
      </c>
      <c r="BA63" s="4"/>
      <c r="BB63" s="4"/>
      <c r="BC63" s="4"/>
      <c r="BD63" s="4">
        <v>41.9</v>
      </c>
      <c r="BE63" s="4">
        <v>46.4</v>
      </c>
      <c r="BF63" s="4">
        <v>46.3</v>
      </c>
      <c r="BG63" s="4">
        <v>43.2</v>
      </c>
      <c r="BH63" s="4">
        <v>44.2</v>
      </c>
      <c r="BI63" s="4">
        <v>44.3</v>
      </c>
      <c r="BJ63" s="4"/>
      <c r="BK63" s="4">
        <v>3.34</v>
      </c>
      <c r="BL63" s="4">
        <v>2.11</v>
      </c>
      <c r="BM63" s="4">
        <v>2.1</v>
      </c>
      <c r="BN63" s="4">
        <v>6.9</v>
      </c>
      <c r="BO63" s="4">
        <v>75.900000000000006</v>
      </c>
      <c r="BP63" s="4">
        <f t="shared" si="5"/>
        <v>84.9</v>
      </c>
      <c r="BQ63" s="4">
        <f>BU63/BP63</f>
        <v>0.65842167255594808</v>
      </c>
      <c r="BR63" s="4">
        <f>10.9+16.9</f>
        <v>27.799999999999997</v>
      </c>
      <c r="BS63" s="4">
        <f>18.2</f>
        <v>18.2</v>
      </c>
      <c r="BT63" s="4">
        <v>9.9</v>
      </c>
      <c r="BU63" s="4">
        <f>SUM(BR63:BT63)</f>
        <v>55.9</v>
      </c>
      <c r="BV63" s="4">
        <f>BU63+BP63</f>
        <v>140.80000000000001</v>
      </c>
      <c r="BW63" s="4"/>
      <c r="BX63" s="4">
        <f>1.4+0.5+4.4+16.9+30.9</f>
        <v>54.099999999999994</v>
      </c>
      <c r="BY63" s="4"/>
      <c r="BZ63" s="4">
        <f>BV63+BX63</f>
        <v>194.9</v>
      </c>
      <c r="CA63" s="4"/>
      <c r="CB63" s="4"/>
      <c r="CC63" s="4"/>
      <c r="CD63" s="4"/>
      <c r="CE63" s="4"/>
      <c r="CF63" s="4"/>
      <c r="CG63" s="4"/>
      <c r="CH63" s="4"/>
      <c r="CI63" s="4"/>
      <c r="CJ63" s="4"/>
      <c r="CK63" s="4"/>
      <c r="CL63" s="4"/>
      <c r="CM63" s="4"/>
      <c r="CN63" s="4"/>
      <c r="CO63" s="4"/>
      <c r="CP63" s="2" t="s">
        <v>479</v>
      </c>
      <c r="CQ63" s="2" t="s">
        <v>254</v>
      </c>
      <c r="CR63" s="10" t="s">
        <v>480</v>
      </c>
      <c r="CS63" s="9" t="s">
        <v>256</v>
      </c>
    </row>
    <row r="64" spans="1:97" s="2" customFormat="1" ht="12.75">
      <c r="A64" s="2">
        <v>61</v>
      </c>
      <c r="B64" s="2" t="s">
        <v>363</v>
      </c>
      <c r="C64" s="2" t="s">
        <v>481</v>
      </c>
      <c r="D64" s="4" t="s">
        <v>465</v>
      </c>
      <c r="E64" s="2" t="s">
        <v>482</v>
      </c>
      <c r="F64" s="2" t="s">
        <v>483</v>
      </c>
      <c r="G64" s="2">
        <v>2004</v>
      </c>
      <c r="H64" s="2">
        <v>2005</v>
      </c>
      <c r="I64" s="2">
        <v>0</v>
      </c>
      <c r="J64" s="2">
        <v>0</v>
      </c>
      <c r="K64" s="2">
        <v>0</v>
      </c>
      <c r="L64" s="2">
        <v>0</v>
      </c>
      <c r="M64" s="2">
        <v>0</v>
      </c>
      <c r="N64" s="12">
        <v>1</v>
      </c>
      <c r="O64" s="4">
        <v>15.446149999999999</v>
      </c>
      <c r="P64" s="4">
        <v>127.8</v>
      </c>
      <c r="Q64" s="4">
        <v>2075</v>
      </c>
      <c r="R64" s="4">
        <v>66</v>
      </c>
      <c r="S64" s="4">
        <v>30</v>
      </c>
      <c r="T64" s="4">
        <v>73</v>
      </c>
      <c r="U64" s="4">
        <v>1949.9</v>
      </c>
      <c r="V64" s="4">
        <v>3.4461539999999999</v>
      </c>
      <c r="W64" s="4"/>
      <c r="X64" s="4">
        <v>3.5</v>
      </c>
      <c r="Y64" s="4">
        <v>4.7</v>
      </c>
      <c r="Z64" s="4"/>
      <c r="AA64" s="4"/>
      <c r="AB64" s="4"/>
      <c r="AC64" s="4"/>
      <c r="AD64" s="4"/>
      <c r="AE64" s="4"/>
      <c r="AF64" s="4"/>
      <c r="AG64" s="4"/>
      <c r="AH64" s="4"/>
      <c r="AI64" s="4"/>
      <c r="AJ64" s="4"/>
      <c r="AK64" s="4"/>
      <c r="AL64" s="4"/>
      <c r="AM64" s="4"/>
      <c r="AN64" s="4"/>
      <c r="AO64" s="4"/>
      <c r="AP64" s="4"/>
      <c r="AQ64" s="4">
        <v>534</v>
      </c>
      <c r="AR64" s="4"/>
      <c r="AS64" s="4">
        <v>91.3</v>
      </c>
      <c r="AT64" s="4">
        <v>432</v>
      </c>
      <c r="AU64" s="4">
        <f>AT64-AV64</f>
        <v>50</v>
      </c>
      <c r="AV64" s="4">
        <v>382</v>
      </c>
      <c r="AW64" s="4">
        <v>14867</v>
      </c>
      <c r="AX64" s="4">
        <v>5.9</v>
      </c>
      <c r="AY64" s="4">
        <v>9.5</v>
      </c>
      <c r="AZ64" s="4">
        <v>46.4</v>
      </c>
      <c r="BA64" s="4"/>
      <c r="BB64" s="4"/>
      <c r="BC64" s="4"/>
      <c r="BD64" s="4"/>
      <c r="BE64" s="4"/>
      <c r="BF64" s="4"/>
      <c r="BG64" s="4"/>
      <c r="BH64" s="4"/>
      <c r="BI64" s="4"/>
      <c r="BJ64" s="4"/>
      <c r="BK64" s="4"/>
      <c r="BL64" s="4"/>
      <c r="BM64" s="4">
        <f>4.56*50%</f>
        <v>2.2799999999999998</v>
      </c>
      <c r="BN64" s="4">
        <f>11.9*50%</f>
        <v>5.95</v>
      </c>
      <c r="BO64" s="4">
        <f>71.4*50%</f>
        <v>35.700000000000003</v>
      </c>
      <c r="BP64" s="4">
        <f t="shared" si="5"/>
        <v>43.930000000000007</v>
      </c>
      <c r="BQ64" s="4"/>
      <c r="BR64" s="4"/>
      <c r="BS64" s="4"/>
      <c r="BT64" s="4"/>
      <c r="BU64" s="4"/>
      <c r="BV64" s="4"/>
      <c r="BW64" s="4"/>
      <c r="BX64" s="4"/>
      <c r="BY64" s="4"/>
      <c r="BZ64" s="4"/>
      <c r="CA64" s="4">
        <f>(4.8+0.87)*50%</f>
        <v>2.835</v>
      </c>
      <c r="CB64" s="4">
        <f>3.07*50%</f>
        <v>1.5349999999999999</v>
      </c>
      <c r="CC64" s="4">
        <f>10*50%</f>
        <v>5</v>
      </c>
      <c r="CD64" s="4">
        <f>7.45*50%</f>
        <v>3.7250000000000001</v>
      </c>
      <c r="CE64" s="4"/>
      <c r="CF64" s="4">
        <f>SUM(CA64:CC64)</f>
        <v>9.370000000000001</v>
      </c>
      <c r="CG64" s="4"/>
      <c r="CH64" s="4"/>
      <c r="CI64" s="4"/>
      <c r="CJ64" s="4"/>
      <c r="CK64" s="4"/>
      <c r="CL64" s="4"/>
      <c r="CM64" s="4"/>
      <c r="CN64" s="4"/>
      <c r="CP64" s="2" t="s">
        <v>484</v>
      </c>
      <c r="CQ64" s="2" t="s">
        <v>254</v>
      </c>
      <c r="CR64" s="10" t="s">
        <v>485</v>
      </c>
      <c r="CS64" s="9" t="s">
        <v>256</v>
      </c>
    </row>
    <row r="65" spans="1:97" s="2" customFormat="1" ht="12.75">
      <c r="A65" s="2">
        <v>62</v>
      </c>
      <c r="B65" s="2" t="s">
        <v>486</v>
      </c>
      <c r="C65" s="2" t="s">
        <v>487</v>
      </c>
      <c r="D65" s="4" t="s">
        <v>488</v>
      </c>
      <c r="E65" s="2" t="s">
        <v>489</v>
      </c>
      <c r="F65" s="2" t="s">
        <v>490</v>
      </c>
      <c r="G65" s="2">
        <v>2005</v>
      </c>
      <c r="H65" s="2">
        <v>2005</v>
      </c>
      <c r="I65" s="2">
        <v>1</v>
      </c>
      <c r="J65" s="2">
        <v>1</v>
      </c>
      <c r="K65" s="2">
        <v>1</v>
      </c>
      <c r="L65" s="2">
        <v>1</v>
      </c>
      <c r="M65" s="2">
        <v>0</v>
      </c>
      <c r="N65" s="2">
        <v>0</v>
      </c>
      <c r="O65" s="4">
        <f>(0.3+26)/2</f>
        <v>13.15</v>
      </c>
      <c r="P65" s="4">
        <f>(O65-5)*12</f>
        <v>97.800000000000011</v>
      </c>
      <c r="Q65" s="4">
        <v>1503</v>
      </c>
      <c r="R65" s="4"/>
      <c r="S65" s="4">
        <v>33</v>
      </c>
      <c r="T65" s="4"/>
      <c r="U65" s="4"/>
      <c r="V65" s="4"/>
      <c r="W65" s="4"/>
      <c r="X65" s="4"/>
      <c r="Y65" s="4">
        <v>4.45</v>
      </c>
      <c r="Z65" s="4">
        <v>0.97</v>
      </c>
      <c r="AA65" s="4"/>
      <c r="AB65" s="4"/>
      <c r="AC65" s="4">
        <v>382.85</v>
      </c>
      <c r="AD65" s="4"/>
      <c r="AE65" s="4">
        <v>6.1</v>
      </c>
      <c r="AF65" s="4">
        <v>0.28999999999999998</v>
      </c>
      <c r="AG65" s="4">
        <v>2</v>
      </c>
      <c r="AH65" s="4">
        <v>0.53</v>
      </c>
      <c r="AI65" s="4"/>
      <c r="AJ65" s="4"/>
      <c r="AK65" s="4"/>
      <c r="AL65" s="4">
        <v>45.1</v>
      </c>
      <c r="AM65" s="4">
        <v>17.3</v>
      </c>
      <c r="AN65" s="4">
        <v>6.1</v>
      </c>
      <c r="AO65" s="4">
        <v>3.6</v>
      </c>
      <c r="AP65" s="4">
        <v>3.5</v>
      </c>
      <c r="AQ65" s="4"/>
      <c r="AR65" s="4"/>
      <c r="AS65" s="4"/>
      <c r="AT65" s="4"/>
      <c r="AV65" s="4"/>
      <c r="AW65" s="4">
        <v>6133</v>
      </c>
      <c r="AX65" s="4">
        <v>8.3000000000000007</v>
      </c>
      <c r="AY65" s="4">
        <v>12</v>
      </c>
      <c r="AZ65" s="4">
        <f>(AX65/2)^2*PI()*AW65/10000</f>
        <v>33.183258542906927</v>
      </c>
      <c r="BA65" s="4"/>
      <c r="BB65" s="4"/>
      <c r="BC65" s="4"/>
      <c r="BD65" s="4"/>
      <c r="BE65" s="4"/>
      <c r="BF65" s="4"/>
      <c r="BG65" s="4"/>
      <c r="BH65" s="4"/>
      <c r="BI65" s="4"/>
      <c r="BJ65" s="4"/>
      <c r="BK65" s="4"/>
      <c r="BL65" s="4"/>
      <c r="BM65" s="4">
        <f>16.29/2</f>
        <v>8.1449999999999996</v>
      </c>
      <c r="BN65" s="4">
        <f>11.17/2</f>
        <v>5.585</v>
      </c>
      <c r="BO65" s="4">
        <f>40.98/2</f>
        <v>20.49</v>
      </c>
      <c r="BP65" s="4">
        <f>69.65/2</f>
        <v>34.825000000000003</v>
      </c>
      <c r="BQ65" s="4">
        <f>BU65/BP65</f>
        <v>0.3043790380473797</v>
      </c>
      <c r="BR65" s="4">
        <f>7.45/2</f>
        <v>3.7250000000000001</v>
      </c>
      <c r="BS65" s="4">
        <f>13.72/2</f>
        <v>6.86</v>
      </c>
      <c r="BT65" s="4"/>
      <c r="BU65" s="4">
        <f>(13.7+7.5)/2</f>
        <v>10.6</v>
      </c>
      <c r="BV65" s="4">
        <f>BU65+BP65</f>
        <v>45.425000000000004</v>
      </c>
      <c r="BW65" s="4"/>
      <c r="BX65" s="4"/>
      <c r="BY65" s="4"/>
      <c r="BZ65" s="4"/>
      <c r="CA65" s="4"/>
      <c r="CB65" s="4"/>
      <c r="CC65" s="4"/>
      <c r="CD65" s="4"/>
      <c r="CE65" s="4"/>
      <c r="CF65" s="4"/>
      <c r="CG65" s="4"/>
      <c r="CH65" s="4"/>
      <c r="CI65" s="4"/>
      <c r="CJ65" s="4"/>
      <c r="CK65" s="4"/>
      <c r="CL65" s="4"/>
      <c r="CM65" s="4"/>
      <c r="CN65" s="4"/>
      <c r="CO65" s="4"/>
      <c r="CP65" s="2" t="s">
        <v>491</v>
      </c>
      <c r="CQ65" s="2" t="s">
        <v>254</v>
      </c>
      <c r="CR65" s="10" t="s">
        <v>492</v>
      </c>
      <c r="CS65" s="9" t="s">
        <v>256</v>
      </c>
    </row>
    <row r="66" spans="1:97" s="2" customFormat="1" ht="12.75">
      <c r="A66" s="2">
        <v>63</v>
      </c>
      <c r="B66" s="2" t="s">
        <v>486</v>
      </c>
      <c r="C66" s="2" t="s">
        <v>487</v>
      </c>
      <c r="D66" s="4" t="s">
        <v>488</v>
      </c>
      <c r="E66" s="2" t="s">
        <v>493</v>
      </c>
      <c r="F66" s="2" t="s">
        <v>494</v>
      </c>
      <c r="G66" s="2">
        <v>2011</v>
      </c>
      <c r="H66" s="2">
        <v>2011</v>
      </c>
      <c r="I66" s="2">
        <v>0</v>
      </c>
      <c r="J66" s="2">
        <v>0</v>
      </c>
      <c r="K66" s="2">
        <v>0</v>
      </c>
      <c r="L66" s="2">
        <v>0</v>
      </c>
      <c r="M66" s="2">
        <v>0</v>
      </c>
      <c r="N66" s="2">
        <v>0</v>
      </c>
      <c r="O66" s="4">
        <f>(0.3+26)/2</f>
        <v>13.15</v>
      </c>
      <c r="P66" s="4">
        <f>(O66-5)*12</f>
        <v>97.800000000000011</v>
      </c>
      <c r="Q66" s="4">
        <v>1503</v>
      </c>
      <c r="R66" s="4"/>
      <c r="S66" s="4">
        <v>33</v>
      </c>
      <c r="T66" s="4"/>
      <c r="U66" s="4"/>
      <c r="V66" s="4"/>
      <c r="W66" s="4"/>
      <c r="X66" s="4"/>
      <c r="Y66" s="4">
        <v>4.45</v>
      </c>
      <c r="Z66" s="4">
        <v>0.97</v>
      </c>
      <c r="AA66" s="4"/>
      <c r="AB66" s="4"/>
      <c r="AC66" s="4">
        <v>382.85</v>
      </c>
      <c r="AD66" s="4"/>
      <c r="AE66" s="4">
        <v>6.1</v>
      </c>
      <c r="AF66" s="4">
        <v>0.28999999999999998</v>
      </c>
      <c r="AG66" s="4">
        <v>2</v>
      </c>
      <c r="AH66" s="4">
        <v>0.53</v>
      </c>
      <c r="AI66" s="4"/>
      <c r="AJ66" s="4"/>
      <c r="AK66" s="4"/>
      <c r="AL66" s="4">
        <v>45.1</v>
      </c>
      <c r="AM66" s="4">
        <v>17.3</v>
      </c>
      <c r="AN66" s="4">
        <v>6.1</v>
      </c>
      <c r="AO66" s="4">
        <v>3.6</v>
      </c>
      <c r="AP66" s="4">
        <v>3.5</v>
      </c>
      <c r="AQ66" s="4"/>
      <c r="AR66" s="4"/>
      <c r="AS66" s="4"/>
      <c r="AT66" s="4"/>
      <c r="AV66" s="4"/>
      <c r="AW66" s="4">
        <v>3050</v>
      </c>
      <c r="AX66" s="4">
        <v>8.9</v>
      </c>
      <c r="AY66" s="4">
        <v>13.2</v>
      </c>
      <c r="AZ66" s="4">
        <f>(AX66/2)^2*PI()*AW66/10000</f>
        <v>18.974473499427123</v>
      </c>
      <c r="BA66" s="4"/>
      <c r="BB66" s="4"/>
      <c r="BC66" s="4"/>
      <c r="BD66" s="4"/>
      <c r="BE66" s="4"/>
      <c r="BF66" s="4"/>
      <c r="BG66" s="4"/>
      <c r="BH66" s="4"/>
      <c r="BI66" s="4"/>
      <c r="BJ66" s="4"/>
      <c r="BK66" s="4"/>
      <c r="BL66" s="4"/>
      <c r="BM66" s="4">
        <f>8.01/2</f>
        <v>4.0049999999999999</v>
      </c>
      <c r="BN66" s="4">
        <f>9.29/2</f>
        <v>4.6449999999999996</v>
      </c>
      <c r="BO66" s="4">
        <f>40.47/2</f>
        <v>20.234999999999999</v>
      </c>
      <c r="BP66" s="4">
        <f>57.77/2</f>
        <v>28.885000000000002</v>
      </c>
      <c r="BQ66" s="4">
        <f>BU66/BP66</f>
        <v>0.92348970053661072</v>
      </c>
      <c r="BR66" s="4">
        <f>9.93/2</f>
        <v>4.9649999999999999</v>
      </c>
      <c r="BS66" s="4">
        <f>43.43/2</f>
        <v>21.715</v>
      </c>
      <c r="BT66" s="4"/>
      <c r="BU66" s="4">
        <f>53.35/2</f>
        <v>26.675000000000001</v>
      </c>
      <c r="BV66" s="4">
        <f>BU66+BP66</f>
        <v>55.56</v>
      </c>
      <c r="BW66" s="4"/>
      <c r="BX66" s="4"/>
      <c r="BY66" s="4"/>
      <c r="BZ66" s="4"/>
      <c r="CA66" s="4"/>
      <c r="CB66" s="4"/>
      <c r="CC66" s="4"/>
      <c r="CD66" s="4"/>
      <c r="CE66" s="4"/>
      <c r="CF66" s="4"/>
      <c r="CG66" s="4"/>
      <c r="CH66" s="4"/>
      <c r="CI66" s="4"/>
      <c r="CJ66" s="4"/>
      <c r="CK66" s="4"/>
      <c r="CL66" s="4"/>
      <c r="CM66" s="4"/>
      <c r="CN66" s="4"/>
      <c r="CO66" s="4"/>
      <c r="CP66" s="2" t="s">
        <v>495</v>
      </c>
      <c r="CQ66" s="2" t="s">
        <v>254</v>
      </c>
      <c r="CR66" s="10" t="s">
        <v>496</v>
      </c>
      <c r="CS66" s="9" t="s">
        <v>256</v>
      </c>
    </row>
    <row r="67" spans="1:97" s="2" customFormat="1" ht="12.75">
      <c r="A67" s="2">
        <v>64</v>
      </c>
      <c r="B67" s="2" t="s">
        <v>486</v>
      </c>
      <c r="C67" s="2" t="s">
        <v>497</v>
      </c>
      <c r="D67" s="4" t="s">
        <v>488</v>
      </c>
      <c r="E67" s="2" t="s">
        <v>493</v>
      </c>
      <c r="F67" s="2" t="s">
        <v>498</v>
      </c>
      <c r="G67" s="2">
        <v>1996</v>
      </c>
      <c r="H67" s="2">
        <v>1996</v>
      </c>
      <c r="I67" s="2">
        <v>0</v>
      </c>
      <c r="J67" s="2">
        <v>0</v>
      </c>
      <c r="K67" s="2">
        <v>0</v>
      </c>
      <c r="L67" s="2">
        <v>0</v>
      </c>
      <c r="M67" s="2">
        <v>0</v>
      </c>
      <c r="O67" s="4">
        <f>(5+15)/2</f>
        <v>10</v>
      </c>
      <c r="P67" s="4">
        <f>(O67-5)*12</f>
        <v>60</v>
      </c>
      <c r="Q67" s="4"/>
      <c r="R67" s="4"/>
      <c r="S67" s="4">
        <v>150</v>
      </c>
      <c r="T67" s="4"/>
      <c r="U67" s="4"/>
      <c r="V67" s="4"/>
      <c r="W67" s="4"/>
      <c r="X67" s="4"/>
      <c r="Y67" s="4">
        <v>4.8</v>
      </c>
      <c r="Z67" s="4">
        <v>0.34200000000000003</v>
      </c>
      <c r="AA67" s="4"/>
      <c r="AB67" s="4"/>
      <c r="AC67" s="4">
        <v>281.10000000000002</v>
      </c>
      <c r="AD67" s="4"/>
      <c r="AE67" s="4"/>
      <c r="AF67" s="4">
        <v>0.35</v>
      </c>
      <c r="AG67" s="4">
        <v>1.48</v>
      </c>
      <c r="AH67" s="4">
        <v>0.2</v>
      </c>
      <c r="AI67" s="4"/>
      <c r="AJ67" s="4"/>
      <c r="AK67" s="4"/>
      <c r="AL67" s="4"/>
      <c r="AM67" s="4"/>
      <c r="AN67" s="4"/>
      <c r="AO67" s="4"/>
      <c r="AP67" s="4"/>
      <c r="AQ67" s="4"/>
      <c r="AR67" s="4"/>
      <c r="AS67" s="4"/>
      <c r="AT67" s="4"/>
      <c r="AV67" s="4"/>
      <c r="AW67" s="4">
        <v>7500</v>
      </c>
      <c r="AX67" s="4">
        <v>8.1999999999999993</v>
      </c>
      <c r="AY67" s="4">
        <v>11.9</v>
      </c>
      <c r="AZ67" s="4">
        <v>40.5</v>
      </c>
      <c r="BA67" s="4"/>
      <c r="BB67" s="4"/>
      <c r="BC67" s="4"/>
      <c r="BD67" s="4"/>
      <c r="BE67" s="4"/>
      <c r="BF67" s="4"/>
      <c r="BG67" s="4"/>
      <c r="BH67" s="4"/>
      <c r="BI67" s="4"/>
      <c r="BJ67" s="4"/>
      <c r="BK67" s="4"/>
      <c r="BL67" s="4"/>
      <c r="BM67" s="4">
        <f>3.849/2</f>
        <v>1.9245000000000001</v>
      </c>
      <c r="BN67" s="4">
        <f>6.499/2</f>
        <v>3.2494999999999998</v>
      </c>
      <c r="BO67" s="4">
        <f>61.428/2</f>
        <v>30.713999999999999</v>
      </c>
      <c r="BP67" s="4">
        <f>71.76/2</f>
        <v>35.880000000000003</v>
      </c>
      <c r="BQ67" s="4">
        <f>BU67/BP67</f>
        <v>0.44377090301003341</v>
      </c>
      <c r="BR67" s="4">
        <f>9.928/2</f>
        <v>4.9640000000000004</v>
      </c>
      <c r="BS67" s="4">
        <f>21.917/2</f>
        <v>10.958500000000001</v>
      </c>
      <c r="BT67" s="4"/>
      <c r="BU67" s="4">
        <f>31.845/2</f>
        <v>15.922499999999999</v>
      </c>
      <c r="BV67" s="4">
        <f>BU67+BP67</f>
        <v>51.802500000000002</v>
      </c>
      <c r="BW67" s="4"/>
      <c r="BX67" s="4"/>
      <c r="BY67" s="4"/>
      <c r="BZ67" s="4"/>
      <c r="CA67" s="4">
        <f>1.366/2</f>
        <v>0.68300000000000005</v>
      </c>
      <c r="CB67" s="4">
        <f>0.69/2</f>
        <v>0.34499999999999997</v>
      </c>
      <c r="CC67" s="4">
        <f>6.115/2</f>
        <v>3.0575000000000001</v>
      </c>
      <c r="CD67" s="4"/>
      <c r="CE67" s="4"/>
      <c r="CF67" s="4">
        <f>8.171/2</f>
        <v>4.0854999999999997</v>
      </c>
      <c r="CG67" s="4">
        <f>1.027/2</f>
        <v>0.51349999999999996</v>
      </c>
      <c r="CH67" s="4">
        <f>2.266/2</f>
        <v>1.133</v>
      </c>
      <c r="CI67" s="4"/>
      <c r="CJ67" s="4">
        <f>3.293/2</f>
        <v>1.6465000000000001</v>
      </c>
      <c r="CK67" s="4">
        <f>CF67+CJ67</f>
        <v>5.7319999999999993</v>
      </c>
      <c r="CL67" s="4"/>
      <c r="CM67" s="4"/>
      <c r="CN67" s="4"/>
      <c r="CO67" s="4"/>
      <c r="CP67" s="2" t="s">
        <v>499</v>
      </c>
      <c r="CQ67" s="2" t="s">
        <v>254</v>
      </c>
      <c r="CR67" s="10" t="s">
        <v>500</v>
      </c>
      <c r="CS67" s="9" t="s">
        <v>256</v>
      </c>
    </row>
    <row r="68" spans="1:97" s="2" customFormat="1" ht="14.25">
      <c r="A68" s="2">
        <v>65</v>
      </c>
      <c r="B68" s="2" t="s">
        <v>114</v>
      </c>
      <c r="C68" s="2" t="s">
        <v>501</v>
      </c>
      <c r="D68" s="4" t="s">
        <v>261</v>
      </c>
      <c r="E68" s="2" t="s">
        <v>502</v>
      </c>
      <c r="F68" s="2" t="s">
        <v>503</v>
      </c>
      <c r="G68" s="2">
        <v>2007</v>
      </c>
      <c r="H68" s="2">
        <v>2007</v>
      </c>
      <c r="I68" s="2">
        <v>0</v>
      </c>
      <c r="J68" s="2">
        <v>0</v>
      </c>
      <c r="K68" s="2">
        <v>0</v>
      </c>
      <c r="L68" s="2">
        <v>1</v>
      </c>
      <c r="M68" s="2">
        <v>0</v>
      </c>
      <c r="N68" s="2">
        <v>0</v>
      </c>
      <c r="O68" s="4">
        <v>15.3</v>
      </c>
      <c r="P68" s="4">
        <v>123.60000000000001</v>
      </c>
      <c r="Q68" s="4">
        <v>4618</v>
      </c>
      <c r="R68" s="4">
        <v>0</v>
      </c>
      <c r="S68" s="4">
        <v>1300</v>
      </c>
      <c r="T68" s="4">
        <v>87.9</v>
      </c>
      <c r="U68" s="4">
        <v>1449.4</v>
      </c>
      <c r="V68" s="4">
        <v>1.233333</v>
      </c>
      <c r="W68" s="4"/>
      <c r="X68" s="4">
        <f>(3.8+4.04)/2</f>
        <v>3.92</v>
      </c>
      <c r="Y68" s="4">
        <f>(4.6+5.1)/2</f>
        <v>4.8499999999999996</v>
      </c>
      <c r="Z68" s="4">
        <f>(0.68+0.56)/2</f>
        <v>0.62000000000000011</v>
      </c>
      <c r="AA68" s="4"/>
      <c r="AB68" s="4"/>
      <c r="AC68" s="4">
        <f>1.96*(16*5+30*2)/30</f>
        <v>9.1466666666666665</v>
      </c>
      <c r="AD68" s="4"/>
      <c r="AE68" s="4">
        <f>(2.93+2.52)/2</f>
        <v>2.7250000000000001</v>
      </c>
      <c r="AF68" s="4">
        <f>(0.3415+0.4335)/2</f>
        <v>0.38750000000000001</v>
      </c>
      <c r="AG68" s="4">
        <f>(0.5951+0.7592)/2</f>
        <v>0.67714999999999992</v>
      </c>
      <c r="AH68" s="4">
        <f>(0.1174+0.1507)/2</f>
        <v>0.13405</v>
      </c>
      <c r="AI68" s="4">
        <f>(28+33.4)/2</f>
        <v>30.7</v>
      </c>
      <c r="AJ68" s="4">
        <f>(34.8+24.6)/2</f>
        <v>29.7</v>
      </c>
      <c r="AK68" s="4">
        <f>(37.2+42)/2</f>
        <v>39.6</v>
      </c>
      <c r="AL68" s="4"/>
      <c r="AM68" s="4"/>
      <c r="AN68" s="4"/>
      <c r="AO68" s="4"/>
      <c r="AP68" s="4"/>
      <c r="AQ68" s="4"/>
      <c r="AR68" s="4"/>
      <c r="AS68" s="4"/>
      <c r="AT68" s="4"/>
      <c r="AV68" s="4"/>
      <c r="AW68" s="4">
        <v>8344</v>
      </c>
      <c r="AX68" s="4">
        <v>10.6</v>
      </c>
      <c r="AY68" s="4">
        <v>21.4</v>
      </c>
      <c r="AZ68" s="4">
        <f t="shared" ref="AZ68:AZ82" si="7">(AX68/2)^2*PI()*AW68/10000</f>
        <v>73.633578526263037</v>
      </c>
      <c r="BA68" s="4"/>
      <c r="BB68" s="4"/>
      <c r="BC68" s="4"/>
      <c r="BD68" s="4">
        <v>45.67</v>
      </c>
      <c r="BE68" s="4">
        <v>48.27</v>
      </c>
      <c r="BF68" s="4">
        <v>48.34</v>
      </c>
      <c r="BG68" s="4"/>
      <c r="BH68" s="4"/>
      <c r="BI68" s="4"/>
      <c r="BJ68" s="4"/>
      <c r="BK68" s="4">
        <v>5.74</v>
      </c>
      <c r="BL68" s="4">
        <v>4</v>
      </c>
      <c r="BM68" s="4">
        <f>4.4*BD68/100</f>
        <v>2.0094800000000004</v>
      </c>
      <c r="BN68" s="4">
        <f>12*BE68/100</f>
        <v>5.7923999999999998</v>
      </c>
      <c r="BO68" s="4">
        <f>151.7*BF68/100</f>
        <v>73.331779999999995</v>
      </c>
      <c r="BP68" s="4">
        <f>BM68+BN68+BO68</f>
        <v>81.133659999999992</v>
      </c>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2" t="s">
        <v>504</v>
      </c>
      <c r="CQ68" s="2" t="s">
        <v>254</v>
      </c>
      <c r="CR68" s="10" t="s">
        <v>505</v>
      </c>
      <c r="CS68" s="9" t="s">
        <v>256</v>
      </c>
    </row>
    <row r="69" spans="1:97" s="2" customFormat="1" ht="12.75">
      <c r="A69" s="2">
        <v>66</v>
      </c>
      <c r="B69" s="2" t="s">
        <v>114</v>
      </c>
      <c r="C69" s="2" t="s">
        <v>506</v>
      </c>
      <c r="D69" s="4" t="s">
        <v>507</v>
      </c>
      <c r="E69" s="2" t="s">
        <v>508</v>
      </c>
      <c r="F69" s="2" t="s">
        <v>509</v>
      </c>
      <c r="G69" s="2">
        <v>2008</v>
      </c>
      <c r="H69" s="2">
        <v>2009</v>
      </c>
      <c r="I69" s="2">
        <v>1</v>
      </c>
      <c r="J69" s="2">
        <v>0</v>
      </c>
      <c r="K69" s="2">
        <v>0</v>
      </c>
      <c r="L69" s="2">
        <v>1</v>
      </c>
      <c r="M69" s="2">
        <v>0</v>
      </c>
      <c r="N69" s="2">
        <v>1</v>
      </c>
      <c r="O69" s="4">
        <v>23</v>
      </c>
      <c r="P69" s="4">
        <f>(O69-5)*12</f>
        <v>216</v>
      </c>
      <c r="Q69" s="4">
        <v>2600</v>
      </c>
      <c r="R69" s="4">
        <v>0</v>
      </c>
      <c r="S69" s="4">
        <v>1135</v>
      </c>
      <c r="T69" s="4">
        <v>81.458330000000004</v>
      </c>
      <c r="U69" s="4">
        <v>1222</v>
      </c>
      <c r="V69" s="4">
        <v>0.65833299999999995</v>
      </c>
      <c r="W69" s="4"/>
      <c r="X69" s="4"/>
      <c r="Y69" s="4"/>
      <c r="Z69" s="4"/>
      <c r="AA69" s="4"/>
      <c r="AB69" s="4"/>
      <c r="AC69" s="4"/>
      <c r="AD69" s="4"/>
      <c r="AE69" s="4"/>
      <c r="AF69" s="4"/>
      <c r="AG69" s="4"/>
      <c r="AH69" s="4"/>
      <c r="AI69" s="4"/>
      <c r="AJ69" s="4"/>
      <c r="AK69" s="4"/>
      <c r="AL69" s="4"/>
      <c r="AM69" s="4"/>
      <c r="AN69" s="4"/>
      <c r="AO69" s="4"/>
      <c r="AP69" s="4"/>
      <c r="AQ69" s="4"/>
      <c r="AR69" s="4"/>
      <c r="AS69" s="4"/>
      <c r="AT69" s="4"/>
      <c r="AV69" s="4"/>
      <c r="AW69" s="4">
        <v>3767</v>
      </c>
      <c r="AX69" s="4">
        <v>9.9</v>
      </c>
      <c r="AY69" s="4">
        <v>13.4</v>
      </c>
      <c r="AZ69" s="4">
        <f t="shared" si="7"/>
        <v>28.99718843375976</v>
      </c>
      <c r="BA69" s="4">
        <v>25.1</v>
      </c>
      <c r="BB69" s="4">
        <v>6.1</v>
      </c>
      <c r="BC69" s="4">
        <v>4.5999999999999996</v>
      </c>
      <c r="BD69" s="4"/>
      <c r="BE69" s="4"/>
      <c r="BF69" s="4"/>
      <c r="BG69" s="4"/>
      <c r="BH69" s="4"/>
      <c r="BI69" s="4"/>
      <c r="BJ69" s="4"/>
      <c r="BK69" s="4"/>
      <c r="BL69" s="4"/>
      <c r="BM69" s="4">
        <f>3.2*0.5</f>
        <v>1.6</v>
      </c>
      <c r="BN69" s="4">
        <f>10.1*0.5</f>
        <v>5.05</v>
      </c>
      <c r="BO69" s="4">
        <f>60.6*0.5</f>
        <v>30.3</v>
      </c>
      <c r="BP69" s="4">
        <f>SUM(BM69:BO69)</f>
        <v>36.950000000000003</v>
      </c>
      <c r="BQ69" s="4">
        <f>BU69/BP69</f>
        <v>1.23680649526387</v>
      </c>
      <c r="BR69" s="4">
        <f>6.4*0.5</f>
        <v>3.2</v>
      </c>
      <c r="BS69" s="4">
        <f>67.1*0.5</f>
        <v>33.549999999999997</v>
      </c>
      <c r="BT69" s="4">
        <f>17.9*0.5</f>
        <v>8.9499999999999993</v>
      </c>
      <c r="BU69" s="4">
        <f>SUM(BR69:BT69)</f>
        <v>45.7</v>
      </c>
      <c r="BV69" s="4">
        <f>BU69+BP69</f>
        <v>82.65</v>
      </c>
      <c r="BW69" s="4"/>
      <c r="BX69" s="4"/>
      <c r="BY69" s="4"/>
      <c r="BZ69" s="4"/>
      <c r="CA69" s="4">
        <f>0.3*0.5</f>
        <v>0.15</v>
      </c>
      <c r="CB69" s="4">
        <f>1.1*0.5</f>
        <v>0.55000000000000004</v>
      </c>
      <c r="CC69" s="4">
        <f>6.9*0.5</f>
        <v>3.45</v>
      </c>
      <c r="CD69" s="4"/>
      <c r="CE69" s="4"/>
      <c r="CF69" s="4">
        <f>SUM(CA69:CD69)</f>
        <v>4.1500000000000004</v>
      </c>
      <c r="CG69" s="4"/>
      <c r="CH69" s="4"/>
      <c r="CI69" s="4"/>
      <c r="CJ69" s="4"/>
      <c r="CK69" s="4"/>
      <c r="CL69" s="4"/>
      <c r="CM69" s="4"/>
      <c r="CN69" s="4"/>
      <c r="CO69" s="4"/>
      <c r="CP69" s="2" t="s">
        <v>510</v>
      </c>
      <c r="CQ69" s="2" t="s">
        <v>254</v>
      </c>
      <c r="CR69" s="10" t="s">
        <v>511</v>
      </c>
      <c r="CS69" s="9" t="s">
        <v>256</v>
      </c>
    </row>
    <row r="70" spans="1:97" s="2" customFormat="1" ht="12.75">
      <c r="A70" s="2">
        <v>67</v>
      </c>
      <c r="B70" s="2" t="s">
        <v>114</v>
      </c>
      <c r="C70" s="2" t="s">
        <v>506</v>
      </c>
      <c r="D70" s="4" t="s">
        <v>507</v>
      </c>
      <c r="E70" s="2" t="s">
        <v>512</v>
      </c>
      <c r="F70" s="14" t="s">
        <v>513</v>
      </c>
      <c r="G70" s="2">
        <v>2008</v>
      </c>
      <c r="H70" s="2">
        <v>2009</v>
      </c>
      <c r="I70" s="2">
        <v>0</v>
      </c>
      <c r="J70" s="2">
        <v>0</v>
      </c>
      <c r="K70" s="2">
        <v>0</v>
      </c>
      <c r="L70" s="2">
        <v>0</v>
      </c>
      <c r="M70" s="2">
        <v>0</v>
      </c>
      <c r="N70" s="2">
        <v>0</v>
      </c>
      <c r="O70" s="4">
        <v>23</v>
      </c>
      <c r="P70" s="4">
        <f>(O70-5)*12</f>
        <v>216</v>
      </c>
      <c r="Q70" s="4">
        <v>2600</v>
      </c>
      <c r="R70" s="4">
        <v>0</v>
      </c>
      <c r="S70" s="4">
        <v>1135</v>
      </c>
      <c r="T70" s="4">
        <v>81.458330000000004</v>
      </c>
      <c r="U70" s="4">
        <v>1222</v>
      </c>
      <c r="V70" s="4">
        <v>0.65833299999999995</v>
      </c>
      <c r="W70" s="4"/>
      <c r="X70" s="4"/>
      <c r="Y70" s="4"/>
      <c r="Z70" s="4"/>
      <c r="AA70" s="4"/>
      <c r="AB70" s="4"/>
      <c r="AC70" s="4"/>
      <c r="AD70" s="4"/>
      <c r="AE70" s="4"/>
      <c r="AF70" s="4"/>
      <c r="AG70" s="4"/>
      <c r="AH70" s="4"/>
      <c r="AI70" s="4"/>
      <c r="AJ70" s="4"/>
      <c r="AK70" s="4"/>
      <c r="AL70" s="4"/>
      <c r="AM70" s="4"/>
      <c r="AN70" s="4"/>
      <c r="AO70" s="4"/>
      <c r="AP70" s="4"/>
      <c r="AQ70" s="4"/>
      <c r="AR70" s="4"/>
      <c r="AS70" s="4"/>
      <c r="AT70" s="4"/>
      <c r="AV70" s="4"/>
      <c r="AW70" s="4">
        <v>5000</v>
      </c>
      <c r="AX70" s="4">
        <v>9.6999999999999993</v>
      </c>
      <c r="AY70" s="4">
        <v>13.6</v>
      </c>
      <c r="AZ70" s="4">
        <f t="shared" si="7"/>
        <v>36.94905659703295</v>
      </c>
      <c r="BA70" s="4">
        <v>24.6</v>
      </c>
      <c r="BB70" s="4">
        <v>5.4</v>
      </c>
      <c r="BC70" s="4">
        <v>5.6</v>
      </c>
      <c r="BD70" s="4"/>
      <c r="BE70" s="4"/>
      <c r="BF70" s="4"/>
      <c r="BG70" s="4"/>
      <c r="BH70" s="4"/>
      <c r="BI70" s="4"/>
      <c r="BJ70" s="4"/>
      <c r="BK70" s="4"/>
      <c r="BL70" s="4"/>
      <c r="BM70" s="4">
        <f>3.8*0.5</f>
        <v>1.9</v>
      </c>
      <c r="BN70" s="4">
        <f>12.4*0.5</f>
        <v>6.2</v>
      </c>
      <c r="BO70" s="4">
        <f>75.7*0.5</f>
        <v>37.85</v>
      </c>
      <c r="BP70" s="4">
        <f>SUM(BM70:BO70)</f>
        <v>45.95</v>
      </c>
      <c r="BQ70" s="4">
        <f>BU70/BP70</f>
        <v>1.0228509249183895</v>
      </c>
      <c r="BR70" s="4">
        <f>6.2*0.5</f>
        <v>3.1</v>
      </c>
      <c r="BS70" s="4">
        <f>64.8*0.5</f>
        <v>32.4</v>
      </c>
      <c r="BT70" s="4">
        <f>23*0.5</f>
        <v>11.5</v>
      </c>
      <c r="BU70" s="4">
        <f>SUM(BR70:BT70)</f>
        <v>47</v>
      </c>
      <c r="BV70" s="4">
        <f>BU70+BP70</f>
        <v>92.95</v>
      </c>
      <c r="BW70" s="4"/>
      <c r="BX70" s="4"/>
      <c r="BY70" s="4"/>
      <c r="BZ70" s="4"/>
      <c r="CA70" s="4">
        <f>0.4*0.5</f>
        <v>0.2</v>
      </c>
      <c r="CB70" s="4">
        <f>1.6*0.5</f>
        <v>0.8</v>
      </c>
      <c r="CC70" s="4">
        <f>9.2*0.5</f>
        <v>4.5999999999999996</v>
      </c>
      <c r="CD70" s="4"/>
      <c r="CE70" s="4"/>
      <c r="CF70" s="4">
        <f>SUM(CA70:CD70)</f>
        <v>5.6</v>
      </c>
      <c r="CG70" s="4"/>
      <c r="CH70" s="4"/>
      <c r="CI70" s="4"/>
      <c r="CJ70" s="4"/>
      <c r="CK70" s="4"/>
      <c r="CL70" s="4"/>
      <c r="CM70" s="4"/>
      <c r="CN70" s="4"/>
      <c r="CO70" s="4"/>
      <c r="CP70" s="2" t="s">
        <v>510</v>
      </c>
      <c r="CQ70" s="2" t="s">
        <v>254</v>
      </c>
      <c r="CR70" s="10" t="s">
        <v>511</v>
      </c>
      <c r="CS70" s="9" t="s">
        <v>256</v>
      </c>
    </row>
    <row r="71" spans="1:97" s="2" customFormat="1" ht="12.75">
      <c r="A71" s="2">
        <v>68</v>
      </c>
      <c r="B71" s="2" t="s">
        <v>114</v>
      </c>
      <c r="C71" s="2" t="s">
        <v>506</v>
      </c>
      <c r="D71" s="4" t="s">
        <v>507</v>
      </c>
      <c r="E71" s="14" t="s">
        <v>514</v>
      </c>
      <c r="F71" s="14" t="s">
        <v>515</v>
      </c>
      <c r="G71" s="2">
        <v>2008</v>
      </c>
      <c r="H71" s="2">
        <v>2009</v>
      </c>
      <c r="I71" s="2">
        <v>0</v>
      </c>
      <c r="J71" s="2">
        <v>0</v>
      </c>
      <c r="K71" s="2">
        <v>0</v>
      </c>
      <c r="L71" s="2">
        <v>0</v>
      </c>
      <c r="M71" s="2">
        <v>0</v>
      </c>
      <c r="N71" s="2">
        <v>0</v>
      </c>
      <c r="O71" s="4">
        <v>23</v>
      </c>
      <c r="P71" s="4">
        <f>(O71-5)*12</f>
        <v>216</v>
      </c>
      <c r="Q71" s="4">
        <v>2600</v>
      </c>
      <c r="R71" s="4">
        <v>0</v>
      </c>
      <c r="S71" s="4">
        <v>1135</v>
      </c>
      <c r="T71" s="4">
        <v>81.458330000000004</v>
      </c>
      <c r="U71" s="4">
        <v>1222</v>
      </c>
      <c r="V71" s="4">
        <v>0.65833299999999995</v>
      </c>
      <c r="W71" s="4"/>
      <c r="X71" s="4"/>
      <c r="Y71" s="4"/>
      <c r="Z71" s="4"/>
      <c r="AA71" s="4"/>
      <c r="AB71" s="4"/>
      <c r="AC71" s="4"/>
      <c r="AD71" s="4"/>
      <c r="AE71" s="4"/>
      <c r="AF71" s="4"/>
      <c r="AG71" s="4"/>
      <c r="AH71" s="4"/>
      <c r="AI71" s="4"/>
      <c r="AJ71" s="4"/>
      <c r="AK71" s="4"/>
      <c r="AL71" s="4"/>
      <c r="AM71" s="4"/>
      <c r="AN71" s="4"/>
      <c r="AO71" s="4"/>
      <c r="AP71" s="4"/>
      <c r="AQ71" s="4"/>
      <c r="AR71" s="4"/>
      <c r="AS71" s="4"/>
      <c r="AT71" s="4"/>
      <c r="AV71" s="4"/>
      <c r="AW71" s="4">
        <v>5167</v>
      </c>
      <c r="AX71" s="4">
        <v>7.6</v>
      </c>
      <c r="AY71" s="4">
        <v>12.3</v>
      </c>
      <c r="AZ71" s="4">
        <f t="shared" si="7"/>
        <v>23.439887744146176</v>
      </c>
      <c r="BA71" s="4">
        <v>37.1</v>
      </c>
      <c r="BB71" s="4">
        <v>4.9000000000000004</v>
      </c>
      <c r="BC71" s="4">
        <v>1.9</v>
      </c>
      <c r="BD71" s="4"/>
      <c r="BE71" s="4"/>
      <c r="BF71" s="4"/>
      <c r="BG71" s="4"/>
      <c r="BH71" s="4"/>
      <c r="BI71" s="4"/>
      <c r="BJ71" s="4"/>
      <c r="BK71" s="4"/>
      <c r="BL71" s="4"/>
      <c r="BM71" s="4">
        <f>1.3*0.5</f>
        <v>0.65</v>
      </c>
      <c r="BN71" s="4">
        <f>5.5*0.5</f>
        <v>2.75</v>
      </c>
      <c r="BO71" s="4">
        <f>36.5*0.5</f>
        <v>18.25</v>
      </c>
      <c r="BP71" s="4">
        <f>SUM(BM71:BO71)</f>
        <v>21.65</v>
      </c>
      <c r="BQ71" s="4">
        <f>BU71/BP71</f>
        <v>1.9769053117782913</v>
      </c>
      <c r="BR71" s="4">
        <f>6.2*0.5</f>
        <v>3.1</v>
      </c>
      <c r="BS71" s="4">
        <f>64.5*0.5</f>
        <v>32.25</v>
      </c>
      <c r="BT71" s="4">
        <f>14.9*0.5</f>
        <v>7.45</v>
      </c>
      <c r="BU71" s="4">
        <f>SUM(BR71:BT71)</f>
        <v>42.800000000000004</v>
      </c>
      <c r="BV71" s="4">
        <f>BU71+BP71</f>
        <v>64.45</v>
      </c>
      <c r="BW71" s="4"/>
      <c r="BX71" s="4"/>
      <c r="BY71" s="4"/>
      <c r="BZ71" s="4"/>
      <c r="CA71" s="4">
        <f>0.2*0.5</f>
        <v>0.1</v>
      </c>
      <c r="CB71" s="4">
        <f>0.9*0.5</f>
        <v>0.45</v>
      </c>
      <c r="CC71" s="4">
        <f>6.4*0.5</f>
        <v>3.2</v>
      </c>
      <c r="CD71" s="4"/>
      <c r="CE71" s="4"/>
      <c r="CF71" s="4">
        <f>SUM(CA71:CD71)</f>
        <v>3.75</v>
      </c>
      <c r="CG71" s="4"/>
      <c r="CH71" s="4"/>
      <c r="CI71" s="4"/>
      <c r="CJ71" s="4"/>
      <c r="CK71" s="4"/>
      <c r="CL71" s="4"/>
      <c r="CM71" s="4"/>
      <c r="CN71" s="4"/>
      <c r="CO71" s="4"/>
      <c r="CP71" s="2" t="s">
        <v>510</v>
      </c>
      <c r="CQ71" s="2" t="s">
        <v>254</v>
      </c>
      <c r="CR71" s="10" t="s">
        <v>511</v>
      </c>
      <c r="CS71" s="9" t="s">
        <v>256</v>
      </c>
    </row>
    <row r="72" spans="1:97" s="2" customFormat="1" ht="12.75">
      <c r="A72" s="2">
        <v>69</v>
      </c>
      <c r="B72" s="2" t="s">
        <v>114</v>
      </c>
      <c r="C72" s="2" t="s">
        <v>516</v>
      </c>
      <c r="D72" s="4" t="s">
        <v>507</v>
      </c>
      <c r="E72" s="2" t="s">
        <v>517</v>
      </c>
      <c r="F72" s="2" t="s">
        <v>518</v>
      </c>
      <c r="G72" s="2">
        <v>2004</v>
      </c>
      <c r="H72" s="2">
        <v>2007</v>
      </c>
      <c r="I72" s="2">
        <v>1</v>
      </c>
      <c r="J72" s="2">
        <v>1</v>
      </c>
      <c r="K72" s="2">
        <v>1</v>
      </c>
      <c r="L72" s="2">
        <v>1</v>
      </c>
      <c r="M72" s="2">
        <v>0</v>
      </c>
      <c r="N72" s="2">
        <v>0</v>
      </c>
      <c r="O72" s="4">
        <f>(11+22)/2</f>
        <v>16.5</v>
      </c>
      <c r="P72" s="4">
        <f>(O72-5)*12</f>
        <v>138</v>
      </c>
      <c r="Q72" s="4">
        <f>(1900+2500)/2</f>
        <v>2200</v>
      </c>
      <c r="R72" s="4">
        <v>0</v>
      </c>
      <c r="S72" s="4">
        <f>(1200+1500)/2</f>
        <v>1350</v>
      </c>
      <c r="T72" s="4">
        <v>82.666669999999996</v>
      </c>
      <c r="U72" s="4">
        <v>1561.7</v>
      </c>
      <c r="V72" s="4">
        <v>1.2250000000000001</v>
      </c>
      <c r="W72" s="4"/>
      <c r="X72" s="4"/>
      <c r="Y72" s="4"/>
      <c r="Z72" s="4"/>
      <c r="AA72" s="4"/>
      <c r="AB72" s="4"/>
      <c r="AC72" s="4"/>
      <c r="AD72" s="4"/>
      <c r="AE72" s="4"/>
      <c r="AF72" s="4"/>
      <c r="AG72" s="4"/>
      <c r="AH72" s="4"/>
      <c r="AI72" s="4"/>
      <c r="AJ72" s="4"/>
      <c r="AK72" s="4"/>
      <c r="AL72" s="4"/>
      <c r="AM72" s="4"/>
      <c r="AN72" s="4"/>
      <c r="AO72" s="4"/>
      <c r="AP72" s="4"/>
      <c r="AQ72" s="4"/>
      <c r="AR72" s="4"/>
      <c r="AS72" s="4"/>
      <c r="AT72" s="4"/>
      <c r="AV72" s="4"/>
      <c r="AW72" s="4">
        <v>7050</v>
      </c>
      <c r="AX72" s="4">
        <v>8.66</v>
      </c>
      <c r="AY72" s="4"/>
      <c r="AZ72" s="4">
        <f t="shared" si="7"/>
        <v>41.525491584537221</v>
      </c>
      <c r="BA72" s="4"/>
      <c r="BB72" s="4"/>
      <c r="BC72" s="4"/>
      <c r="BD72" s="4">
        <v>45.44</v>
      </c>
      <c r="BE72" s="4">
        <v>48.15</v>
      </c>
      <c r="BF72" s="4">
        <v>46.28</v>
      </c>
      <c r="BG72" s="4"/>
      <c r="BH72" s="4"/>
      <c r="BI72" s="4"/>
      <c r="BJ72" s="4"/>
      <c r="BK72" s="4"/>
      <c r="BL72" s="4"/>
      <c r="BM72" s="4">
        <f>3.19*BD72/100</f>
        <v>1.4495359999999999</v>
      </c>
      <c r="BN72" s="4">
        <f>10.19*BE72/100</f>
        <v>4.906485</v>
      </c>
      <c r="BO72" s="4">
        <f>71.94*BF72/100</f>
        <v>33.293831999999995</v>
      </c>
      <c r="BP72" s="4">
        <f>BM72+BN72+BO72</f>
        <v>39.649852999999993</v>
      </c>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2" t="s">
        <v>519</v>
      </c>
      <c r="CQ72" s="2" t="s">
        <v>254</v>
      </c>
      <c r="CR72" s="10" t="s">
        <v>520</v>
      </c>
      <c r="CS72" s="9" t="s">
        <v>256</v>
      </c>
    </row>
    <row r="73" spans="1:97" s="2" customFormat="1" ht="14.25">
      <c r="A73" s="2">
        <v>70</v>
      </c>
      <c r="B73" s="2" t="s">
        <v>114</v>
      </c>
      <c r="C73" s="2" t="s">
        <v>521</v>
      </c>
      <c r="D73" s="4" t="s">
        <v>116</v>
      </c>
      <c r="E73" s="2" t="s">
        <v>522</v>
      </c>
      <c r="F73" s="2" t="s">
        <v>523</v>
      </c>
      <c r="G73" s="2">
        <v>2007</v>
      </c>
      <c r="H73" s="2">
        <v>2007</v>
      </c>
      <c r="I73" s="2">
        <v>0</v>
      </c>
      <c r="J73" s="2">
        <v>0</v>
      </c>
      <c r="K73" s="2">
        <v>0</v>
      </c>
      <c r="L73" s="2">
        <v>0</v>
      </c>
      <c r="M73" s="2">
        <v>0</v>
      </c>
      <c r="N73" s="2">
        <v>0</v>
      </c>
      <c r="O73" s="4">
        <v>20.3</v>
      </c>
      <c r="P73" s="4">
        <v>183.60000000000002</v>
      </c>
      <c r="Q73" s="4">
        <v>3389</v>
      </c>
      <c r="R73" s="4">
        <v>0</v>
      </c>
      <c r="S73" s="4">
        <v>667</v>
      </c>
      <c r="T73" s="4">
        <v>85.2</v>
      </c>
      <c r="U73" s="4">
        <v>1599.1</v>
      </c>
      <c r="V73" s="4">
        <v>1.26</v>
      </c>
      <c r="W73" s="4"/>
      <c r="X73" s="4">
        <f>(3.75+3.8)/2</f>
        <v>3.7749999999999999</v>
      </c>
      <c r="Y73" s="4">
        <f>(4.6+4.6)/2</f>
        <v>4.5999999999999996</v>
      </c>
      <c r="Z73" s="4">
        <f>(0.55+0.4)/2</f>
        <v>0.47500000000000003</v>
      </c>
      <c r="AA73" s="4"/>
      <c r="AB73" s="4"/>
      <c r="AC73" s="4">
        <f>0.4*(16*5+30*2)/30</f>
        <v>1.8666666666666667</v>
      </c>
      <c r="AD73" s="4"/>
      <c r="AE73" s="4">
        <f>(2.42+2.34)/2</f>
        <v>2.38</v>
      </c>
      <c r="AF73" s="4">
        <f>(0.5877+0.4611)/2</f>
        <v>0.52439999999999998</v>
      </c>
      <c r="AG73" s="4">
        <f>(1.2162+1.2237)/2</f>
        <v>1.2199499999999999</v>
      </c>
      <c r="AH73" s="4">
        <f>(0.7169+0.8386)/2</f>
        <v>0.77774999999999994</v>
      </c>
      <c r="AI73" s="4">
        <f>(36+38)/2</f>
        <v>37</v>
      </c>
      <c r="AJ73" s="4">
        <f>(36.8+33)/2</f>
        <v>34.9</v>
      </c>
      <c r="AK73" s="4">
        <f>(27.2+37.2)/2</f>
        <v>32.200000000000003</v>
      </c>
      <c r="AL73" s="4"/>
      <c r="AM73" s="4"/>
      <c r="AN73" s="4"/>
      <c r="AO73" s="4"/>
      <c r="AP73" s="4"/>
      <c r="AQ73" s="4"/>
      <c r="AR73" s="4"/>
      <c r="AS73" s="4"/>
      <c r="AT73" s="4"/>
      <c r="AV73" s="4"/>
      <c r="AW73" s="4">
        <v>7933</v>
      </c>
      <c r="AX73" s="4">
        <v>6.8</v>
      </c>
      <c r="AY73" s="4">
        <v>10.3</v>
      </c>
      <c r="AZ73" s="4">
        <f t="shared" si="7"/>
        <v>28.810126226192569</v>
      </c>
      <c r="BA73" s="4"/>
      <c r="BB73" s="4"/>
      <c r="BC73" s="4"/>
      <c r="BD73" s="4">
        <v>45.44</v>
      </c>
      <c r="BE73" s="4">
        <v>48.15</v>
      </c>
      <c r="BF73" s="4">
        <v>46.28</v>
      </c>
      <c r="BG73" s="4">
        <v>44.87</v>
      </c>
      <c r="BH73" s="4">
        <v>44.87</v>
      </c>
      <c r="BI73" s="4">
        <v>43.54</v>
      </c>
      <c r="BJ73" s="4"/>
      <c r="BK73" s="4">
        <v>3.52</v>
      </c>
      <c r="BL73" s="4">
        <v>2.27</v>
      </c>
      <c r="BM73" s="4">
        <f>3.6*BD73/100</f>
        <v>1.63584</v>
      </c>
      <c r="BN73" s="4">
        <f>9.7*BE73/100</f>
        <v>4.6705499999999995</v>
      </c>
      <c r="BO73" s="4">
        <f>43.1*BF73/100</f>
        <v>19.946680000000001</v>
      </c>
      <c r="BP73" s="4">
        <f>BM73+BN73+BO73</f>
        <v>26.253070000000001</v>
      </c>
      <c r="BQ73" s="4">
        <f>BU73/BP73</f>
        <v>0.133317741506041</v>
      </c>
      <c r="BR73" s="4">
        <v>0.9</v>
      </c>
      <c r="BS73" s="4">
        <v>0.5</v>
      </c>
      <c r="BT73" s="4">
        <v>2.1</v>
      </c>
      <c r="BU73" s="4">
        <f>SUM(BR73:BT73)</f>
        <v>3.5</v>
      </c>
      <c r="BV73" s="4">
        <f>BU73+BP73</f>
        <v>29.753070000000001</v>
      </c>
      <c r="BW73" s="4"/>
      <c r="BX73" s="4">
        <v>172.8</v>
      </c>
      <c r="BY73" s="4"/>
      <c r="BZ73" s="4">
        <f>BV73+BX73</f>
        <v>202.55307000000002</v>
      </c>
      <c r="CA73" s="4"/>
      <c r="CB73" s="4"/>
      <c r="CC73" s="4"/>
      <c r="CD73" s="4"/>
      <c r="CE73" s="4"/>
      <c r="CF73" s="4">
        <f>CF75</f>
        <v>4</v>
      </c>
      <c r="CG73" s="4"/>
      <c r="CH73" s="4"/>
      <c r="CI73" s="4"/>
      <c r="CJ73" s="4"/>
      <c r="CK73" s="4"/>
      <c r="CL73" s="4"/>
      <c r="CM73" s="4"/>
      <c r="CN73" s="4"/>
      <c r="CO73" s="4"/>
      <c r="CP73" s="2" t="s">
        <v>504</v>
      </c>
      <c r="CQ73" s="2" t="s">
        <v>254</v>
      </c>
      <c r="CR73" s="10" t="s">
        <v>505</v>
      </c>
      <c r="CS73" s="9" t="s">
        <v>256</v>
      </c>
    </row>
    <row r="74" spans="1:97" s="2" customFormat="1" ht="12.75">
      <c r="A74" s="2">
        <v>71</v>
      </c>
      <c r="B74" s="2" t="s">
        <v>114</v>
      </c>
      <c r="C74" s="2" t="s">
        <v>521</v>
      </c>
      <c r="D74" s="4" t="s">
        <v>116</v>
      </c>
      <c r="E74" s="2" t="s">
        <v>524</v>
      </c>
      <c r="F74" s="2" t="s">
        <v>525</v>
      </c>
      <c r="G74" s="2">
        <v>2007</v>
      </c>
      <c r="H74" s="2">
        <v>2009</v>
      </c>
      <c r="I74" s="2">
        <v>0</v>
      </c>
      <c r="J74" s="2">
        <v>0</v>
      </c>
      <c r="K74" s="2">
        <v>0</v>
      </c>
      <c r="L74" s="2">
        <v>0</v>
      </c>
      <c r="M74" s="2">
        <v>0</v>
      </c>
      <c r="N74" s="2">
        <v>0</v>
      </c>
      <c r="O74" s="4">
        <v>20.3</v>
      </c>
      <c r="P74" s="4">
        <v>183.60000000000002</v>
      </c>
      <c r="Q74" s="4">
        <v>3389</v>
      </c>
      <c r="R74" s="4">
        <v>0</v>
      </c>
      <c r="S74" s="4">
        <v>667</v>
      </c>
      <c r="T74" s="4">
        <v>85.2</v>
      </c>
      <c r="U74" s="4">
        <v>1657.133</v>
      </c>
      <c r="V74" s="4">
        <v>1.2944439999999999</v>
      </c>
      <c r="W74" s="4"/>
      <c r="X74" s="4"/>
      <c r="Y74" s="4"/>
      <c r="Z74" s="4"/>
      <c r="AA74" s="4"/>
      <c r="AB74" s="4"/>
      <c r="AC74" s="4"/>
      <c r="AD74" s="4"/>
      <c r="AE74" s="4"/>
      <c r="AF74" s="4"/>
      <c r="AG74" s="4"/>
      <c r="AH74" s="4"/>
      <c r="AI74" s="4"/>
      <c r="AJ74" s="4"/>
      <c r="AK74" s="4"/>
      <c r="AL74" s="4"/>
      <c r="AM74" s="4"/>
      <c r="AN74" s="4"/>
      <c r="AO74" s="4"/>
      <c r="AP74" s="4"/>
      <c r="AQ74" s="4"/>
      <c r="AR74" s="4"/>
      <c r="AS74" s="4"/>
      <c r="AT74" s="4"/>
      <c r="AV74" s="4"/>
      <c r="AW74" s="4">
        <v>11467</v>
      </c>
      <c r="AX74" s="4">
        <v>5.9</v>
      </c>
      <c r="AY74" s="4">
        <v>9.5</v>
      </c>
      <c r="AZ74" s="4">
        <f>(AX74/2)^2*PI()*AW74/10000</f>
        <v>31.350445534820999</v>
      </c>
      <c r="BA74" s="4"/>
      <c r="BB74" s="4"/>
      <c r="BC74" s="4"/>
      <c r="BD74" s="4">
        <v>45.44</v>
      </c>
      <c r="BE74" s="4">
        <v>48.15</v>
      </c>
      <c r="BF74" s="4">
        <v>46.28</v>
      </c>
      <c r="BG74" s="4"/>
      <c r="BH74" s="4"/>
      <c r="BI74" s="4"/>
      <c r="BJ74" s="4"/>
      <c r="BK74" s="4"/>
      <c r="BL74" s="4"/>
      <c r="BM74" s="4"/>
      <c r="BN74" s="4"/>
      <c r="BO74" s="4"/>
      <c r="BP74" s="4">
        <v>29.5</v>
      </c>
      <c r="BQ74" s="4"/>
      <c r="BR74" s="4"/>
      <c r="BS74" s="4"/>
      <c r="BT74" s="4"/>
      <c r="BU74" s="4"/>
      <c r="BV74" s="4"/>
      <c r="BW74" s="4"/>
      <c r="BX74" s="4"/>
      <c r="BY74" s="4"/>
      <c r="BZ74" s="4"/>
      <c r="CA74" s="4"/>
      <c r="CB74" s="4"/>
      <c r="CC74" s="4"/>
      <c r="CD74" s="4"/>
      <c r="CE74" s="4"/>
      <c r="CF74" s="4">
        <f>(4.1+1.7)/2</f>
        <v>2.9</v>
      </c>
      <c r="CG74" s="4"/>
      <c r="CH74" s="4"/>
      <c r="CI74" s="4"/>
      <c r="CJ74" s="4"/>
      <c r="CK74" s="4"/>
      <c r="CL74" s="4"/>
      <c r="CM74" s="4"/>
      <c r="CN74" s="4"/>
      <c r="CO74" s="4"/>
      <c r="CP74" s="2" t="s">
        <v>526</v>
      </c>
      <c r="CQ74" s="2" t="s">
        <v>254</v>
      </c>
      <c r="CR74" s="10" t="s">
        <v>527</v>
      </c>
      <c r="CS74" s="9" t="s">
        <v>256</v>
      </c>
    </row>
    <row r="75" spans="1:97" s="2" customFormat="1" ht="12.75">
      <c r="A75" s="2">
        <v>72</v>
      </c>
      <c r="B75" s="2" t="s">
        <v>114</v>
      </c>
      <c r="C75" s="2" t="s">
        <v>521</v>
      </c>
      <c r="D75" s="4" t="s">
        <v>250</v>
      </c>
      <c r="E75" s="2" t="s">
        <v>528</v>
      </c>
      <c r="F75" s="2" t="s">
        <v>529</v>
      </c>
      <c r="G75" s="2">
        <v>2007</v>
      </c>
      <c r="H75" s="2">
        <v>2009</v>
      </c>
      <c r="I75" s="2">
        <v>1</v>
      </c>
      <c r="J75" s="2">
        <v>0</v>
      </c>
      <c r="K75" s="2">
        <v>1</v>
      </c>
      <c r="L75" s="2">
        <v>0</v>
      </c>
      <c r="M75" s="2">
        <v>1</v>
      </c>
      <c r="N75" s="2">
        <v>0</v>
      </c>
      <c r="O75" s="4">
        <v>20.3</v>
      </c>
      <c r="P75" s="4">
        <v>183.60000000000002</v>
      </c>
      <c r="Q75" s="4">
        <v>3389</v>
      </c>
      <c r="R75" s="4">
        <v>0</v>
      </c>
      <c r="S75" s="4">
        <v>667</v>
      </c>
      <c r="T75" s="4">
        <v>85.2</v>
      </c>
      <c r="U75" s="4">
        <v>1657.133</v>
      </c>
      <c r="V75" s="4">
        <v>1.2944439999999999</v>
      </c>
      <c r="W75" s="4"/>
      <c r="X75" s="4"/>
      <c r="Y75" s="4"/>
      <c r="Z75" s="4"/>
      <c r="AA75" s="4"/>
      <c r="AB75" s="4"/>
      <c r="AC75" s="4"/>
      <c r="AD75" s="4"/>
      <c r="AE75" s="4"/>
      <c r="AF75" s="4"/>
      <c r="AG75" s="4"/>
      <c r="AH75" s="4"/>
      <c r="AI75" s="4"/>
      <c r="AJ75" s="4"/>
      <c r="AK75" s="4"/>
      <c r="AL75" s="4"/>
      <c r="AM75" s="4"/>
      <c r="AN75" s="4"/>
      <c r="AO75" s="4"/>
      <c r="AP75" s="4"/>
      <c r="AQ75" s="4"/>
      <c r="AR75" s="4"/>
      <c r="AS75" s="4"/>
      <c r="AT75" s="4"/>
      <c r="AV75" s="4"/>
      <c r="AW75" s="4">
        <v>5567</v>
      </c>
      <c r="AX75" s="4">
        <v>4.8</v>
      </c>
      <c r="AY75" s="4">
        <v>8</v>
      </c>
      <c r="AZ75" s="4">
        <f t="shared" si="7"/>
        <v>10.073805870259802</v>
      </c>
      <c r="BA75" s="4"/>
      <c r="BB75" s="4"/>
      <c r="BC75" s="4"/>
      <c r="BD75" s="4">
        <v>45.44</v>
      </c>
      <c r="BE75" s="4">
        <v>48.15</v>
      </c>
      <c r="BF75" s="4">
        <v>46.28</v>
      </c>
      <c r="BG75" s="4"/>
      <c r="BH75" s="4"/>
      <c r="BI75" s="4"/>
      <c r="BJ75" s="4"/>
      <c r="BK75" s="4"/>
      <c r="BL75" s="4"/>
      <c r="BM75" s="4"/>
      <c r="BN75" s="4"/>
      <c r="BO75" s="4"/>
      <c r="BP75" s="4">
        <v>8</v>
      </c>
      <c r="BQ75" s="4"/>
      <c r="BR75" s="4"/>
      <c r="BS75" s="4"/>
      <c r="BT75" s="4"/>
      <c r="BU75" s="4"/>
      <c r="BV75" s="4"/>
      <c r="BW75" s="4"/>
      <c r="BX75" s="4"/>
      <c r="BY75" s="4"/>
      <c r="BZ75" s="4"/>
      <c r="CA75" s="4"/>
      <c r="CB75" s="4"/>
      <c r="CC75" s="4"/>
      <c r="CD75" s="4"/>
      <c r="CE75" s="4"/>
      <c r="CF75" s="4">
        <f>(2.2+5.8)/2</f>
        <v>4</v>
      </c>
      <c r="CG75" s="4"/>
      <c r="CH75" s="4"/>
      <c r="CI75" s="4"/>
      <c r="CJ75" s="4"/>
      <c r="CK75" s="4"/>
      <c r="CL75" s="4"/>
      <c r="CM75" s="4"/>
      <c r="CN75" s="4"/>
      <c r="CO75" s="4"/>
      <c r="CP75" s="2" t="s">
        <v>526</v>
      </c>
      <c r="CQ75" s="2" t="s">
        <v>254</v>
      </c>
      <c r="CR75" s="10" t="s">
        <v>527</v>
      </c>
      <c r="CS75" s="9" t="s">
        <v>256</v>
      </c>
    </row>
    <row r="76" spans="1:97" s="2" customFormat="1" ht="12.75">
      <c r="A76" s="2">
        <v>73</v>
      </c>
      <c r="B76" s="2" t="s">
        <v>114</v>
      </c>
      <c r="C76" s="2" t="s">
        <v>521</v>
      </c>
      <c r="D76" s="4" t="s">
        <v>116</v>
      </c>
      <c r="E76" s="2" t="s">
        <v>530</v>
      </c>
      <c r="F76" s="2" t="s">
        <v>531</v>
      </c>
      <c r="G76" s="2">
        <v>2007</v>
      </c>
      <c r="H76" s="2">
        <v>2009</v>
      </c>
      <c r="I76" s="2">
        <v>1</v>
      </c>
      <c r="J76" s="2">
        <v>0</v>
      </c>
      <c r="K76" s="2">
        <v>1</v>
      </c>
      <c r="L76" s="2">
        <v>0</v>
      </c>
      <c r="M76" s="2">
        <v>0</v>
      </c>
      <c r="N76" s="2">
        <v>0</v>
      </c>
      <c r="O76" s="4">
        <v>20.3</v>
      </c>
      <c r="P76" s="4">
        <v>183.60000000000002</v>
      </c>
      <c r="Q76" s="4">
        <v>3389</v>
      </c>
      <c r="R76" s="4">
        <v>0</v>
      </c>
      <c r="S76" s="4">
        <v>667</v>
      </c>
      <c r="T76" s="4">
        <v>85.2</v>
      </c>
      <c r="U76" s="4">
        <v>1657.133</v>
      </c>
      <c r="V76" s="4">
        <v>1.2944439999999999</v>
      </c>
      <c r="W76" s="4"/>
      <c r="X76" s="4"/>
      <c r="Y76" s="4"/>
      <c r="Z76" s="4"/>
      <c r="AA76" s="4"/>
      <c r="AB76" s="4"/>
      <c r="AC76" s="4"/>
      <c r="AD76" s="4"/>
      <c r="AE76" s="4"/>
      <c r="AF76" s="4"/>
      <c r="AG76" s="4"/>
      <c r="AH76" s="4"/>
      <c r="AI76" s="4"/>
      <c r="AJ76" s="4"/>
      <c r="AK76" s="4"/>
      <c r="AL76" s="4"/>
      <c r="AM76" s="4"/>
      <c r="AN76" s="4"/>
      <c r="AO76" s="4"/>
      <c r="AP76" s="4"/>
      <c r="AQ76" s="4"/>
      <c r="AR76" s="4"/>
      <c r="AS76" s="4"/>
      <c r="AT76" s="4"/>
      <c r="AV76" s="4"/>
      <c r="AW76" s="4">
        <v>10633</v>
      </c>
      <c r="AX76" s="4">
        <v>5.9</v>
      </c>
      <c r="AY76" s="4">
        <v>9.5</v>
      </c>
      <c r="AZ76" s="4">
        <f t="shared" si="7"/>
        <v>29.070313715161038</v>
      </c>
      <c r="BA76" s="4"/>
      <c r="BB76" s="4"/>
      <c r="BC76" s="4"/>
      <c r="BD76" s="4">
        <v>45.44</v>
      </c>
      <c r="BE76" s="4">
        <v>48.15</v>
      </c>
      <c r="BF76" s="4">
        <v>46.28</v>
      </c>
      <c r="BG76" s="4"/>
      <c r="BH76" s="4"/>
      <c r="BI76" s="4"/>
      <c r="BJ76" s="4"/>
      <c r="BK76" s="4"/>
      <c r="BL76" s="4"/>
      <c r="BM76" s="4"/>
      <c r="BN76" s="4"/>
      <c r="BO76" s="4"/>
      <c r="BP76" s="4">
        <v>28.4</v>
      </c>
      <c r="BQ76" s="4"/>
      <c r="BR76" s="4"/>
      <c r="BS76" s="4"/>
      <c r="BT76" s="4"/>
      <c r="BU76" s="4"/>
      <c r="BV76" s="4"/>
      <c r="BW76" s="4"/>
      <c r="BX76" s="4"/>
      <c r="BY76" s="4"/>
      <c r="BZ76" s="4"/>
      <c r="CA76" s="4"/>
      <c r="CB76" s="4"/>
      <c r="CC76" s="4"/>
      <c r="CD76" s="4"/>
      <c r="CE76" s="4"/>
      <c r="CF76" s="4">
        <f>(6.7+1.5)/2</f>
        <v>4.0999999999999996</v>
      </c>
      <c r="CG76" s="4"/>
      <c r="CH76" s="4"/>
      <c r="CI76" s="4"/>
      <c r="CJ76" s="4"/>
      <c r="CK76" s="4"/>
      <c r="CL76" s="4"/>
      <c r="CM76" s="4"/>
      <c r="CN76" s="4"/>
      <c r="CO76" s="4"/>
      <c r="CP76" s="2" t="s">
        <v>526</v>
      </c>
      <c r="CQ76" s="2" t="s">
        <v>254</v>
      </c>
      <c r="CR76" s="10" t="s">
        <v>527</v>
      </c>
      <c r="CS76" s="9" t="s">
        <v>256</v>
      </c>
    </row>
    <row r="77" spans="1:97" s="2" customFormat="1" ht="12.75">
      <c r="A77" s="2">
        <v>74</v>
      </c>
      <c r="B77" s="2" t="s">
        <v>114</v>
      </c>
      <c r="C77" s="2" t="s">
        <v>532</v>
      </c>
      <c r="D77" s="4" t="s">
        <v>116</v>
      </c>
      <c r="E77" s="2" t="s">
        <v>533</v>
      </c>
      <c r="F77" s="2" t="s">
        <v>534</v>
      </c>
      <c r="G77" s="2">
        <v>2004</v>
      </c>
      <c r="H77" s="2">
        <v>2007</v>
      </c>
      <c r="I77" s="2">
        <v>1</v>
      </c>
      <c r="J77" s="2">
        <v>1</v>
      </c>
      <c r="K77" s="2">
        <v>1</v>
      </c>
      <c r="L77" s="2">
        <v>1</v>
      </c>
      <c r="M77" s="2">
        <v>0</v>
      </c>
      <c r="N77" s="2">
        <v>0</v>
      </c>
      <c r="O77" s="4">
        <f>(11+22)/2</f>
        <v>16.5</v>
      </c>
      <c r="P77" s="4">
        <f t="shared" ref="P77:P101" si="8">(O77-5)*12</f>
        <v>138</v>
      </c>
      <c r="Q77" s="4">
        <f>(1900+2500)/2</f>
        <v>2200</v>
      </c>
      <c r="R77" s="4">
        <v>0</v>
      </c>
      <c r="S77" s="4">
        <f>(600+900)/2</f>
        <v>750</v>
      </c>
      <c r="T77" s="4">
        <v>82.666669999999996</v>
      </c>
      <c r="U77" s="4">
        <v>1561.7</v>
      </c>
      <c r="V77" s="4">
        <v>1.2250000000000001</v>
      </c>
      <c r="W77" s="4"/>
      <c r="X77" s="4"/>
      <c r="Y77" s="4"/>
      <c r="Z77" s="4"/>
      <c r="AA77" s="4"/>
      <c r="AB77" s="4"/>
      <c r="AC77" s="4"/>
      <c r="AD77" s="4"/>
      <c r="AE77" s="4"/>
      <c r="AF77" s="4"/>
      <c r="AG77" s="4"/>
      <c r="AH77" s="4"/>
      <c r="AI77" s="4"/>
      <c r="AJ77" s="4"/>
      <c r="AK77" s="4"/>
      <c r="AL77" s="4"/>
      <c r="AM77" s="4"/>
      <c r="AN77" s="4"/>
      <c r="AO77" s="4"/>
      <c r="AP77" s="4"/>
      <c r="AQ77" s="4"/>
      <c r="AR77" s="4"/>
      <c r="AS77" s="4"/>
      <c r="AT77" s="4"/>
      <c r="AV77" s="4"/>
      <c r="AW77" s="4">
        <v>6996</v>
      </c>
      <c r="AX77" s="4">
        <v>8.73</v>
      </c>
      <c r="AY77" s="4"/>
      <c r="AZ77" s="4">
        <f t="shared" si="7"/>
        <v>41.876287192360493</v>
      </c>
      <c r="BA77" s="4"/>
      <c r="BB77" s="4"/>
      <c r="BC77" s="4"/>
      <c r="BD77" s="4">
        <v>45.44</v>
      </c>
      <c r="BE77" s="4">
        <v>48.15</v>
      </c>
      <c r="BF77" s="4">
        <v>46.28</v>
      </c>
      <c r="BG77" s="4"/>
      <c r="BH77" s="4"/>
      <c r="BI77" s="4"/>
      <c r="BJ77" s="4"/>
      <c r="BK77" s="4"/>
      <c r="BL77" s="4"/>
      <c r="BM77" s="4">
        <f>3.65*BD77/100</f>
        <v>1.65856</v>
      </c>
      <c r="BN77" s="4">
        <f>11.33*BE77/100</f>
        <v>5.4553949999999993</v>
      </c>
      <c r="BO77" s="4">
        <f>79.42*BF77/100</f>
        <v>36.755575999999998</v>
      </c>
      <c r="BP77" s="4">
        <f>BM77+BN77+BO77</f>
        <v>43.869530999999995</v>
      </c>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2" t="s">
        <v>535</v>
      </c>
      <c r="CQ77" s="2" t="s">
        <v>254</v>
      </c>
      <c r="CR77" s="10" t="s">
        <v>520</v>
      </c>
      <c r="CS77" s="9" t="s">
        <v>256</v>
      </c>
    </row>
    <row r="78" spans="1:97" s="2" customFormat="1" ht="12.75">
      <c r="A78" s="2">
        <v>75</v>
      </c>
      <c r="B78" s="2" t="s">
        <v>114</v>
      </c>
      <c r="C78" s="2" t="s">
        <v>536</v>
      </c>
      <c r="D78" s="4" t="s">
        <v>507</v>
      </c>
      <c r="E78" s="2" t="s">
        <v>537</v>
      </c>
      <c r="F78" s="2" t="s">
        <v>538</v>
      </c>
      <c r="G78" s="2">
        <v>2004</v>
      </c>
      <c r="H78" s="2">
        <v>2007</v>
      </c>
      <c r="I78" s="2">
        <v>1</v>
      </c>
      <c r="J78" s="2">
        <v>1</v>
      </c>
      <c r="K78" s="2">
        <v>1</v>
      </c>
      <c r="L78" s="2">
        <v>1</v>
      </c>
      <c r="M78" s="2">
        <v>0</v>
      </c>
      <c r="N78" s="2">
        <v>0</v>
      </c>
      <c r="O78" s="4">
        <f>(11+22)/2</f>
        <v>16.5</v>
      </c>
      <c r="P78" s="4">
        <f t="shared" si="8"/>
        <v>138</v>
      </c>
      <c r="Q78" s="4">
        <f>(1900+2500)/2</f>
        <v>2200</v>
      </c>
      <c r="R78" s="4">
        <v>0</v>
      </c>
      <c r="S78" s="4">
        <f>(900+1200)/2</f>
        <v>1050</v>
      </c>
      <c r="T78" s="4">
        <v>82.666669999999996</v>
      </c>
      <c r="U78" s="4">
        <v>1561.7</v>
      </c>
      <c r="V78" s="4">
        <v>1.2250000000000001</v>
      </c>
      <c r="W78" s="4"/>
      <c r="X78" s="4"/>
      <c r="Y78" s="4"/>
      <c r="Z78" s="4"/>
      <c r="AA78" s="4"/>
      <c r="AB78" s="4"/>
      <c r="AC78" s="4"/>
      <c r="AD78" s="4"/>
      <c r="AE78" s="4"/>
      <c r="AF78" s="4"/>
      <c r="AG78" s="4"/>
      <c r="AH78" s="4"/>
      <c r="AI78" s="4"/>
      <c r="AJ78" s="4"/>
      <c r="AK78" s="4"/>
      <c r="AL78" s="4"/>
      <c r="AM78" s="4"/>
      <c r="AN78" s="4"/>
      <c r="AO78" s="4"/>
      <c r="AP78" s="4"/>
      <c r="AQ78" s="4"/>
      <c r="AR78" s="4"/>
      <c r="AS78" s="4"/>
      <c r="AT78" s="4"/>
      <c r="AV78" s="4"/>
      <c r="AW78" s="4">
        <v>7188</v>
      </c>
      <c r="AX78" s="4">
        <v>8.8699999999999992</v>
      </c>
      <c r="AY78" s="4"/>
      <c r="AZ78" s="4">
        <f t="shared" si="7"/>
        <v>44.41658755718521</v>
      </c>
      <c r="BA78" s="4"/>
      <c r="BB78" s="4"/>
      <c r="BC78" s="4"/>
      <c r="BD78" s="4">
        <v>45.44</v>
      </c>
      <c r="BE78" s="4">
        <v>48.15</v>
      </c>
      <c r="BF78" s="4">
        <v>46.28</v>
      </c>
      <c r="BG78" s="4"/>
      <c r="BH78" s="4"/>
      <c r="BI78" s="4"/>
      <c r="BJ78" s="4"/>
      <c r="BK78" s="4"/>
      <c r="BL78" s="4"/>
      <c r="BM78" s="4">
        <f>2.89*BD78/100</f>
        <v>1.3132159999999999</v>
      </c>
      <c r="BN78" s="4">
        <f>9.91*BE78/100</f>
        <v>4.7716649999999996</v>
      </c>
      <c r="BO78" s="4">
        <f>67.23*BF78/100</f>
        <v>31.114044000000003</v>
      </c>
      <c r="BP78" s="4">
        <f>BM78+BN78+BO78</f>
        <v>37.198925000000003</v>
      </c>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2" t="s">
        <v>519</v>
      </c>
      <c r="CQ78" s="2" t="s">
        <v>254</v>
      </c>
      <c r="CR78" s="10" t="s">
        <v>520</v>
      </c>
      <c r="CS78" s="9" t="s">
        <v>256</v>
      </c>
    </row>
    <row r="79" spans="1:97" s="2" customFormat="1" ht="12.75">
      <c r="A79" s="2">
        <v>76</v>
      </c>
      <c r="B79" s="2" t="s">
        <v>114</v>
      </c>
      <c r="C79" s="2" t="s">
        <v>506</v>
      </c>
      <c r="D79" s="4" t="s">
        <v>507</v>
      </c>
      <c r="E79" s="2" t="s">
        <v>539</v>
      </c>
      <c r="F79" s="2" t="s">
        <v>540</v>
      </c>
      <c r="G79" s="2">
        <v>2008</v>
      </c>
      <c r="H79" s="2">
        <v>2009</v>
      </c>
      <c r="I79" s="2">
        <v>1</v>
      </c>
      <c r="J79" s="2">
        <v>1</v>
      </c>
      <c r="K79" s="2">
        <v>0</v>
      </c>
      <c r="L79" s="2">
        <v>1</v>
      </c>
      <c r="M79" s="2">
        <v>0</v>
      </c>
      <c r="N79" s="2">
        <v>0</v>
      </c>
      <c r="O79" s="4">
        <v>23</v>
      </c>
      <c r="P79" s="4">
        <f t="shared" si="8"/>
        <v>216</v>
      </c>
      <c r="Q79" s="4">
        <v>2600</v>
      </c>
      <c r="R79" s="4">
        <v>0</v>
      </c>
      <c r="S79" s="4">
        <v>1135</v>
      </c>
      <c r="T79" s="4">
        <v>81.458330000000004</v>
      </c>
      <c r="U79" s="4">
        <v>1222</v>
      </c>
      <c r="V79" s="4">
        <v>0.65833299999999995</v>
      </c>
      <c r="W79" s="4"/>
      <c r="X79" s="4"/>
      <c r="Y79" s="4"/>
      <c r="Z79" s="4"/>
      <c r="AA79" s="4"/>
      <c r="AB79" s="4"/>
      <c r="AC79" s="4"/>
      <c r="AD79" s="4"/>
      <c r="AE79" s="4"/>
      <c r="AF79" s="4"/>
      <c r="AG79" s="4"/>
      <c r="AH79" s="4"/>
      <c r="AI79" s="4"/>
      <c r="AJ79" s="4"/>
      <c r="AK79" s="4"/>
      <c r="AL79" s="4"/>
      <c r="AM79" s="4"/>
      <c r="AN79" s="4"/>
      <c r="AO79" s="4"/>
      <c r="AP79" s="4"/>
      <c r="AQ79" s="4"/>
      <c r="AR79" s="4"/>
      <c r="AS79" s="4"/>
      <c r="AT79" s="4"/>
      <c r="AV79" s="4"/>
      <c r="AW79" s="4">
        <v>5167</v>
      </c>
      <c r="AX79" s="4">
        <v>8.9</v>
      </c>
      <c r="AY79" s="4">
        <v>12.6</v>
      </c>
      <c r="AZ79" s="4">
        <f t="shared" si="7"/>
        <v>32.144624449685232</v>
      </c>
      <c r="BA79" s="4"/>
      <c r="BB79" s="4"/>
      <c r="BC79" s="4"/>
      <c r="BD79" s="4"/>
      <c r="BE79" s="4"/>
      <c r="BF79" s="4"/>
      <c r="BG79" s="4"/>
      <c r="BH79" s="4"/>
      <c r="BI79" s="4"/>
      <c r="BJ79" s="4"/>
      <c r="BK79" s="4"/>
      <c r="BL79" s="4"/>
      <c r="BM79" s="4">
        <f>2.8*0.5</f>
        <v>1.4</v>
      </c>
      <c r="BN79" s="4">
        <f>9.7*0.5</f>
        <v>4.8499999999999996</v>
      </c>
      <c r="BO79" s="4">
        <f>61*0.5</f>
        <v>30.5</v>
      </c>
      <c r="BP79" s="4">
        <f>SUM(BM79:BO79)</f>
        <v>36.75</v>
      </c>
      <c r="BQ79" s="4">
        <f>BU79/BP79</f>
        <v>1.2394557823129251</v>
      </c>
      <c r="BR79" s="4">
        <f>6.2*0.5</f>
        <v>3.1</v>
      </c>
      <c r="BS79" s="4">
        <f>64.5*0.5</f>
        <v>32.25</v>
      </c>
      <c r="BT79" s="4">
        <f>20.4*0.5</f>
        <v>10.199999999999999</v>
      </c>
      <c r="BU79" s="4">
        <f>SUM(BR79:BT79)</f>
        <v>45.55</v>
      </c>
      <c r="BV79" s="4">
        <f>BU79+BP79</f>
        <v>82.3</v>
      </c>
      <c r="BW79" s="4"/>
      <c r="BX79" s="4"/>
      <c r="BY79" s="4"/>
      <c r="BZ79" s="4"/>
      <c r="CA79" s="4">
        <f>0.3*0.5</f>
        <v>0.15</v>
      </c>
      <c r="CB79" s="4">
        <f>1.2*0.5</f>
        <v>0.6</v>
      </c>
      <c r="CC79" s="4">
        <f>7.8*0.5</f>
        <v>3.9</v>
      </c>
      <c r="CD79" s="4"/>
      <c r="CE79" s="4"/>
      <c r="CF79" s="4">
        <f>SUM(CA79:CD79)</f>
        <v>4.6500000000000004</v>
      </c>
      <c r="CG79" s="4"/>
      <c r="CH79" s="4"/>
      <c r="CI79" s="4"/>
      <c r="CJ79" s="4"/>
      <c r="CK79" s="4"/>
      <c r="CL79" s="4"/>
      <c r="CM79" s="4"/>
      <c r="CN79" s="4"/>
      <c r="CO79" s="4"/>
      <c r="CP79" s="2" t="s">
        <v>541</v>
      </c>
      <c r="CQ79" s="2" t="s">
        <v>254</v>
      </c>
      <c r="CR79" s="10" t="s">
        <v>511</v>
      </c>
      <c r="CS79" s="9" t="s">
        <v>256</v>
      </c>
    </row>
    <row r="80" spans="1:97" s="2" customFormat="1" ht="12.75">
      <c r="A80" s="2">
        <v>77</v>
      </c>
      <c r="B80" s="2" t="s">
        <v>114</v>
      </c>
      <c r="C80" s="2" t="s">
        <v>506</v>
      </c>
      <c r="D80" s="4" t="s">
        <v>507</v>
      </c>
      <c r="E80" s="2" t="s">
        <v>542</v>
      </c>
      <c r="F80" s="2" t="s">
        <v>543</v>
      </c>
      <c r="G80" s="2">
        <v>2008</v>
      </c>
      <c r="H80" s="2">
        <v>2009</v>
      </c>
      <c r="I80" s="2">
        <v>1</v>
      </c>
      <c r="J80" s="2">
        <v>1</v>
      </c>
      <c r="K80" s="2">
        <v>0</v>
      </c>
      <c r="L80" s="2">
        <v>1</v>
      </c>
      <c r="M80" s="2">
        <v>0</v>
      </c>
      <c r="N80" s="2">
        <v>0</v>
      </c>
      <c r="O80" s="4">
        <v>23</v>
      </c>
      <c r="P80" s="4">
        <f t="shared" si="8"/>
        <v>216</v>
      </c>
      <c r="Q80" s="4">
        <v>2600</v>
      </c>
      <c r="R80" s="4">
        <v>0</v>
      </c>
      <c r="S80" s="4">
        <v>1135</v>
      </c>
      <c r="T80" s="4">
        <v>81.458330000000004</v>
      </c>
      <c r="U80" s="4">
        <v>1222</v>
      </c>
      <c r="V80" s="4">
        <v>0.65833299999999995</v>
      </c>
      <c r="W80" s="4"/>
      <c r="X80" s="4"/>
      <c r="Y80" s="4"/>
      <c r="Z80" s="4"/>
      <c r="AA80" s="4"/>
      <c r="AB80" s="4"/>
      <c r="AC80" s="4"/>
      <c r="AD80" s="4"/>
      <c r="AE80" s="4"/>
      <c r="AF80" s="4"/>
      <c r="AG80" s="4"/>
      <c r="AH80" s="4"/>
      <c r="AI80" s="4"/>
      <c r="AJ80" s="4"/>
      <c r="AK80" s="4"/>
      <c r="AL80" s="4"/>
      <c r="AM80" s="4"/>
      <c r="AN80" s="4"/>
      <c r="AO80" s="4"/>
      <c r="AP80" s="4"/>
      <c r="AQ80" s="4"/>
      <c r="AR80" s="4"/>
      <c r="AS80" s="4"/>
      <c r="AT80" s="4"/>
      <c r="AV80" s="4"/>
      <c r="AW80" s="4">
        <v>5733</v>
      </c>
      <c r="AX80" s="4">
        <v>9.1</v>
      </c>
      <c r="AY80" s="4">
        <v>13.2</v>
      </c>
      <c r="AZ80" s="4">
        <f t="shared" si="7"/>
        <v>37.286756601543445</v>
      </c>
      <c r="BA80" s="4"/>
      <c r="BB80" s="4"/>
      <c r="BC80" s="4"/>
      <c r="BD80" s="4"/>
      <c r="BE80" s="4"/>
      <c r="BF80" s="4"/>
      <c r="BG80" s="4"/>
      <c r="BH80" s="4"/>
      <c r="BI80" s="4"/>
      <c r="BJ80" s="4"/>
      <c r="BK80" s="4"/>
      <c r="BL80" s="4"/>
      <c r="BM80" s="4">
        <f>3.2*0.5</f>
        <v>1.6</v>
      </c>
      <c r="BN80" s="4">
        <f>10.8*0.5</f>
        <v>5.4</v>
      </c>
      <c r="BO80" s="4">
        <f>69.9*0.5</f>
        <v>34.950000000000003</v>
      </c>
      <c r="BP80" s="4">
        <f>SUM(BM80:BO80)</f>
        <v>41.95</v>
      </c>
      <c r="BQ80" s="4">
        <f>BU80/BP80</f>
        <v>1.1108462455303934</v>
      </c>
      <c r="BR80" s="4">
        <f>6.1*0.5</f>
        <v>3.05</v>
      </c>
      <c r="BS80" s="4">
        <f>63.4*0.5</f>
        <v>31.7</v>
      </c>
      <c r="BT80" s="4">
        <f>23.7*0.5</f>
        <v>11.85</v>
      </c>
      <c r="BU80" s="4">
        <f>SUM(BR80:BT80)</f>
        <v>46.6</v>
      </c>
      <c r="BV80" s="4">
        <f>BU80+BP80</f>
        <v>88.550000000000011</v>
      </c>
      <c r="BW80" s="4"/>
      <c r="BX80" s="4"/>
      <c r="BY80" s="4"/>
      <c r="BZ80" s="4"/>
      <c r="CA80" s="4">
        <f>0.2*0.5</f>
        <v>0.1</v>
      </c>
      <c r="CB80" s="4">
        <f>0.9*0.5</f>
        <v>0.45</v>
      </c>
      <c r="CC80" s="4">
        <f>5.8*0.5</f>
        <v>2.9</v>
      </c>
      <c r="CD80" s="4"/>
      <c r="CE80" s="4"/>
      <c r="CF80" s="4">
        <f>SUM(CA80:CD80)</f>
        <v>3.45</v>
      </c>
      <c r="CG80" s="4"/>
      <c r="CH80" s="4"/>
      <c r="CI80" s="4"/>
      <c r="CJ80" s="4"/>
      <c r="CK80" s="4"/>
      <c r="CL80" s="4"/>
      <c r="CM80" s="4"/>
      <c r="CN80" s="4"/>
      <c r="CO80" s="4"/>
      <c r="CP80" s="2" t="s">
        <v>541</v>
      </c>
      <c r="CQ80" s="2" t="s">
        <v>254</v>
      </c>
      <c r="CR80" s="10" t="s">
        <v>511</v>
      </c>
      <c r="CS80" s="9" t="s">
        <v>256</v>
      </c>
    </row>
    <row r="81" spans="1:97" s="2" customFormat="1" ht="12.75">
      <c r="A81" s="2">
        <v>78</v>
      </c>
      <c r="B81" s="2" t="s">
        <v>114</v>
      </c>
      <c r="C81" s="2" t="s">
        <v>544</v>
      </c>
      <c r="D81" s="4" t="s">
        <v>116</v>
      </c>
      <c r="E81" s="2" t="s">
        <v>545</v>
      </c>
      <c r="F81" s="2" t="s">
        <v>546</v>
      </c>
      <c r="G81" s="2">
        <v>2008</v>
      </c>
      <c r="H81" s="2">
        <v>2008</v>
      </c>
      <c r="I81" s="2">
        <v>1</v>
      </c>
      <c r="J81" s="2">
        <v>1</v>
      </c>
      <c r="K81" s="2">
        <v>0</v>
      </c>
      <c r="L81" s="2">
        <v>1</v>
      </c>
      <c r="M81" s="2">
        <v>0</v>
      </c>
      <c r="N81" s="2">
        <v>0</v>
      </c>
      <c r="O81" s="4">
        <v>15.3</v>
      </c>
      <c r="P81" s="4">
        <f t="shared" si="8"/>
        <v>123.60000000000001</v>
      </c>
      <c r="Q81" s="4">
        <v>1558</v>
      </c>
      <c r="R81" s="4">
        <v>0</v>
      </c>
      <c r="S81" s="4">
        <v>769</v>
      </c>
      <c r="T81" s="4">
        <v>82.666669999999996</v>
      </c>
      <c r="U81" s="4">
        <v>1561.7</v>
      </c>
      <c r="V81" s="4">
        <v>1.2250000000000001</v>
      </c>
      <c r="W81" s="4"/>
      <c r="X81" s="4"/>
      <c r="Y81" s="4"/>
      <c r="Z81" s="4"/>
      <c r="AA81" s="4"/>
      <c r="AB81" s="4"/>
      <c r="AC81" s="4"/>
      <c r="AD81" s="4"/>
      <c r="AE81" s="4"/>
      <c r="AF81" s="4"/>
      <c r="AG81" s="4"/>
      <c r="AH81" s="4"/>
      <c r="AI81" s="4"/>
      <c r="AJ81" s="4"/>
      <c r="AK81" s="4"/>
      <c r="AL81" s="4"/>
      <c r="AM81" s="4"/>
      <c r="AN81" s="4"/>
      <c r="AO81" s="4"/>
      <c r="AP81" s="4"/>
      <c r="AQ81" s="4"/>
      <c r="AR81" s="4"/>
      <c r="AS81" s="4"/>
      <c r="AT81" s="4"/>
      <c r="AV81" s="4"/>
      <c r="AW81" s="4">
        <v>5733</v>
      </c>
      <c r="AX81" s="4">
        <v>6.3</v>
      </c>
      <c r="AY81" s="4"/>
      <c r="AZ81" s="4">
        <f t="shared" si="7"/>
        <v>17.871167365236797</v>
      </c>
      <c r="BA81" s="4"/>
      <c r="BB81" s="4"/>
      <c r="BC81" s="4"/>
      <c r="BD81" s="4"/>
      <c r="BE81" s="4"/>
      <c r="BF81" s="4"/>
      <c r="BG81" s="4"/>
      <c r="BH81" s="4"/>
      <c r="BI81" s="4"/>
      <c r="BJ81" s="4"/>
      <c r="BK81" s="4"/>
      <c r="BL81" s="4"/>
      <c r="BM81" s="4"/>
      <c r="BN81" s="4"/>
      <c r="BO81" s="4"/>
      <c r="BP81" s="4">
        <v>38.4</v>
      </c>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2" t="s">
        <v>547</v>
      </c>
      <c r="CQ81" s="2" t="s">
        <v>254</v>
      </c>
      <c r="CR81" s="10" t="s">
        <v>548</v>
      </c>
      <c r="CS81" s="9" t="s">
        <v>256</v>
      </c>
    </row>
    <row r="82" spans="1:97" s="2" customFormat="1" ht="12.75">
      <c r="A82" s="2">
        <v>79</v>
      </c>
      <c r="B82" s="2" t="s">
        <v>114</v>
      </c>
      <c r="C82" s="2" t="s">
        <v>544</v>
      </c>
      <c r="D82" s="4" t="s">
        <v>116</v>
      </c>
      <c r="E82" s="2" t="s">
        <v>549</v>
      </c>
      <c r="F82" s="2" t="s">
        <v>550</v>
      </c>
      <c r="G82" s="2">
        <v>2008</v>
      </c>
      <c r="H82" s="2">
        <v>2014</v>
      </c>
      <c r="I82" s="2">
        <v>0</v>
      </c>
      <c r="J82" s="2">
        <v>0</v>
      </c>
      <c r="K82" s="2">
        <v>0</v>
      </c>
      <c r="L82" s="2">
        <v>0</v>
      </c>
      <c r="M82" s="2">
        <v>0</v>
      </c>
      <c r="N82" s="2">
        <v>0</v>
      </c>
      <c r="O82" s="4">
        <v>15.3</v>
      </c>
      <c r="P82" s="4">
        <f t="shared" si="8"/>
        <v>123.60000000000001</v>
      </c>
      <c r="Q82" s="4">
        <v>1558</v>
      </c>
      <c r="R82" s="4">
        <v>0</v>
      </c>
      <c r="S82" s="4">
        <v>769</v>
      </c>
      <c r="T82" s="4">
        <v>82.666669999999996</v>
      </c>
      <c r="U82" s="4">
        <v>1561.7</v>
      </c>
      <c r="V82" s="4">
        <v>1.2250000000000001</v>
      </c>
      <c r="W82" s="4"/>
      <c r="X82" s="4"/>
      <c r="Y82" s="4"/>
      <c r="Z82" s="4"/>
      <c r="AA82" s="4"/>
      <c r="AB82" s="4"/>
      <c r="AC82" s="4"/>
      <c r="AD82" s="4"/>
      <c r="AE82" s="4"/>
      <c r="AF82" s="4"/>
      <c r="AG82" s="4"/>
      <c r="AH82" s="4"/>
      <c r="AI82" s="4"/>
      <c r="AJ82" s="4"/>
      <c r="AK82" s="4"/>
      <c r="AL82" s="4"/>
      <c r="AM82" s="4"/>
      <c r="AN82" s="4"/>
      <c r="AO82" s="4"/>
      <c r="AP82" s="4"/>
      <c r="AQ82" s="4"/>
      <c r="AR82" s="4"/>
      <c r="AS82" s="4"/>
      <c r="AT82" s="4"/>
      <c r="AV82" s="4"/>
      <c r="AW82" s="4">
        <v>13067</v>
      </c>
      <c r="AX82" s="4">
        <v>5.5</v>
      </c>
      <c r="AY82" s="4"/>
      <c r="AZ82" s="4">
        <f t="shared" si="7"/>
        <v>31.044963348371233</v>
      </c>
      <c r="BA82" s="4"/>
      <c r="BB82" s="4"/>
      <c r="BC82" s="4"/>
      <c r="BD82" s="4"/>
      <c r="BE82" s="4"/>
      <c r="BF82" s="4"/>
      <c r="BG82" s="4"/>
      <c r="BH82" s="4"/>
      <c r="BI82" s="4"/>
      <c r="BJ82" s="4"/>
      <c r="BK82" s="4"/>
      <c r="BL82" s="4"/>
      <c r="BM82" s="4"/>
      <c r="BN82" s="4"/>
      <c r="BO82" s="4"/>
      <c r="BP82" s="4">
        <v>60.4</v>
      </c>
      <c r="BQ82" s="4"/>
      <c r="BR82" s="4"/>
      <c r="BS82" s="4"/>
      <c r="BT82" s="4"/>
      <c r="BU82" s="4"/>
      <c r="BV82" s="4"/>
      <c r="BW82" s="4"/>
      <c r="BX82" s="4"/>
      <c r="BY82" s="4"/>
      <c r="BZ82" s="4"/>
      <c r="CA82" s="4"/>
      <c r="CB82" s="4"/>
      <c r="CC82" s="4"/>
      <c r="CD82" s="4"/>
      <c r="CE82" s="4"/>
      <c r="CF82" s="4">
        <f>((51.7-53.2)+(53.2-60.4)+(60.4-59.2)+(59.2-49.8)+(49.8-46.7)+(46.7-38.4))/6</f>
        <v>2.2166666666666672</v>
      </c>
      <c r="CG82" s="4"/>
      <c r="CH82" s="4"/>
      <c r="CI82" s="4"/>
      <c r="CJ82" s="4"/>
      <c r="CK82" s="4"/>
      <c r="CL82" s="4"/>
      <c r="CM82" s="4"/>
      <c r="CN82" s="4"/>
      <c r="CO82" s="4"/>
      <c r="CP82" s="2" t="s">
        <v>547</v>
      </c>
      <c r="CQ82" s="2" t="s">
        <v>254</v>
      </c>
      <c r="CR82" s="10" t="s">
        <v>548</v>
      </c>
      <c r="CS82" s="9" t="s">
        <v>256</v>
      </c>
    </row>
    <row r="83" spans="1:97" s="2" customFormat="1" ht="12.75">
      <c r="A83" s="2">
        <v>80</v>
      </c>
      <c r="B83" s="2" t="s">
        <v>114</v>
      </c>
      <c r="C83" s="2" t="s">
        <v>551</v>
      </c>
      <c r="D83" s="4" t="s">
        <v>507</v>
      </c>
      <c r="E83" s="2" t="s">
        <v>552</v>
      </c>
      <c r="F83" s="14" t="s">
        <v>553</v>
      </c>
      <c r="G83" s="2">
        <v>2012</v>
      </c>
      <c r="H83" s="2">
        <v>2012</v>
      </c>
      <c r="I83" s="2">
        <v>1</v>
      </c>
      <c r="J83" s="2">
        <v>1</v>
      </c>
      <c r="K83" s="2">
        <v>1</v>
      </c>
      <c r="L83" s="2">
        <v>0</v>
      </c>
      <c r="M83" s="2">
        <v>0</v>
      </c>
      <c r="N83" s="2">
        <v>0</v>
      </c>
      <c r="O83" s="4">
        <v>17.2</v>
      </c>
      <c r="P83" s="4">
        <f t="shared" si="8"/>
        <v>146.39999999999998</v>
      </c>
      <c r="Q83" s="4">
        <v>3030</v>
      </c>
      <c r="R83" s="4">
        <v>0</v>
      </c>
      <c r="S83" s="4">
        <v>1120</v>
      </c>
      <c r="T83" s="4">
        <v>83.666666666666671</v>
      </c>
      <c r="U83" s="4">
        <v>1388.8000000000002</v>
      </c>
      <c r="V83" s="4">
        <v>1.1000000000000003</v>
      </c>
      <c r="W83" s="4"/>
      <c r="X83" s="4"/>
      <c r="Y83" s="4">
        <v>4.0999999999999996</v>
      </c>
      <c r="Z83" s="4"/>
      <c r="AA83" s="4"/>
      <c r="AB83" s="4"/>
      <c r="AC83" s="4"/>
      <c r="AD83" s="4"/>
      <c r="AE83" s="4"/>
      <c r="AF83" s="4"/>
      <c r="AG83" s="4"/>
      <c r="AH83" s="4"/>
      <c r="AI83" s="4"/>
      <c r="AJ83" s="4"/>
      <c r="AK83" s="4"/>
      <c r="AL83" s="4"/>
      <c r="AM83" s="4"/>
      <c r="AN83" s="4"/>
      <c r="AO83" s="4"/>
      <c r="AP83" s="4"/>
      <c r="AQ83" s="4"/>
      <c r="AR83" s="4"/>
      <c r="AS83" s="4"/>
      <c r="AT83" s="4"/>
      <c r="AV83" s="4"/>
      <c r="AW83" s="4">
        <v>3954</v>
      </c>
      <c r="AX83" s="4">
        <v>8.4</v>
      </c>
      <c r="AY83" s="4">
        <v>12</v>
      </c>
      <c r="AZ83" s="4">
        <f>(AX83/2)^2*PI()*AW83/10000</f>
        <v>21.912156369446688</v>
      </c>
      <c r="BA83" s="4"/>
      <c r="BB83" s="4"/>
      <c r="BC83" s="4"/>
      <c r="BD83" s="4">
        <v>47.6</v>
      </c>
      <c r="BE83" s="4">
        <v>43.5</v>
      </c>
      <c r="BF83" s="4">
        <v>49.5</v>
      </c>
      <c r="BG83" s="4">
        <v>43.4</v>
      </c>
      <c r="BH83" s="4">
        <v>49.4</v>
      </c>
      <c r="BI83" s="4">
        <v>48.4</v>
      </c>
      <c r="BJ83" s="4">
        <v>49.5</v>
      </c>
      <c r="BK83" s="4">
        <v>4.05</v>
      </c>
      <c r="BL83" s="4">
        <f>(2.57+1.93)/2</f>
        <v>2.25</v>
      </c>
      <c r="BM83" s="4">
        <v>2.06</v>
      </c>
      <c r="BN83" s="4">
        <v>3.73</v>
      </c>
      <c r="BO83" s="4">
        <v>21.47</v>
      </c>
      <c r="BP83" s="4">
        <f>SUM(BM83:BO83)</f>
        <v>27.259999999999998</v>
      </c>
      <c r="BQ83" s="4"/>
      <c r="BR83" s="4"/>
      <c r="BS83" s="4"/>
      <c r="BT83" s="4"/>
      <c r="BU83" s="4"/>
      <c r="BV83" s="4"/>
      <c r="BW83" s="4"/>
      <c r="BX83" s="4"/>
      <c r="BY83" s="4"/>
      <c r="BZ83" s="4"/>
      <c r="CA83" s="4">
        <v>0.38</v>
      </c>
      <c r="CB83" s="4">
        <v>0.69</v>
      </c>
      <c r="CC83" s="4">
        <v>4.05</v>
      </c>
      <c r="CD83" s="4">
        <v>1.99</v>
      </c>
      <c r="CE83" s="4">
        <f>CD83+CA83</f>
        <v>2.37</v>
      </c>
      <c r="CF83" s="4">
        <f>SUM(CA83:CD83)</f>
        <v>7.1099999999999994</v>
      </c>
      <c r="CG83" s="4">
        <v>0.8</v>
      </c>
      <c r="CH83" s="4">
        <v>0.59</v>
      </c>
      <c r="CI83" s="4"/>
      <c r="CJ83" s="4">
        <f>SUM(CG83:CI83)</f>
        <v>1.3900000000000001</v>
      </c>
      <c r="CK83" s="4">
        <f>CJ83+CF83</f>
        <v>8.5</v>
      </c>
      <c r="CL83" s="4">
        <v>11.21</v>
      </c>
      <c r="CM83" s="4">
        <v>4.4800000000000004</v>
      </c>
      <c r="CN83" s="4">
        <f>CL83-CM83</f>
        <v>6.73</v>
      </c>
      <c r="CO83" s="4">
        <f>CK83-CM83</f>
        <v>4.0199999999999996</v>
      </c>
      <c r="CP83" s="2" t="s">
        <v>554</v>
      </c>
      <c r="CQ83" s="2" t="s">
        <v>254</v>
      </c>
      <c r="CR83" s="10" t="s">
        <v>555</v>
      </c>
      <c r="CS83" s="9" t="s">
        <v>256</v>
      </c>
    </row>
    <row r="84" spans="1:97" s="2" customFormat="1" ht="12.75">
      <c r="A84" s="15">
        <v>81</v>
      </c>
      <c r="B84" s="15" t="s">
        <v>114</v>
      </c>
      <c r="C84" s="15" t="s">
        <v>551</v>
      </c>
      <c r="D84" s="16" t="s">
        <v>507</v>
      </c>
      <c r="E84" s="15" t="s">
        <v>556</v>
      </c>
      <c r="F84" s="17" t="s">
        <v>557</v>
      </c>
      <c r="G84" s="15">
        <v>2012</v>
      </c>
      <c r="H84" s="15">
        <v>2015</v>
      </c>
      <c r="I84" s="15">
        <v>0</v>
      </c>
      <c r="J84" s="15">
        <v>0</v>
      </c>
      <c r="K84" s="15">
        <v>0</v>
      </c>
      <c r="L84" s="15">
        <v>0</v>
      </c>
      <c r="M84" s="15">
        <v>0</v>
      </c>
      <c r="N84" s="15">
        <v>0</v>
      </c>
      <c r="O84" s="16">
        <v>18.600000000000001</v>
      </c>
      <c r="P84" s="16">
        <f t="shared" si="8"/>
        <v>163.20000000000002</v>
      </c>
      <c r="Q84" s="16">
        <v>2407</v>
      </c>
      <c r="R84" s="16">
        <v>0</v>
      </c>
      <c r="S84" s="16">
        <v>1120</v>
      </c>
      <c r="T84" s="16">
        <v>83.104169999999996</v>
      </c>
      <c r="U84" s="16">
        <v>1541.15</v>
      </c>
      <c r="V84" s="16">
        <v>1.077083</v>
      </c>
      <c r="W84" s="16"/>
      <c r="X84" s="16"/>
      <c r="Y84" s="16">
        <v>4.0999999999999996</v>
      </c>
      <c r="Z84" s="16"/>
      <c r="AA84" s="16"/>
      <c r="AB84" s="16"/>
      <c r="AC84" s="16"/>
      <c r="AD84" s="16"/>
      <c r="AE84" s="16"/>
      <c r="AF84" s="16"/>
      <c r="AG84" s="16"/>
      <c r="AH84" s="16"/>
      <c r="AI84" s="16"/>
      <c r="AJ84" s="16"/>
      <c r="AK84" s="16"/>
      <c r="AL84" s="16"/>
      <c r="AM84" s="16"/>
      <c r="AN84" s="16"/>
      <c r="AO84" s="16"/>
      <c r="AP84" s="16"/>
      <c r="AQ84" s="16"/>
      <c r="AR84" s="16"/>
      <c r="AS84" s="16"/>
      <c r="AT84" s="16"/>
      <c r="AU84" s="15"/>
      <c r="AV84" s="16"/>
      <c r="AW84" s="16">
        <v>6000</v>
      </c>
      <c r="AX84" s="16"/>
      <c r="AY84" s="16"/>
      <c r="AZ84" s="16"/>
      <c r="BA84" s="16"/>
      <c r="BB84" s="16"/>
      <c r="BC84" s="16"/>
      <c r="BD84" s="16">
        <v>47.6</v>
      </c>
      <c r="BE84" s="16">
        <v>43.5</v>
      </c>
      <c r="BF84" s="16">
        <v>49.5</v>
      </c>
      <c r="BG84" s="16">
        <v>43.4</v>
      </c>
      <c r="BH84" s="16">
        <v>49.4</v>
      </c>
      <c r="BI84" s="16">
        <v>48.4</v>
      </c>
      <c r="BJ84" s="16">
        <v>49.5</v>
      </c>
      <c r="BK84" s="16">
        <v>4.05</v>
      </c>
      <c r="BL84" s="16">
        <f>(2.57+1.93)/2</f>
        <v>2.25</v>
      </c>
      <c r="BM84" s="16">
        <v>3.13</v>
      </c>
      <c r="BN84" s="16">
        <v>5.65</v>
      </c>
      <c r="BO84" s="16">
        <v>33.26</v>
      </c>
      <c r="BP84" s="16">
        <f>SUM(BM84:BO84)</f>
        <v>42.04</v>
      </c>
      <c r="BQ84" s="16">
        <f>BU84/BP84</f>
        <v>0.80137963843958127</v>
      </c>
      <c r="BR84" s="16">
        <v>6.48</v>
      </c>
      <c r="BS84" s="16">
        <v>27.21</v>
      </c>
      <c r="BT84" s="16"/>
      <c r="BU84" s="16">
        <f>SUM(BR84:BT84)</f>
        <v>33.69</v>
      </c>
      <c r="BV84" s="16">
        <f>BU84+BP84</f>
        <v>75.72999999999999</v>
      </c>
      <c r="BW84" s="16"/>
      <c r="BX84" s="16">
        <v>70.25</v>
      </c>
      <c r="BY84" s="16"/>
      <c r="BZ84" s="16">
        <f>BV84+BX84</f>
        <v>145.97999999999999</v>
      </c>
      <c r="CA84" s="16">
        <v>0.41</v>
      </c>
      <c r="CB84" s="16">
        <v>0.75</v>
      </c>
      <c r="CC84" s="16">
        <v>4.42</v>
      </c>
      <c r="CD84" s="16">
        <v>2.1800000000000002</v>
      </c>
      <c r="CE84" s="4">
        <f>CD84+CA84</f>
        <v>2.5900000000000003</v>
      </c>
      <c r="CF84" s="16">
        <f>SUM(CA84:CD84)</f>
        <v>7.76</v>
      </c>
      <c r="CG84" s="16">
        <v>0.71</v>
      </c>
      <c r="CH84" s="16">
        <v>0.4</v>
      </c>
      <c r="CI84" s="16"/>
      <c r="CJ84" s="16">
        <f>SUM(CG84:CI84)</f>
        <v>1.1099999999999999</v>
      </c>
      <c r="CK84" s="16">
        <f>CJ84+CF84</f>
        <v>8.8699999999999992</v>
      </c>
      <c r="CL84" s="16">
        <v>11.41</v>
      </c>
      <c r="CM84" s="16">
        <v>4.55</v>
      </c>
      <c r="CN84" s="16">
        <f>CL84-CM84</f>
        <v>6.86</v>
      </c>
      <c r="CO84" s="16">
        <f>CK84-CM84</f>
        <v>4.3199999999999994</v>
      </c>
      <c r="CP84" s="15" t="s">
        <v>554</v>
      </c>
      <c r="CQ84" s="15" t="s">
        <v>254</v>
      </c>
      <c r="CR84" s="18" t="s">
        <v>555</v>
      </c>
      <c r="CS84" s="19" t="s">
        <v>256</v>
      </c>
    </row>
    <row r="85" spans="1:97" s="2" customFormat="1" ht="12.75">
      <c r="A85" s="2">
        <v>82</v>
      </c>
      <c r="B85" s="2" t="s">
        <v>558</v>
      </c>
      <c r="C85" s="2" t="s">
        <v>559</v>
      </c>
      <c r="D85" s="4" t="s">
        <v>250</v>
      </c>
      <c r="E85" s="2" t="s">
        <v>560</v>
      </c>
      <c r="F85" s="14" t="s">
        <v>561</v>
      </c>
      <c r="G85" s="2">
        <v>2018</v>
      </c>
      <c r="H85" s="2">
        <v>2018</v>
      </c>
      <c r="I85" s="2">
        <v>1</v>
      </c>
      <c r="J85" s="2">
        <v>1</v>
      </c>
      <c r="K85" s="2">
        <v>1</v>
      </c>
      <c r="L85" s="2">
        <v>1</v>
      </c>
      <c r="M85" s="2">
        <v>0</v>
      </c>
      <c r="N85" s="2">
        <v>0</v>
      </c>
      <c r="O85" s="4">
        <v>16</v>
      </c>
      <c r="P85" s="4">
        <f t="shared" si="8"/>
        <v>132</v>
      </c>
      <c r="Q85" s="4">
        <v>1600</v>
      </c>
      <c r="R85" s="4">
        <v>0</v>
      </c>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V85" s="4"/>
      <c r="AW85" s="4">
        <f>340.466*0+2272.763</f>
        <v>2272.7629999999999</v>
      </c>
      <c r="AX85" s="4">
        <v>10.199999999999999</v>
      </c>
      <c r="AY85" s="4"/>
      <c r="AZ85" s="4">
        <f>(AX85/2)^2*PI()*AW85/10000</f>
        <v>18.571388510335968</v>
      </c>
      <c r="BA85" s="4"/>
      <c r="BB85" s="4"/>
      <c r="BC85" s="4"/>
      <c r="BD85" s="4"/>
      <c r="BE85" s="4"/>
      <c r="BF85" s="4"/>
      <c r="BG85" s="4"/>
      <c r="BH85" s="4"/>
      <c r="BI85" s="4"/>
      <c r="BJ85" s="4"/>
      <c r="BK85" s="4"/>
      <c r="BL85" s="4"/>
      <c r="BM85" s="4"/>
      <c r="BN85" s="4"/>
      <c r="BO85" s="4"/>
      <c r="BP85" s="4">
        <f>BV85/1.36</f>
        <v>19.360294117647054</v>
      </c>
      <c r="BQ85" s="4">
        <v>0.36159999999999998</v>
      </c>
      <c r="BR85" s="4"/>
      <c r="BS85" s="4"/>
      <c r="BT85" s="4"/>
      <c r="BU85" s="4">
        <f>BV85-BP85</f>
        <v>6.9697058823529439</v>
      </c>
      <c r="BV85" s="4">
        <v>26.33</v>
      </c>
      <c r="BW85" s="4">
        <v>2.0699999999999998</v>
      </c>
      <c r="BX85" s="4">
        <f>50.11+44.92</f>
        <v>95.03</v>
      </c>
      <c r="BY85" s="4">
        <f>0.17+0.4</f>
        <v>0.57000000000000006</v>
      </c>
      <c r="BZ85" s="4">
        <f>SUM(BV85:BY85)</f>
        <v>124</v>
      </c>
      <c r="CA85" s="4"/>
      <c r="CB85" s="4"/>
      <c r="CC85" s="4"/>
      <c r="CD85" s="4"/>
      <c r="CE85" s="4"/>
      <c r="CF85" s="4"/>
      <c r="CG85" s="4"/>
      <c r="CH85" s="4"/>
      <c r="CI85" s="4"/>
      <c r="CJ85" s="4"/>
      <c r="CK85" s="4"/>
      <c r="CL85" s="4"/>
      <c r="CM85" s="4"/>
      <c r="CN85" s="4"/>
      <c r="CO85" s="4"/>
      <c r="CP85" s="2" t="s">
        <v>562</v>
      </c>
      <c r="CQ85" s="2" t="s">
        <v>254</v>
      </c>
      <c r="CR85" s="10" t="s">
        <v>563</v>
      </c>
      <c r="CS85" s="9" t="s">
        <v>256</v>
      </c>
    </row>
    <row r="86" spans="1:97" s="2" customFormat="1" ht="12.75">
      <c r="A86" s="2">
        <v>83</v>
      </c>
      <c r="B86" s="2" t="s">
        <v>558</v>
      </c>
      <c r="C86" s="2" t="s">
        <v>559</v>
      </c>
      <c r="D86" s="4" t="s">
        <v>250</v>
      </c>
      <c r="E86" s="2" t="s">
        <v>564</v>
      </c>
      <c r="F86" s="14" t="s">
        <v>565</v>
      </c>
      <c r="G86" s="2">
        <v>2016</v>
      </c>
      <c r="H86" s="2">
        <v>2018</v>
      </c>
      <c r="I86" s="2">
        <v>0</v>
      </c>
      <c r="J86" s="2">
        <v>0</v>
      </c>
      <c r="K86" s="2">
        <v>0</v>
      </c>
      <c r="L86" s="2">
        <v>0</v>
      </c>
      <c r="M86" s="2">
        <v>0</v>
      </c>
      <c r="N86" s="2">
        <v>0</v>
      </c>
      <c r="O86" s="4">
        <v>16</v>
      </c>
      <c r="P86" s="4">
        <f t="shared" si="8"/>
        <v>132</v>
      </c>
      <c r="Q86" s="4">
        <v>1600</v>
      </c>
      <c r="R86" s="4">
        <v>0</v>
      </c>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V86" s="4"/>
      <c r="AW86" s="4">
        <f>340.466*2+2272.763</f>
        <v>2953.6949999999997</v>
      </c>
      <c r="AX86" s="4">
        <v>10.1</v>
      </c>
      <c r="AY86" s="4"/>
      <c r="AZ86" s="4">
        <f t="shared" ref="AZ86:AZ87" si="9">(AX86/2)^2*PI()*AW86/10000</f>
        <v>23.664551434637737</v>
      </c>
      <c r="BA86" s="4"/>
      <c r="BB86" s="4"/>
      <c r="BC86" s="4"/>
      <c r="BD86" s="4"/>
      <c r="BE86" s="4"/>
      <c r="BF86" s="4"/>
      <c r="BG86" s="4"/>
      <c r="BH86" s="4"/>
      <c r="BI86" s="4"/>
      <c r="BJ86" s="4"/>
      <c r="BK86" s="4"/>
      <c r="BL86" s="4"/>
      <c r="BM86" s="4"/>
      <c r="BN86" s="4"/>
      <c r="BO86" s="4"/>
      <c r="BP86" s="4">
        <f t="shared" ref="BP86:BP88" si="10">BV86/1.36</f>
        <v>23.882352941176467</v>
      </c>
      <c r="BQ86" s="4">
        <v>0.36159999999999998</v>
      </c>
      <c r="BR86" s="4"/>
      <c r="BS86" s="4"/>
      <c r="BT86" s="4"/>
      <c r="BU86" s="4">
        <f t="shared" ref="BU86:BU88" si="11">BV86-BP86</f>
        <v>8.5976470588235294</v>
      </c>
      <c r="BV86" s="4">
        <v>32.479999999999997</v>
      </c>
      <c r="BW86" s="4">
        <v>1.43</v>
      </c>
      <c r="BX86" s="4">
        <f>56.29+46.49</f>
        <v>102.78</v>
      </c>
      <c r="BY86" s="4">
        <f>0.3+0.47</f>
        <v>0.77</v>
      </c>
      <c r="BZ86" s="4">
        <f t="shared" ref="BZ86:BZ88" si="12">SUM(BV86:BY86)</f>
        <v>137.46</v>
      </c>
      <c r="CA86" s="4"/>
      <c r="CB86" s="4"/>
      <c r="CC86" s="4"/>
      <c r="CD86" s="4"/>
      <c r="CE86" s="4"/>
      <c r="CF86" s="4"/>
      <c r="CG86" s="4"/>
      <c r="CH86" s="4"/>
      <c r="CI86" s="4"/>
      <c r="CJ86" s="4"/>
      <c r="CK86" s="4"/>
      <c r="CL86" s="4"/>
      <c r="CM86" s="4"/>
      <c r="CN86" s="4"/>
      <c r="CO86" s="4"/>
      <c r="CP86" s="2" t="s">
        <v>562</v>
      </c>
      <c r="CQ86" s="2" t="s">
        <v>254</v>
      </c>
      <c r="CR86" s="10" t="s">
        <v>563</v>
      </c>
      <c r="CS86" s="9" t="s">
        <v>256</v>
      </c>
    </row>
    <row r="87" spans="1:97" s="2" customFormat="1" ht="12.75">
      <c r="A87" s="2">
        <v>84</v>
      </c>
      <c r="B87" s="2" t="s">
        <v>558</v>
      </c>
      <c r="C87" s="2" t="s">
        <v>559</v>
      </c>
      <c r="D87" s="4" t="s">
        <v>250</v>
      </c>
      <c r="E87" s="2" t="s">
        <v>566</v>
      </c>
      <c r="F87" s="14" t="s">
        <v>567</v>
      </c>
      <c r="G87" s="2">
        <v>2008</v>
      </c>
      <c r="H87" s="2">
        <v>2018</v>
      </c>
      <c r="I87" s="2">
        <v>0</v>
      </c>
      <c r="J87" s="2">
        <v>0</v>
      </c>
      <c r="K87" s="2">
        <v>0</v>
      </c>
      <c r="L87" s="2">
        <v>0</v>
      </c>
      <c r="M87" s="2">
        <v>0</v>
      </c>
      <c r="N87" s="2">
        <v>0</v>
      </c>
      <c r="O87" s="4">
        <v>16</v>
      </c>
      <c r="P87" s="4">
        <f t="shared" si="8"/>
        <v>132</v>
      </c>
      <c r="Q87" s="4">
        <v>1600</v>
      </c>
      <c r="R87" s="4">
        <v>0</v>
      </c>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V87" s="4"/>
      <c r="AW87" s="4">
        <f>340.466*(7+10)/2+2272.763</f>
        <v>5166.7240000000002</v>
      </c>
      <c r="AX87" s="4">
        <v>9.6</v>
      </c>
      <c r="AY87" s="4"/>
      <c r="AZ87" s="4">
        <f t="shared" si="9"/>
        <v>37.397933940156065</v>
      </c>
      <c r="BA87" s="4"/>
      <c r="BB87" s="4"/>
      <c r="BC87" s="4"/>
      <c r="BD87" s="4"/>
      <c r="BE87" s="4"/>
      <c r="BF87" s="4"/>
      <c r="BG87" s="4"/>
      <c r="BH87" s="4"/>
      <c r="BI87" s="4"/>
      <c r="BJ87" s="4"/>
      <c r="BK87" s="4"/>
      <c r="BL87" s="4"/>
      <c r="BM87" s="4"/>
      <c r="BN87" s="4"/>
      <c r="BO87" s="4"/>
      <c r="BP87" s="4">
        <f t="shared" si="10"/>
        <v>36.772058823529406</v>
      </c>
      <c r="BQ87" s="4">
        <v>0.36159999999999998</v>
      </c>
      <c r="BR87" s="4"/>
      <c r="BS87" s="4"/>
      <c r="BT87" s="4"/>
      <c r="BU87" s="4">
        <f t="shared" si="11"/>
        <v>13.237941176470592</v>
      </c>
      <c r="BV87" s="4">
        <v>50.01</v>
      </c>
      <c r="BW87" s="4">
        <v>1.9</v>
      </c>
      <c r="BX87" s="4">
        <f>59.64+49.3</f>
        <v>108.94</v>
      </c>
      <c r="BY87" s="4">
        <f>0.31+0.43</f>
        <v>0.74</v>
      </c>
      <c r="BZ87" s="4">
        <f t="shared" si="12"/>
        <v>161.59</v>
      </c>
      <c r="CA87" s="4"/>
      <c r="CB87" s="4"/>
      <c r="CC87" s="4"/>
      <c r="CD87" s="4"/>
      <c r="CE87" s="4"/>
      <c r="CF87" s="4"/>
      <c r="CG87" s="4"/>
      <c r="CH87" s="4"/>
      <c r="CI87" s="4"/>
      <c r="CJ87" s="4"/>
      <c r="CK87" s="4"/>
      <c r="CL87" s="4"/>
      <c r="CM87" s="4"/>
      <c r="CN87" s="4"/>
      <c r="CO87" s="4"/>
      <c r="CP87" s="2" t="s">
        <v>562</v>
      </c>
      <c r="CQ87" s="2" t="s">
        <v>254</v>
      </c>
      <c r="CR87" s="10" t="s">
        <v>563</v>
      </c>
      <c r="CS87" s="9" t="s">
        <v>256</v>
      </c>
    </row>
    <row r="88" spans="1:97" s="2" customFormat="1" ht="12.75">
      <c r="A88" s="2">
        <v>85</v>
      </c>
      <c r="B88" s="2" t="s">
        <v>558</v>
      </c>
      <c r="C88" s="2" t="s">
        <v>559</v>
      </c>
      <c r="D88" s="4" t="s">
        <v>250</v>
      </c>
      <c r="E88" s="2" t="s">
        <v>568</v>
      </c>
      <c r="F88" s="14" t="s">
        <v>569</v>
      </c>
      <c r="G88" s="2">
        <v>2000</v>
      </c>
      <c r="H88" s="2">
        <v>2018</v>
      </c>
      <c r="I88" s="2">
        <v>0</v>
      </c>
      <c r="J88" s="2">
        <v>0</v>
      </c>
      <c r="K88" s="2">
        <v>0</v>
      </c>
      <c r="L88" s="2">
        <v>0</v>
      </c>
      <c r="M88" s="2">
        <v>0</v>
      </c>
      <c r="N88" s="2">
        <v>0</v>
      </c>
      <c r="O88" s="4">
        <v>16</v>
      </c>
      <c r="P88" s="4">
        <f t="shared" si="8"/>
        <v>132</v>
      </c>
      <c r="Q88" s="4">
        <v>1600</v>
      </c>
      <c r="R88" s="4">
        <v>0</v>
      </c>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V88" s="4"/>
      <c r="AW88" s="4">
        <f>340.466*(15+18)/2+2272.763</f>
        <v>7890.4520000000002</v>
      </c>
      <c r="AX88" s="4">
        <v>8.6</v>
      </c>
      <c r="AY88" s="4"/>
      <c r="AZ88" s="4">
        <f>(AX88/2)^2*PI()*AW88/10000</f>
        <v>45.834095581863643</v>
      </c>
      <c r="BA88" s="4"/>
      <c r="BB88" s="4"/>
      <c r="BC88" s="4"/>
      <c r="BD88" s="4"/>
      <c r="BE88" s="4"/>
      <c r="BF88" s="4"/>
      <c r="BG88" s="4"/>
      <c r="BH88" s="4"/>
      <c r="BI88" s="4"/>
      <c r="BJ88" s="4"/>
      <c r="BK88" s="4"/>
      <c r="BL88" s="4"/>
      <c r="BM88" s="4"/>
      <c r="BN88" s="4"/>
      <c r="BO88" s="4"/>
      <c r="BP88" s="4">
        <f t="shared" si="10"/>
        <v>47.882352941176471</v>
      </c>
      <c r="BQ88" s="4">
        <v>0.36159999999999998</v>
      </c>
      <c r="BR88" s="4"/>
      <c r="BS88" s="4"/>
      <c r="BT88" s="4"/>
      <c r="BU88" s="4">
        <f t="shared" si="11"/>
        <v>17.237647058823534</v>
      </c>
      <c r="BV88" s="4">
        <v>65.12</v>
      </c>
      <c r="BW88" s="4">
        <v>2.65</v>
      </c>
      <c r="BX88" s="4">
        <f>65.41+48.32</f>
        <v>113.72999999999999</v>
      </c>
      <c r="BY88" s="4">
        <f>0.14+0.07</f>
        <v>0.21000000000000002</v>
      </c>
      <c r="BZ88" s="4">
        <f t="shared" si="12"/>
        <v>181.71</v>
      </c>
      <c r="CA88" s="4"/>
      <c r="CB88" s="4"/>
      <c r="CC88" s="4"/>
      <c r="CD88" s="4"/>
      <c r="CE88" s="4"/>
      <c r="CF88" s="4"/>
      <c r="CG88" s="4"/>
      <c r="CH88" s="4"/>
      <c r="CI88" s="4"/>
      <c r="CJ88" s="4"/>
      <c r="CK88" s="4"/>
      <c r="CL88" s="4"/>
      <c r="CM88" s="4"/>
      <c r="CN88" s="4"/>
      <c r="CO88" s="4"/>
      <c r="CP88" s="2" t="s">
        <v>562</v>
      </c>
      <c r="CQ88" s="2" t="s">
        <v>254</v>
      </c>
      <c r="CR88" s="10" t="s">
        <v>563</v>
      </c>
      <c r="CS88" s="9" t="s">
        <v>256</v>
      </c>
    </row>
    <row r="89" spans="1:97" s="2" customFormat="1" ht="12.75">
      <c r="A89" s="2">
        <v>86</v>
      </c>
      <c r="B89" s="2" t="s">
        <v>558</v>
      </c>
      <c r="C89" s="2" t="s">
        <v>570</v>
      </c>
      <c r="D89" s="4" t="s">
        <v>250</v>
      </c>
      <c r="E89" s="2" t="s">
        <v>571</v>
      </c>
      <c r="F89" s="14" t="s">
        <v>572</v>
      </c>
      <c r="G89" s="2">
        <v>1989</v>
      </c>
      <c r="H89" s="2">
        <v>1990</v>
      </c>
      <c r="I89" s="2">
        <v>1</v>
      </c>
      <c r="J89" s="2">
        <v>0</v>
      </c>
      <c r="K89" s="2">
        <v>0</v>
      </c>
      <c r="L89" s="2">
        <v>1</v>
      </c>
      <c r="M89" s="2">
        <v>0</v>
      </c>
      <c r="N89" s="2">
        <v>0</v>
      </c>
      <c r="O89" s="4">
        <v>21.2</v>
      </c>
      <c r="P89" s="4">
        <f>(O89-5)*12</f>
        <v>194.39999999999998</v>
      </c>
      <c r="Q89" s="4">
        <v>2001.2</v>
      </c>
      <c r="R89" s="4">
        <v>0</v>
      </c>
      <c r="S89" s="4">
        <f>(320+350)/2</f>
        <v>335</v>
      </c>
      <c r="T89" s="4">
        <v>81.400000000000006</v>
      </c>
      <c r="U89" s="4">
        <v>1820</v>
      </c>
      <c r="V89" s="4"/>
      <c r="W89" s="4"/>
      <c r="X89" s="4"/>
      <c r="Y89" s="4">
        <v>5.2</v>
      </c>
      <c r="Z89" s="4"/>
      <c r="AA89" s="4"/>
      <c r="AB89" s="4"/>
      <c r="AC89" s="4"/>
      <c r="AD89" s="4"/>
      <c r="AE89" s="4"/>
      <c r="AF89" s="4"/>
      <c r="AG89" s="4"/>
      <c r="AH89" s="4"/>
      <c r="AI89" s="4"/>
      <c r="AJ89" s="4"/>
      <c r="AK89" s="4"/>
      <c r="AL89" s="4"/>
      <c r="AM89" s="4"/>
      <c r="AN89" s="4"/>
      <c r="AO89" s="4"/>
      <c r="AP89" s="4"/>
      <c r="AQ89" s="4"/>
      <c r="AR89" s="4"/>
      <c r="AS89" s="4"/>
      <c r="AT89" s="4"/>
      <c r="AV89" s="4"/>
      <c r="AW89" s="4"/>
      <c r="AX89" s="4"/>
      <c r="AY89" s="4">
        <v>16</v>
      </c>
      <c r="AZ89" s="4"/>
      <c r="BA89" s="4"/>
      <c r="BB89" s="4"/>
      <c r="BC89" s="4"/>
      <c r="BD89" s="4"/>
      <c r="BE89" s="4"/>
      <c r="BF89" s="4"/>
      <c r="BG89" s="4"/>
      <c r="BH89" s="4"/>
      <c r="BI89" s="4"/>
      <c r="BJ89" s="4"/>
      <c r="BK89" s="4"/>
      <c r="BL89" s="4"/>
      <c r="BM89" s="4">
        <f>3.23%*BV89</f>
        <v>1.258731</v>
      </c>
      <c r="BN89" s="4">
        <f>10.7%*BV89</f>
        <v>4.1697899999999999</v>
      </c>
      <c r="BO89" s="4">
        <f>58.67%*BV89</f>
        <v>22.863699</v>
      </c>
      <c r="BP89" s="4">
        <f>56.58*0.5</f>
        <v>28.29</v>
      </c>
      <c r="BQ89" s="4">
        <f t="shared" ref="BQ89" si="13">BU89/BP89</f>
        <v>0.37751855779427362</v>
      </c>
      <c r="BR89" s="4">
        <f>17.25%*BV89</f>
        <v>6.7223249999999997</v>
      </c>
      <c r="BS89" s="4">
        <f>10.16%*BV89</f>
        <v>3.9593519999999995</v>
      </c>
      <c r="BT89" s="4"/>
      <c r="BU89" s="4">
        <f>21.36*0.5</f>
        <v>10.68</v>
      </c>
      <c r="BV89" s="4">
        <f>BP89+BU89</f>
        <v>38.97</v>
      </c>
      <c r="BW89" s="4"/>
      <c r="BX89" s="4"/>
      <c r="BY89" s="4">
        <f>0.495*0.5</f>
        <v>0.2475</v>
      </c>
      <c r="BZ89" s="4"/>
      <c r="CA89" s="4"/>
      <c r="CB89" s="4"/>
      <c r="CC89" s="4"/>
      <c r="CD89" s="4">
        <f>2.475*0.5</f>
        <v>1.2375</v>
      </c>
      <c r="CE89" s="4"/>
      <c r="CF89" s="4">
        <f>(10.77+0.054+0.326)*0.5+CD89</f>
        <v>6.8125</v>
      </c>
      <c r="CG89" s="4"/>
      <c r="CH89" s="4"/>
      <c r="CI89" s="4"/>
      <c r="CJ89" s="4">
        <v>4.2720000000000002</v>
      </c>
      <c r="CK89" s="4">
        <f>CF89+CJ89</f>
        <v>11.0845</v>
      </c>
      <c r="CL89" s="4"/>
      <c r="CM89" s="4"/>
      <c r="CN89" s="4"/>
      <c r="CO89" s="4"/>
      <c r="CP89" s="2" t="s">
        <v>573</v>
      </c>
      <c r="CQ89" s="2" t="s">
        <v>254</v>
      </c>
      <c r="CR89" s="10" t="s">
        <v>574</v>
      </c>
      <c r="CS89" s="9" t="s">
        <v>256</v>
      </c>
    </row>
    <row r="90" spans="1:97" s="2" customFormat="1" ht="12.75">
      <c r="A90" s="2">
        <v>87</v>
      </c>
      <c r="B90" s="2" t="s">
        <v>558</v>
      </c>
      <c r="C90" s="2" t="s">
        <v>575</v>
      </c>
      <c r="D90" s="4" t="s">
        <v>116</v>
      </c>
      <c r="E90" s="2" t="s">
        <v>576</v>
      </c>
      <c r="F90" s="14" t="s">
        <v>577</v>
      </c>
      <c r="G90" s="2">
        <v>2010</v>
      </c>
      <c r="H90" s="2">
        <v>2011</v>
      </c>
      <c r="I90" s="2">
        <v>1</v>
      </c>
      <c r="J90" s="2">
        <v>0</v>
      </c>
      <c r="K90" s="2">
        <v>0</v>
      </c>
      <c r="L90" s="2">
        <v>1</v>
      </c>
      <c r="M90" s="2">
        <v>0</v>
      </c>
      <c r="N90" s="2">
        <v>0</v>
      </c>
      <c r="O90" s="4">
        <v>16.600000000000001</v>
      </c>
      <c r="P90" s="4">
        <f>(O90-5)*12</f>
        <v>139.20000000000002</v>
      </c>
      <c r="Q90" s="4">
        <v>1270</v>
      </c>
      <c r="R90" s="4">
        <v>0</v>
      </c>
      <c r="S90" s="4">
        <v>380</v>
      </c>
      <c r="T90" s="4">
        <v>70.2</v>
      </c>
      <c r="U90" s="4">
        <v>2021</v>
      </c>
      <c r="V90" s="4"/>
      <c r="W90" s="4"/>
      <c r="X90" s="4"/>
      <c r="Y90" s="4"/>
      <c r="Z90" s="4"/>
      <c r="AA90" s="4"/>
      <c r="AB90" s="4"/>
      <c r="AC90" s="4"/>
      <c r="AD90" s="4"/>
      <c r="AE90" s="4"/>
      <c r="AF90" s="4"/>
      <c r="AG90" s="4"/>
      <c r="AH90" s="4"/>
      <c r="AI90" s="4"/>
      <c r="AJ90" s="4"/>
      <c r="AK90" s="4"/>
      <c r="AL90" s="4"/>
      <c r="AM90" s="4"/>
      <c r="AN90" s="4"/>
      <c r="AO90" s="4"/>
      <c r="AP90" s="4"/>
      <c r="AQ90" s="4"/>
      <c r="AR90" s="4"/>
      <c r="AS90" s="4"/>
      <c r="AT90" s="4"/>
      <c r="AV90" s="4"/>
      <c r="AW90" s="4"/>
      <c r="AX90" s="4">
        <f>(12+18)/2</f>
        <v>15</v>
      </c>
      <c r="AY90" s="4">
        <f>(13+20)/2</f>
        <v>16.5</v>
      </c>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v>6.68</v>
      </c>
      <c r="CP90" s="2" t="s">
        <v>578</v>
      </c>
      <c r="CQ90" s="2" t="s">
        <v>254</v>
      </c>
      <c r="CR90" s="10" t="s">
        <v>579</v>
      </c>
      <c r="CS90" s="9" t="s">
        <v>256</v>
      </c>
    </row>
    <row r="91" spans="1:97" s="2" customFormat="1" ht="12.75">
      <c r="A91" s="2">
        <v>88</v>
      </c>
      <c r="B91" s="2" t="s">
        <v>558</v>
      </c>
      <c r="C91" s="2" t="s">
        <v>580</v>
      </c>
      <c r="D91" s="4" t="s">
        <v>116</v>
      </c>
      <c r="E91" s="2" t="s">
        <v>581</v>
      </c>
      <c r="F91" s="14" t="s">
        <v>582</v>
      </c>
      <c r="G91" s="2">
        <v>2014</v>
      </c>
      <c r="H91" s="2">
        <v>2016</v>
      </c>
      <c r="I91" s="2">
        <v>1</v>
      </c>
      <c r="J91" s="2">
        <v>0</v>
      </c>
      <c r="K91" s="2">
        <v>1</v>
      </c>
      <c r="L91" s="2">
        <v>0</v>
      </c>
      <c r="M91" s="2">
        <v>0</v>
      </c>
      <c r="N91" s="2">
        <v>0</v>
      </c>
      <c r="O91" s="4">
        <v>15.8</v>
      </c>
      <c r="P91" s="4">
        <f t="shared" si="8"/>
        <v>129.60000000000002</v>
      </c>
      <c r="Q91" s="4">
        <v>1450</v>
      </c>
      <c r="R91" s="4">
        <v>0</v>
      </c>
      <c r="S91" s="4">
        <f>(150+200)/2</f>
        <v>175</v>
      </c>
      <c r="T91" s="4"/>
      <c r="U91" s="4">
        <v>1847</v>
      </c>
      <c r="V91" s="4"/>
      <c r="W91" s="4"/>
      <c r="X91" s="4"/>
      <c r="Y91" s="4">
        <f>(4.96+4.96)/2</f>
        <v>4.96</v>
      </c>
      <c r="Z91" s="4">
        <v>1.76</v>
      </c>
      <c r="AA91" s="4"/>
      <c r="AB91" s="4"/>
      <c r="AC91" s="4">
        <v>7.52</v>
      </c>
      <c r="AD91" s="4"/>
      <c r="AE91" s="4"/>
      <c r="AF91" s="4"/>
      <c r="AG91" s="4"/>
      <c r="AH91" s="4"/>
      <c r="AI91" s="4">
        <f>(498/(498+321+181)*100)</f>
        <v>49.8</v>
      </c>
      <c r="AJ91" s="4">
        <f>(321/(498+321+181)*100)</f>
        <v>32.1</v>
      </c>
      <c r="AK91" s="4">
        <f>(181/(498+321+181)*100)</f>
        <v>18.099999999999998</v>
      </c>
      <c r="AL91" s="4"/>
      <c r="AM91" s="4"/>
      <c r="AN91" s="4"/>
      <c r="AO91" s="4"/>
      <c r="AP91" s="4"/>
      <c r="AQ91" s="4"/>
      <c r="AR91" s="4"/>
      <c r="AS91" s="4"/>
      <c r="AT91" s="4"/>
      <c r="AV91" s="4"/>
      <c r="AW91" s="4">
        <v>3000</v>
      </c>
      <c r="AX91" s="4">
        <v>9.8000000000000007</v>
      </c>
      <c r="AY91" s="4"/>
      <c r="AZ91" s="4">
        <f t="shared" ref="AZ91:AZ101" si="14">(AX91/2)^2*PI()*AW91/10000</f>
        <v>22.628891883807285</v>
      </c>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f>31.66*12/44</f>
        <v>8.6345454545454547</v>
      </c>
      <c r="CM91" s="4">
        <f>20.11*12/44</f>
        <v>5.4845454545454544</v>
      </c>
      <c r="CN91" s="4">
        <f>CL91-CM91</f>
        <v>3.1500000000000004</v>
      </c>
      <c r="CO91" s="4"/>
      <c r="CP91" s="2" t="s">
        <v>583</v>
      </c>
      <c r="CQ91" s="2" t="s">
        <v>254</v>
      </c>
      <c r="CR91" s="10" t="s">
        <v>584</v>
      </c>
      <c r="CS91" s="9" t="s">
        <v>256</v>
      </c>
    </row>
    <row r="92" spans="1:97" s="2" customFormat="1" ht="12.75">
      <c r="A92" s="2">
        <v>89</v>
      </c>
      <c r="B92" s="2" t="s">
        <v>558</v>
      </c>
      <c r="C92" s="2" t="s">
        <v>580</v>
      </c>
      <c r="D92" s="4" t="s">
        <v>116</v>
      </c>
      <c r="E92" s="2" t="s">
        <v>585</v>
      </c>
      <c r="F92" s="14" t="s">
        <v>586</v>
      </c>
      <c r="G92" s="2">
        <v>2014</v>
      </c>
      <c r="H92" s="2">
        <v>2016</v>
      </c>
      <c r="I92" s="2">
        <v>1</v>
      </c>
      <c r="J92" s="2">
        <v>1</v>
      </c>
      <c r="K92" s="2">
        <v>1</v>
      </c>
      <c r="L92" s="2">
        <v>0</v>
      </c>
      <c r="M92" s="2">
        <v>0</v>
      </c>
      <c r="N92" s="2">
        <v>0</v>
      </c>
      <c r="O92" s="4">
        <v>15.8</v>
      </c>
      <c r="P92" s="4">
        <f t="shared" si="8"/>
        <v>129.60000000000002</v>
      </c>
      <c r="Q92" s="4">
        <v>1450</v>
      </c>
      <c r="R92" s="4">
        <v>0</v>
      </c>
      <c r="S92" s="4">
        <f>(150+200)/2</f>
        <v>175</v>
      </c>
      <c r="T92" s="4"/>
      <c r="U92" s="4">
        <v>1847</v>
      </c>
      <c r="V92" s="4"/>
      <c r="W92" s="4"/>
      <c r="X92" s="4"/>
      <c r="Y92" s="4">
        <v>5.18</v>
      </c>
      <c r="Z92" s="4">
        <v>2.15</v>
      </c>
      <c r="AA92" s="4"/>
      <c r="AB92" s="4"/>
      <c r="AC92" s="4">
        <v>9.1</v>
      </c>
      <c r="AD92" s="4"/>
      <c r="AE92" s="4"/>
      <c r="AF92" s="4"/>
      <c r="AG92" s="4"/>
      <c r="AH92" s="4"/>
      <c r="AI92" s="4">
        <f>(498/(498+321+181)*100)</f>
        <v>49.8</v>
      </c>
      <c r="AJ92" s="4">
        <f>(321/(498+321+181)*100)</f>
        <v>32.1</v>
      </c>
      <c r="AK92" s="4">
        <f>(181/(498+321+181)*100)</f>
        <v>18.099999999999998</v>
      </c>
      <c r="AL92" s="4"/>
      <c r="AM92" s="4"/>
      <c r="AN92" s="4"/>
      <c r="AO92" s="4"/>
      <c r="AP92" s="4"/>
      <c r="AQ92" s="4"/>
      <c r="AR92" s="4"/>
      <c r="AS92" s="4"/>
      <c r="AT92" s="4"/>
      <c r="AV92" s="4"/>
      <c r="AW92" s="4">
        <v>3000</v>
      </c>
      <c r="AX92" s="4">
        <v>9.8000000000000007</v>
      </c>
      <c r="AY92" s="4"/>
      <c r="AZ92" s="4">
        <f t="shared" si="14"/>
        <v>22.628891883807285</v>
      </c>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f>32.32*12/44</f>
        <v>8.8145454545454545</v>
      </c>
      <c r="CM92" s="4">
        <f>17.71*12/44</f>
        <v>4.83</v>
      </c>
      <c r="CN92" s="4">
        <f>CL92-CM92</f>
        <v>3.9845454545454544</v>
      </c>
      <c r="CO92" s="4"/>
      <c r="CP92" s="2" t="s">
        <v>583</v>
      </c>
      <c r="CQ92" s="2" t="s">
        <v>254</v>
      </c>
      <c r="CR92" s="10" t="s">
        <v>584</v>
      </c>
      <c r="CS92" s="9" t="s">
        <v>256</v>
      </c>
    </row>
    <row r="93" spans="1:97" s="2" customFormat="1" ht="12.75">
      <c r="A93" s="2">
        <v>90</v>
      </c>
      <c r="B93" s="2" t="s">
        <v>558</v>
      </c>
      <c r="C93" s="2" t="s">
        <v>580</v>
      </c>
      <c r="D93" s="4" t="s">
        <v>116</v>
      </c>
      <c r="E93" s="2" t="s">
        <v>587</v>
      </c>
      <c r="F93" s="14" t="s">
        <v>588</v>
      </c>
      <c r="G93" s="2">
        <v>2014</v>
      </c>
      <c r="H93" s="2">
        <v>2016</v>
      </c>
      <c r="I93" s="2">
        <v>1</v>
      </c>
      <c r="J93" s="2">
        <v>1</v>
      </c>
      <c r="K93" s="2">
        <v>1</v>
      </c>
      <c r="L93" s="2">
        <v>0</v>
      </c>
      <c r="M93" s="2">
        <v>0</v>
      </c>
      <c r="N93" s="2">
        <v>0</v>
      </c>
      <c r="O93" s="4">
        <v>15.8</v>
      </c>
      <c r="P93" s="4">
        <f t="shared" si="8"/>
        <v>129.60000000000002</v>
      </c>
      <c r="Q93" s="4">
        <v>1450</v>
      </c>
      <c r="R93" s="4">
        <v>0</v>
      </c>
      <c r="S93" s="4">
        <f>(150+200)/2</f>
        <v>175</v>
      </c>
      <c r="T93" s="4"/>
      <c r="U93" s="4">
        <v>1847</v>
      </c>
      <c r="V93" s="4"/>
      <c r="W93" s="4"/>
      <c r="X93" s="4"/>
      <c r="Y93" s="4">
        <v>4.62</v>
      </c>
      <c r="Z93" s="4">
        <v>2.02</v>
      </c>
      <c r="AA93" s="4"/>
      <c r="AB93" s="4"/>
      <c r="AC93" s="4">
        <v>8.7899999999999991</v>
      </c>
      <c r="AD93" s="4"/>
      <c r="AE93" s="4"/>
      <c r="AF93" s="4"/>
      <c r="AG93" s="4"/>
      <c r="AH93" s="4"/>
      <c r="AI93" s="4">
        <f>(498/(498+321+181)*100)</f>
        <v>49.8</v>
      </c>
      <c r="AJ93" s="4">
        <f>(321/(498+321+181)*100)</f>
        <v>32.1</v>
      </c>
      <c r="AK93" s="4">
        <f>(181/(498+321+181)*100)</f>
        <v>18.099999999999998</v>
      </c>
      <c r="AL93" s="4"/>
      <c r="AM93" s="4"/>
      <c r="AN93" s="4"/>
      <c r="AO93" s="4"/>
      <c r="AP93" s="4"/>
      <c r="AQ93" s="4"/>
      <c r="AR93" s="4"/>
      <c r="AS93" s="4"/>
      <c r="AT93" s="4"/>
      <c r="AV93" s="4"/>
      <c r="AW93" s="4">
        <v>3000</v>
      </c>
      <c r="AX93" s="4">
        <v>9.8000000000000007</v>
      </c>
      <c r="AY93" s="4"/>
      <c r="AZ93" s="4">
        <f t="shared" si="14"/>
        <v>22.628891883807285</v>
      </c>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f>37.65*12/44</f>
        <v>10.268181818181818</v>
      </c>
      <c r="CM93" s="4">
        <f>22.06*12/44</f>
        <v>6.0163636363636357</v>
      </c>
      <c r="CN93" s="4">
        <f>CL93-CM93</f>
        <v>4.2518181818181819</v>
      </c>
      <c r="CO93" s="4"/>
      <c r="CP93" s="2" t="s">
        <v>583</v>
      </c>
      <c r="CQ93" s="2" t="s">
        <v>254</v>
      </c>
      <c r="CR93" s="10" t="s">
        <v>584</v>
      </c>
      <c r="CS93" s="9" t="s">
        <v>256</v>
      </c>
    </row>
    <row r="94" spans="1:97" s="2" customFormat="1" ht="12.75">
      <c r="A94" s="2">
        <v>91</v>
      </c>
      <c r="B94" s="2" t="s">
        <v>558</v>
      </c>
      <c r="C94" s="2" t="s">
        <v>580</v>
      </c>
      <c r="D94" s="4" t="s">
        <v>116</v>
      </c>
      <c r="E94" s="2" t="s">
        <v>589</v>
      </c>
      <c r="F94" s="14" t="s">
        <v>590</v>
      </c>
      <c r="G94" s="2">
        <v>2014</v>
      </c>
      <c r="H94" s="2">
        <v>2016</v>
      </c>
      <c r="I94" s="2">
        <v>1</v>
      </c>
      <c r="J94" s="2">
        <v>1</v>
      </c>
      <c r="K94" s="2">
        <v>1</v>
      </c>
      <c r="L94" s="2">
        <v>0</v>
      </c>
      <c r="M94" s="2">
        <v>0</v>
      </c>
      <c r="N94" s="2">
        <v>0</v>
      </c>
      <c r="O94" s="4">
        <v>15.8</v>
      </c>
      <c r="P94" s="4">
        <f t="shared" si="8"/>
        <v>129.60000000000002</v>
      </c>
      <c r="Q94" s="4">
        <v>1450</v>
      </c>
      <c r="R94" s="4">
        <v>0</v>
      </c>
      <c r="S94" s="4">
        <f>(150+200)/2</f>
        <v>175</v>
      </c>
      <c r="T94" s="4"/>
      <c r="U94" s="4">
        <v>1847</v>
      </c>
      <c r="V94" s="4"/>
      <c r="W94" s="4"/>
      <c r="X94" s="4"/>
      <c r="Y94" s="4">
        <v>4.8499999999999996</v>
      </c>
      <c r="Z94" s="4">
        <v>2.09</v>
      </c>
      <c r="AA94" s="4"/>
      <c r="AB94" s="4"/>
      <c r="AC94" s="4">
        <v>8.81</v>
      </c>
      <c r="AD94" s="4"/>
      <c r="AE94" s="4"/>
      <c r="AF94" s="4"/>
      <c r="AG94" s="4"/>
      <c r="AH94" s="4"/>
      <c r="AI94" s="4">
        <f>(498/(498+321+181)*100)</f>
        <v>49.8</v>
      </c>
      <c r="AJ94" s="4">
        <f>(321/(498+321+181)*100)</f>
        <v>32.1</v>
      </c>
      <c r="AK94" s="4">
        <f>(181/(498+321+181)*100)</f>
        <v>18.099999999999998</v>
      </c>
      <c r="AL94" s="4"/>
      <c r="AM94" s="4"/>
      <c r="AN94" s="4"/>
      <c r="AO94" s="4"/>
      <c r="AP94" s="4"/>
      <c r="AQ94" s="4"/>
      <c r="AR94" s="4"/>
      <c r="AS94" s="4"/>
      <c r="AT94" s="4"/>
      <c r="AV94" s="4"/>
      <c r="AW94" s="4">
        <v>3000</v>
      </c>
      <c r="AX94" s="4">
        <v>9.8000000000000007</v>
      </c>
      <c r="AY94" s="4"/>
      <c r="AZ94" s="4">
        <f t="shared" si="14"/>
        <v>22.628891883807285</v>
      </c>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f>36.53*12/44</f>
        <v>9.9627272727272729</v>
      </c>
      <c r="CM94" s="4">
        <f>21.47*12/44</f>
        <v>5.8554545454545455</v>
      </c>
      <c r="CN94" s="4">
        <f>CL94-CM94</f>
        <v>4.1072727272727274</v>
      </c>
      <c r="CO94" s="4"/>
      <c r="CP94" s="2" t="s">
        <v>583</v>
      </c>
      <c r="CQ94" s="2" t="s">
        <v>254</v>
      </c>
      <c r="CR94" s="10" t="s">
        <v>584</v>
      </c>
      <c r="CS94" s="9" t="s">
        <v>256</v>
      </c>
    </row>
    <row r="95" spans="1:97" s="2" customFormat="1" ht="12.75">
      <c r="A95" s="2">
        <v>92</v>
      </c>
      <c r="B95" s="2" t="s">
        <v>558</v>
      </c>
      <c r="C95" s="2" t="s">
        <v>591</v>
      </c>
      <c r="D95" s="4" t="s">
        <v>250</v>
      </c>
      <c r="E95" s="2" t="s">
        <v>592</v>
      </c>
      <c r="F95" s="14" t="s">
        <v>593</v>
      </c>
      <c r="G95" s="2">
        <v>2013</v>
      </c>
      <c r="H95" s="2">
        <v>2013</v>
      </c>
      <c r="I95" s="2">
        <v>1</v>
      </c>
      <c r="J95" s="2">
        <v>0</v>
      </c>
      <c r="K95" s="2">
        <v>1</v>
      </c>
      <c r="L95" s="2">
        <v>1</v>
      </c>
      <c r="M95" s="2">
        <v>0</v>
      </c>
      <c r="N95" s="2">
        <v>0</v>
      </c>
      <c r="O95" s="4">
        <v>16.399999999999999</v>
      </c>
      <c r="P95" s="4">
        <f t="shared" si="8"/>
        <v>136.79999999999998</v>
      </c>
      <c r="Q95" s="4">
        <v>1628</v>
      </c>
      <c r="R95" s="4">
        <v>0</v>
      </c>
      <c r="S95" s="4">
        <f>(165+220)/2</f>
        <v>192.5</v>
      </c>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V95" s="4"/>
      <c r="AW95" s="4">
        <v>3400</v>
      </c>
      <c r="AX95" s="4">
        <v>10.1</v>
      </c>
      <c r="AY95" s="4"/>
      <c r="AZ95" s="4">
        <f t="shared" si="14"/>
        <v>27.240278660379055</v>
      </c>
      <c r="BA95" s="4"/>
      <c r="BB95" s="4"/>
      <c r="BC95" s="4"/>
      <c r="BD95" s="4"/>
      <c r="BE95" s="4"/>
      <c r="BF95" s="4"/>
      <c r="BG95" s="4"/>
      <c r="BH95" s="4"/>
      <c r="BI95" s="4"/>
      <c r="BJ95" s="4"/>
      <c r="BK95" s="4"/>
      <c r="BL95" s="4"/>
      <c r="BM95" s="4"/>
      <c r="BN95" s="4">
        <v>7.0030480000000006</v>
      </c>
      <c r="BO95" s="4">
        <v>27.351870000000002</v>
      </c>
      <c r="BP95" s="4">
        <f>SUM(BM95:BO95)</f>
        <v>34.354918000000005</v>
      </c>
      <c r="BQ95" s="4">
        <f>BU95/BP95</f>
        <v>0.7056956445071414</v>
      </c>
      <c r="BR95" s="4">
        <v>8.317634</v>
      </c>
      <c r="BS95" s="4">
        <v>4.955444</v>
      </c>
      <c r="BT95" s="4">
        <v>10.971037999999998</v>
      </c>
      <c r="BU95" s="4">
        <f>SUM(BR95:BT95)</f>
        <v>24.244115999999998</v>
      </c>
      <c r="BV95" s="4">
        <f>BP95+BU95</f>
        <v>58.599034000000003</v>
      </c>
      <c r="BW95" s="4">
        <v>1.799226</v>
      </c>
      <c r="BX95" s="4">
        <v>119.5</v>
      </c>
      <c r="BY95" s="4"/>
      <c r="BZ95" s="4">
        <f>SUM(BV95:BY95)</f>
        <v>179.89825999999999</v>
      </c>
      <c r="CA95" s="4"/>
      <c r="CB95" s="4"/>
      <c r="CC95" s="4"/>
      <c r="CD95" s="4"/>
      <c r="CE95" s="4"/>
      <c r="CF95" s="4">
        <f>BP95/5</f>
        <v>6.8709836000000006</v>
      </c>
      <c r="CG95" s="4"/>
      <c r="CH95" s="4"/>
      <c r="CI95" s="4"/>
      <c r="CJ95" s="4"/>
      <c r="CK95" s="4"/>
      <c r="CL95" s="4"/>
      <c r="CM95" s="4"/>
      <c r="CN95" s="4"/>
      <c r="CO95" s="4"/>
      <c r="CP95" s="2" t="s">
        <v>594</v>
      </c>
      <c r="CQ95" s="2" t="s">
        <v>254</v>
      </c>
      <c r="CR95" s="10" t="s">
        <v>595</v>
      </c>
      <c r="CS95" s="9" t="s">
        <v>256</v>
      </c>
    </row>
    <row r="96" spans="1:97" s="2" customFormat="1" ht="12.75">
      <c r="A96" s="2">
        <v>93</v>
      </c>
      <c r="B96" s="2" t="s">
        <v>558</v>
      </c>
      <c r="C96" s="2" t="s">
        <v>596</v>
      </c>
      <c r="D96" s="4" t="s">
        <v>250</v>
      </c>
      <c r="E96" s="2" t="s">
        <v>592</v>
      </c>
      <c r="F96" s="14" t="s">
        <v>597</v>
      </c>
      <c r="G96" s="2">
        <v>2013</v>
      </c>
      <c r="H96" s="2">
        <v>2013</v>
      </c>
      <c r="I96" s="2">
        <v>1</v>
      </c>
      <c r="J96" s="2">
        <v>0</v>
      </c>
      <c r="K96" s="2">
        <v>1</v>
      </c>
      <c r="L96" s="2">
        <v>1</v>
      </c>
      <c r="M96" s="2">
        <v>0</v>
      </c>
      <c r="N96" s="2">
        <v>0</v>
      </c>
      <c r="O96" s="4">
        <v>17.100000000000001</v>
      </c>
      <c r="P96" s="4">
        <f t="shared" si="8"/>
        <v>145.20000000000002</v>
      </c>
      <c r="Q96" s="4">
        <v>1602</v>
      </c>
      <c r="R96" s="4">
        <v>0</v>
      </c>
      <c r="S96" s="4">
        <f>(248+265)/2</f>
        <v>256.5</v>
      </c>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V96" s="4"/>
      <c r="AW96" s="4">
        <v>3378</v>
      </c>
      <c r="AX96" s="4">
        <v>10.119999999999999</v>
      </c>
      <c r="AY96" s="4"/>
      <c r="AZ96" s="4">
        <f t="shared" si="14"/>
        <v>27.171308386589551</v>
      </c>
      <c r="BA96" s="4"/>
      <c r="BB96" s="4"/>
      <c r="BC96" s="4"/>
      <c r="BD96" s="4"/>
      <c r="BE96" s="4"/>
      <c r="BF96" s="4"/>
      <c r="BG96" s="4"/>
      <c r="BH96" s="4"/>
      <c r="BI96" s="4"/>
      <c r="BJ96" s="4"/>
      <c r="BK96" s="4"/>
      <c r="BL96" s="4"/>
      <c r="BM96" s="4"/>
      <c r="BN96" s="4">
        <v>8.3222719999999999</v>
      </c>
      <c r="BO96" s="4">
        <v>23.906903999999997</v>
      </c>
      <c r="BP96" s="4">
        <f t="shared" ref="BP96:BP98" si="15">SUM(BM96:BO96)</f>
        <v>32.229175999999995</v>
      </c>
      <c r="BQ96" s="4">
        <f>BU96/BP96</f>
        <v>0.49375761266747886</v>
      </c>
      <c r="BR96" s="4">
        <v>5.5105610000000009</v>
      </c>
      <c r="BS96" s="4">
        <v>3.7931110000000006</v>
      </c>
      <c r="BT96" s="4">
        <v>6.6097290000000006</v>
      </c>
      <c r="BU96" s="4">
        <f t="shared" ref="BU96:BU98" si="16">SUM(BR96:BT96)</f>
        <v>15.913401000000004</v>
      </c>
      <c r="BV96" s="4">
        <f t="shared" ref="BV96:BV98" si="17">BP96+BU96</f>
        <v>48.142577000000003</v>
      </c>
      <c r="BW96" s="4">
        <v>0.90779500000000013</v>
      </c>
      <c r="BX96" s="4">
        <v>114.7</v>
      </c>
      <c r="BY96" s="4"/>
      <c r="BZ96" s="4">
        <f>SUM(BV96:BY96)</f>
        <v>163.750372</v>
      </c>
      <c r="CA96" s="4"/>
      <c r="CB96" s="4"/>
      <c r="CC96" s="4"/>
      <c r="CD96" s="4"/>
      <c r="CE96" s="4"/>
      <c r="CF96" s="4">
        <f t="shared" ref="CF96:CF98" si="18">BP96/5</f>
        <v>6.4458351999999994</v>
      </c>
      <c r="CG96" s="4"/>
      <c r="CH96" s="4"/>
      <c r="CI96" s="4"/>
      <c r="CJ96" s="4"/>
      <c r="CK96" s="4"/>
      <c r="CL96" s="4"/>
      <c r="CM96" s="4"/>
      <c r="CN96" s="4"/>
      <c r="CO96" s="4"/>
      <c r="CP96" s="2" t="s">
        <v>594</v>
      </c>
      <c r="CQ96" s="2" t="s">
        <v>254</v>
      </c>
      <c r="CR96" s="10" t="s">
        <v>595</v>
      </c>
      <c r="CS96" s="9" t="s">
        <v>256</v>
      </c>
    </row>
    <row r="97" spans="1:97" s="2" customFormat="1" ht="12.75">
      <c r="A97" s="2">
        <v>94</v>
      </c>
      <c r="B97" s="2" t="s">
        <v>558</v>
      </c>
      <c r="C97" s="2" t="s">
        <v>598</v>
      </c>
      <c r="D97" s="4" t="s">
        <v>250</v>
      </c>
      <c r="E97" s="2" t="s">
        <v>592</v>
      </c>
      <c r="F97" s="14" t="s">
        <v>599</v>
      </c>
      <c r="G97" s="2">
        <v>2013</v>
      </c>
      <c r="H97" s="2">
        <v>2013</v>
      </c>
      <c r="I97" s="2">
        <v>1</v>
      </c>
      <c r="J97" s="2">
        <v>0</v>
      </c>
      <c r="K97" s="2">
        <v>1</v>
      </c>
      <c r="L97" s="2">
        <v>1</v>
      </c>
      <c r="M97" s="2">
        <v>0</v>
      </c>
      <c r="N97" s="2">
        <v>0</v>
      </c>
      <c r="O97" s="4">
        <v>19.3</v>
      </c>
      <c r="P97" s="4">
        <f t="shared" si="8"/>
        <v>171.60000000000002</v>
      </c>
      <c r="Q97" s="4">
        <v>1670</v>
      </c>
      <c r="R97" s="4">
        <v>0</v>
      </c>
      <c r="S97" s="4">
        <f>(250+278)/2</f>
        <v>264</v>
      </c>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V97" s="4"/>
      <c r="AW97" s="4">
        <v>3667</v>
      </c>
      <c r="AX97" s="4">
        <v>9.99</v>
      </c>
      <c r="AY97" s="4"/>
      <c r="AZ97" s="4">
        <f t="shared" si="14"/>
        <v>28.74297835103151</v>
      </c>
      <c r="BA97" s="4"/>
      <c r="BB97" s="4"/>
      <c r="BC97" s="4"/>
      <c r="BD97" s="4"/>
      <c r="BE97" s="4"/>
      <c r="BF97" s="4"/>
      <c r="BG97" s="4"/>
      <c r="BH97" s="4"/>
      <c r="BI97" s="4"/>
      <c r="BJ97" s="4"/>
      <c r="BK97" s="4"/>
      <c r="BL97" s="4"/>
      <c r="BM97" s="4"/>
      <c r="BN97" s="4">
        <v>7.2895279999999998</v>
      </c>
      <c r="BO97" s="4">
        <v>30.685542000000002</v>
      </c>
      <c r="BP97" s="4">
        <f t="shared" si="15"/>
        <v>37.975070000000002</v>
      </c>
      <c r="BQ97" s="4">
        <f>BU97/BP97</f>
        <v>0.35880721220527045</v>
      </c>
      <c r="BR97" s="4">
        <v>4.8877759999999997</v>
      </c>
      <c r="BS97" s="4">
        <v>2.7125050000000002</v>
      </c>
      <c r="BT97" s="4">
        <v>6.0254479999999999</v>
      </c>
      <c r="BU97" s="4">
        <f t="shared" si="16"/>
        <v>13.625729</v>
      </c>
      <c r="BV97" s="4">
        <f t="shared" si="17"/>
        <v>51.600799000000002</v>
      </c>
      <c r="BW97" s="4">
        <v>1.0955360000000001</v>
      </c>
      <c r="BX97" s="4">
        <v>98.2</v>
      </c>
      <c r="BY97" s="4"/>
      <c r="BZ97" s="4">
        <f>SUM(BV97:BY97)</f>
        <v>150.89633500000002</v>
      </c>
      <c r="CA97" s="4"/>
      <c r="CB97" s="4"/>
      <c r="CC97" s="4"/>
      <c r="CD97" s="4"/>
      <c r="CE97" s="4"/>
      <c r="CF97" s="4">
        <f t="shared" si="18"/>
        <v>7.5950140000000008</v>
      </c>
      <c r="CG97" s="4"/>
      <c r="CH97" s="4"/>
      <c r="CI97" s="4"/>
      <c r="CJ97" s="4"/>
      <c r="CK97" s="4"/>
      <c r="CL97" s="4"/>
      <c r="CM97" s="4"/>
      <c r="CN97" s="4"/>
      <c r="CO97" s="4"/>
      <c r="CP97" s="2" t="s">
        <v>594</v>
      </c>
      <c r="CQ97" s="2" t="s">
        <v>254</v>
      </c>
      <c r="CR97" s="10" t="s">
        <v>595</v>
      </c>
      <c r="CS97" s="9" t="s">
        <v>256</v>
      </c>
    </row>
    <row r="98" spans="1:97" s="2" customFormat="1" ht="12.75">
      <c r="A98" s="2">
        <v>95</v>
      </c>
      <c r="B98" s="2" t="s">
        <v>558</v>
      </c>
      <c r="C98" s="2" t="s">
        <v>600</v>
      </c>
      <c r="D98" s="4" t="s">
        <v>250</v>
      </c>
      <c r="E98" s="2" t="s">
        <v>592</v>
      </c>
      <c r="F98" s="14" t="s">
        <v>601</v>
      </c>
      <c r="G98" s="2">
        <v>2013</v>
      </c>
      <c r="H98" s="2">
        <v>2013</v>
      </c>
      <c r="I98" s="2">
        <v>1</v>
      </c>
      <c r="J98" s="2">
        <v>0</v>
      </c>
      <c r="K98" s="2">
        <v>1</v>
      </c>
      <c r="L98" s="2">
        <v>1</v>
      </c>
      <c r="M98" s="2">
        <v>0</v>
      </c>
      <c r="N98" s="2">
        <v>0</v>
      </c>
      <c r="O98" s="4">
        <v>21</v>
      </c>
      <c r="P98" s="4">
        <f t="shared" si="8"/>
        <v>192</v>
      </c>
      <c r="Q98" s="4">
        <v>1618</v>
      </c>
      <c r="R98" s="4">
        <v>0</v>
      </c>
      <c r="S98" s="4">
        <f>(204+268)/2</f>
        <v>236</v>
      </c>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V98" s="4"/>
      <c r="AW98" s="4">
        <v>4722</v>
      </c>
      <c r="AX98" s="4">
        <v>8.3699999999999992</v>
      </c>
      <c r="AY98" s="4"/>
      <c r="AZ98" s="4">
        <f t="shared" si="14"/>
        <v>25.98165311216508</v>
      </c>
      <c r="BA98" s="4"/>
      <c r="BB98" s="4"/>
      <c r="BC98" s="4"/>
      <c r="BD98" s="4"/>
      <c r="BE98" s="4"/>
      <c r="BF98" s="4"/>
      <c r="BG98" s="4"/>
      <c r="BH98" s="4"/>
      <c r="BI98" s="4"/>
      <c r="BJ98" s="4"/>
      <c r="BK98" s="4"/>
      <c r="BL98" s="4"/>
      <c r="BM98" s="4"/>
      <c r="BN98" s="4">
        <v>6.956640000000001</v>
      </c>
      <c r="BO98" s="4">
        <v>24.367563999999998</v>
      </c>
      <c r="BP98" s="4">
        <f t="shared" si="15"/>
        <v>31.324203999999998</v>
      </c>
      <c r="BQ98" s="4">
        <f>BU98/BP98</f>
        <v>0.49275138803207896</v>
      </c>
      <c r="BR98" s="4">
        <v>7.1595420000000001</v>
      </c>
      <c r="BS98" s="4">
        <v>3.5266299999999999</v>
      </c>
      <c r="BT98" s="4">
        <v>4.7488730000000006</v>
      </c>
      <c r="BU98" s="4">
        <f t="shared" si="16"/>
        <v>15.435044999999999</v>
      </c>
      <c r="BV98" s="4">
        <f t="shared" si="17"/>
        <v>46.759248999999997</v>
      </c>
      <c r="BW98" s="4">
        <v>1.5749059999999999</v>
      </c>
      <c r="BX98" s="4">
        <v>87.83</v>
      </c>
      <c r="BY98" s="4"/>
      <c r="BZ98" s="4">
        <f>SUM(BV98:BY98)</f>
        <v>136.16415499999999</v>
      </c>
      <c r="CA98" s="4"/>
      <c r="CB98" s="4"/>
      <c r="CC98" s="4"/>
      <c r="CD98" s="4"/>
      <c r="CE98" s="4"/>
      <c r="CF98" s="4">
        <f t="shared" si="18"/>
        <v>6.2648408</v>
      </c>
      <c r="CG98" s="4"/>
      <c r="CH98" s="4"/>
      <c r="CI98" s="4"/>
      <c r="CJ98" s="4"/>
      <c r="CK98" s="4"/>
      <c r="CL98" s="4"/>
      <c r="CM98" s="4"/>
      <c r="CN98" s="4"/>
      <c r="CO98" s="4"/>
      <c r="CP98" s="2" t="s">
        <v>594</v>
      </c>
      <c r="CQ98" s="2" t="s">
        <v>254</v>
      </c>
      <c r="CR98" s="10" t="s">
        <v>595</v>
      </c>
      <c r="CS98" s="9" t="s">
        <v>256</v>
      </c>
    </row>
    <row r="99" spans="1:97" s="2" customFormat="1" ht="12.75">
      <c r="A99" s="2">
        <v>96</v>
      </c>
      <c r="B99" s="2" t="s">
        <v>558</v>
      </c>
      <c r="C99" s="2" t="s">
        <v>602</v>
      </c>
      <c r="D99" s="4" t="s">
        <v>116</v>
      </c>
      <c r="E99" s="2" t="s">
        <v>603</v>
      </c>
      <c r="F99" s="14" t="s">
        <v>604</v>
      </c>
      <c r="G99" s="2">
        <v>2017</v>
      </c>
      <c r="H99" s="2">
        <v>2017</v>
      </c>
      <c r="I99" s="2">
        <v>0</v>
      </c>
      <c r="J99" s="2">
        <v>0</v>
      </c>
      <c r="K99" s="2">
        <v>0</v>
      </c>
      <c r="L99" s="2">
        <v>0</v>
      </c>
      <c r="M99" s="2">
        <v>0</v>
      </c>
      <c r="N99" s="2">
        <v>1</v>
      </c>
      <c r="O99" s="4">
        <v>17.489999999999998</v>
      </c>
      <c r="P99" s="4">
        <f t="shared" si="8"/>
        <v>149.88</v>
      </c>
      <c r="Q99" s="4">
        <v>1420</v>
      </c>
      <c r="R99" s="4">
        <v>0</v>
      </c>
      <c r="S99" s="4">
        <f>(100+300)/2</f>
        <v>200</v>
      </c>
      <c r="T99" s="4"/>
      <c r="U99" s="4">
        <v>1774</v>
      </c>
      <c r="V99" s="4"/>
      <c r="W99" s="4"/>
      <c r="X99" s="4"/>
      <c r="Y99" s="4">
        <v>5.21</v>
      </c>
      <c r="Z99" s="4"/>
      <c r="AA99" s="4"/>
      <c r="AB99" s="4"/>
      <c r="AC99" s="4"/>
      <c r="AD99" s="4"/>
      <c r="AE99" s="4"/>
      <c r="AF99" s="4"/>
      <c r="AG99" s="4"/>
      <c r="AH99" s="4"/>
      <c r="AI99" s="4"/>
      <c r="AJ99" s="4"/>
      <c r="AK99" s="4"/>
      <c r="AL99" s="4"/>
      <c r="AM99" s="4"/>
      <c r="AN99" s="4"/>
      <c r="AO99" s="4"/>
      <c r="AP99" s="4"/>
      <c r="AQ99" s="4"/>
      <c r="AR99" s="4"/>
      <c r="AS99" s="4"/>
      <c r="AT99" s="4"/>
      <c r="AV99" s="4"/>
      <c r="AW99" s="4">
        <v>2500</v>
      </c>
      <c r="AX99" s="4">
        <v>8.9700000000000006</v>
      </c>
      <c r="AY99" s="4">
        <v>10.5</v>
      </c>
      <c r="AZ99" s="4">
        <f t="shared" si="14"/>
        <v>15.798460771326438</v>
      </c>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f>28.16*12/44</f>
        <v>7.6800000000000006</v>
      </c>
      <c r="CG99" s="4"/>
      <c r="CH99" s="4"/>
      <c r="CI99" s="4"/>
      <c r="CJ99" s="4"/>
      <c r="CK99" s="4"/>
      <c r="CL99" s="4">
        <f>72.04*12/44</f>
        <v>19.647272727272728</v>
      </c>
      <c r="CM99" s="4"/>
      <c r="CN99" s="4"/>
      <c r="CO99" s="4">
        <f>4.71*12/44</f>
        <v>1.2845454545454544</v>
      </c>
      <c r="CP99" s="2" t="s">
        <v>605</v>
      </c>
      <c r="CQ99" s="2" t="s">
        <v>254</v>
      </c>
      <c r="CR99" s="10" t="s">
        <v>606</v>
      </c>
      <c r="CS99" s="9" t="s">
        <v>256</v>
      </c>
    </row>
    <row r="100" spans="1:97" s="2" customFormat="1" ht="12.75">
      <c r="A100" s="2">
        <v>97</v>
      </c>
      <c r="B100" s="2" t="s">
        <v>558</v>
      </c>
      <c r="C100" s="2" t="s">
        <v>591</v>
      </c>
      <c r="D100" s="4" t="s">
        <v>116</v>
      </c>
      <c r="E100" s="2" t="s">
        <v>607</v>
      </c>
      <c r="F100" s="14" t="s">
        <v>608</v>
      </c>
      <c r="G100" s="2">
        <v>2013</v>
      </c>
      <c r="H100" s="2">
        <v>2015</v>
      </c>
      <c r="I100" s="2">
        <v>1</v>
      </c>
      <c r="J100" s="2">
        <v>0</v>
      </c>
      <c r="K100" s="2">
        <v>1</v>
      </c>
      <c r="L100" s="2">
        <v>1</v>
      </c>
      <c r="M100" s="2">
        <v>0</v>
      </c>
      <c r="N100" s="2">
        <v>1</v>
      </c>
      <c r="O100" s="4">
        <v>15.6</v>
      </c>
      <c r="P100" s="4">
        <f t="shared" si="8"/>
        <v>127.19999999999999</v>
      </c>
      <c r="Q100" s="4">
        <v>1420</v>
      </c>
      <c r="R100" s="4">
        <v>0</v>
      </c>
      <c r="S100" s="4">
        <f>(100+300)/2</f>
        <v>200</v>
      </c>
      <c r="T100" s="4"/>
      <c r="U100" s="4"/>
      <c r="V100" s="4"/>
      <c r="W100" s="4"/>
      <c r="X100" s="4"/>
      <c r="Y100" s="4">
        <v>4.22</v>
      </c>
      <c r="Z100" s="4">
        <v>2.27</v>
      </c>
      <c r="AA100" s="4">
        <v>0.69</v>
      </c>
      <c r="AB100" s="4"/>
      <c r="AC100" s="4">
        <v>2</v>
      </c>
      <c r="AD100" s="4"/>
      <c r="AE100" s="4"/>
      <c r="AF100" s="4"/>
      <c r="AG100" s="4"/>
      <c r="AH100" s="4"/>
      <c r="AI100" s="4"/>
      <c r="AJ100" s="4"/>
      <c r="AK100" s="4"/>
      <c r="AL100" s="4"/>
      <c r="AM100" s="4"/>
      <c r="AN100" s="4"/>
      <c r="AO100" s="4"/>
      <c r="AP100" s="4"/>
      <c r="AQ100" s="4"/>
      <c r="AR100" s="4"/>
      <c r="AS100" s="4"/>
      <c r="AT100" s="4"/>
      <c r="AV100" s="4"/>
      <c r="AW100" s="4">
        <v>3106</v>
      </c>
      <c r="AX100" s="4">
        <v>10.08</v>
      </c>
      <c r="AY100" s="4"/>
      <c r="AZ100" s="4">
        <f t="shared" si="14"/>
        <v>24.78633967229187</v>
      </c>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f>((34.44867+32.37182+33.44647)/3)*12/44</f>
        <v>9.1151781818181821</v>
      </c>
      <c r="CM100" s="4"/>
      <c r="CN100" s="4"/>
      <c r="CO100" s="4"/>
      <c r="CP100" s="2" t="s">
        <v>609</v>
      </c>
      <c r="CQ100" s="2" t="s">
        <v>254</v>
      </c>
      <c r="CR100" s="10" t="s">
        <v>610</v>
      </c>
      <c r="CS100" s="9" t="s">
        <v>256</v>
      </c>
    </row>
    <row r="101" spans="1:97" s="2" customFormat="1" ht="12.75">
      <c r="A101" s="2">
        <v>98</v>
      </c>
      <c r="B101" s="2" t="s">
        <v>558</v>
      </c>
      <c r="C101" s="2" t="s">
        <v>591</v>
      </c>
      <c r="D101" s="4" t="s">
        <v>116</v>
      </c>
      <c r="E101" s="2" t="s">
        <v>611</v>
      </c>
      <c r="F101" s="14" t="s">
        <v>612</v>
      </c>
      <c r="G101" s="2">
        <v>2013</v>
      </c>
      <c r="H101" s="2">
        <v>2015</v>
      </c>
      <c r="I101" s="2">
        <v>1</v>
      </c>
      <c r="J101" s="2">
        <v>1</v>
      </c>
      <c r="K101" s="2">
        <v>1</v>
      </c>
      <c r="L101" s="2">
        <v>1</v>
      </c>
      <c r="M101" s="2">
        <v>0</v>
      </c>
      <c r="N101" s="2">
        <v>1</v>
      </c>
      <c r="O101" s="4">
        <v>15.6</v>
      </c>
      <c r="P101" s="4">
        <f t="shared" si="8"/>
        <v>127.19999999999999</v>
      </c>
      <c r="Q101" s="4">
        <v>1420</v>
      </c>
      <c r="R101" s="4">
        <v>0</v>
      </c>
      <c r="S101" s="4">
        <f>(100+300)/2</f>
        <v>200</v>
      </c>
      <c r="T101" s="4"/>
      <c r="U101" s="4"/>
      <c r="V101" s="4"/>
      <c r="W101" s="4"/>
      <c r="X101" s="4"/>
      <c r="Y101" s="4">
        <v>3.82</v>
      </c>
      <c r="Z101" s="4">
        <v>2.29</v>
      </c>
      <c r="AA101" s="4">
        <v>0.9</v>
      </c>
      <c r="AB101" s="4"/>
      <c r="AC101" s="4">
        <v>2</v>
      </c>
      <c r="AD101" s="4"/>
      <c r="AE101" s="4"/>
      <c r="AF101" s="4"/>
      <c r="AG101" s="4"/>
      <c r="AH101" s="4"/>
      <c r="AI101" s="4"/>
      <c r="AJ101" s="4"/>
      <c r="AK101" s="4"/>
      <c r="AL101" s="4"/>
      <c r="AM101" s="4"/>
      <c r="AN101" s="4"/>
      <c r="AO101" s="4"/>
      <c r="AP101" s="4"/>
      <c r="AQ101" s="4"/>
      <c r="AR101" s="4"/>
      <c r="AS101" s="4"/>
      <c r="AT101" s="4"/>
      <c r="AV101" s="4"/>
      <c r="AW101" s="4">
        <v>3362</v>
      </c>
      <c r="AX101" s="4">
        <v>10.16</v>
      </c>
      <c r="AY101" s="4"/>
      <c r="AZ101" s="4">
        <f t="shared" si="14"/>
        <v>27.2568087156126</v>
      </c>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f>((36.29459+35.16678+36.20264)/3)*12/44</f>
        <v>9.7876372727272738</v>
      </c>
      <c r="CM101" s="4"/>
      <c r="CN101" s="4"/>
      <c r="CO101" s="4"/>
      <c r="CP101" s="2" t="s">
        <v>609</v>
      </c>
      <c r="CQ101" s="2" t="s">
        <v>254</v>
      </c>
      <c r="CR101" s="10" t="s">
        <v>610</v>
      </c>
      <c r="CS101" s="9" t="s">
        <v>256</v>
      </c>
    </row>
    <row r="102" spans="1:97" s="2" customFormat="1" ht="25.5">
      <c r="A102" s="2">
        <v>99</v>
      </c>
      <c r="B102" s="2" t="s">
        <v>363</v>
      </c>
      <c r="C102" s="2" t="s">
        <v>613</v>
      </c>
      <c r="D102" s="4" t="s">
        <v>365</v>
      </c>
      <c r="E102" s="2" t="s">
        <v>614</v>
      </c>
      <c r="F102" s="2" t="s">
        <v>615</v>
      </c>
      <c r="G102" s="2">
        <v>2007</v>
      </c>
      <c r="H102" s="2">
        <v>2007</v>
      </c>
      <c r="I102" s="2">
        <v>0</v>
      </c>
      <c r="J102" s="2">
        <v>0</v>
      </c>
      <c r="K102" s="2">
        <v>0</v>
      </c>
      <c r="L102" s="2">
        <v>0</v>
      </c>
      <c r="M102" s="2">
        <v>0</v>
      </c>
      <c r="N102" s="2">
        <v>0</v>
      </c>
      <c r="O102" s="4">
        <v>16.55833333333333</v>
      </c>
      <c r="P102" s="4">
        <v>138.69999999999996</v>
      </c>
      <c r="Q102" s="4">
        <v>1258</v>
      </c>
      <c r="R102" s="4">
        <v>0</v>
      </c>
      <c r="S102" s="4">
        <v>3</v>
      </c>
      <c r="T102" s="4">
        <v>67.5</v>
      </c>
      <c r="U102" s="4">
        <v>2240.1166666666668</v>
      </c>
      <c r="V102" s="4">
        <v>2.3083330000000002</v>
      </c>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V102" s="4"/>
      <c r="AW102" s="4">
        <v>8800</v>
      </c>
      <c r="AX102" s="4">
        <v>11.5</v>
      </c>
      <c r="AY102" s="4"/>
      <c r="AZ102" s="4">
        <f>91.4</f>
        <v>91.4</v>
      </c>
      <c r="BA102" s="4"/>
      <c r="BB102" s="4"/>
      <c r="BC102" s="4"/>
      <c r="BD102" s="4"/>
      <c r="BE102" s="4"/>
      <c r="BF102" s="4"/>
      <c r="BG102" s="4"/>
      <c r="BH102" s="4"/>
      <c r="BI102" s="4"/>
      <c r="BJ102" s="4"/>
      <c r="BK102" s="4"/>
      <c r="BL102" s="4"/>
      <c r="BM102" s="4">
        <f>7.1*0.5</f>
        <v>3.55</v>
      </c>
      <c r="BN102" s="4">
        <f>21.8*0.5</f>
        <v>10.9</v>
      </c>
      <c r="BO102" s="4">
        <f>159.7*0.5</f>
        <v>79.849999999999994</v>
      </c>
      <c r="BP102" s="4">
        <f>188.5*0.5</f>
        <v>94.25</v>
      </c>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2" t="s">
        <v>616</v>
      </c>
      <c r="CQ102" s="2" t="s">
        <v>254</v>
      </c>
      <c r="CR102" s="20" t="s">
        <v>617</v>
      </c>
      <c r="CS102" s="9" t="s">
        <v>256</v>
      </c>
    </row>
    <row r="103" spans="1:97" s="2" customFormat="1" ht="25.5">
      <c r="A103" s="2">
        <v>100</v>
      </c>
      <c r="B103" s="2" t="s">
        <v>363</v>
      </c>
      <c r="C103" s="2" t="s">
        <v>618</v>
      </c>
      <c r="D103" s="4" t="s">
        <v>365</v>
      </c>
      <c r="E103" s="2" t="s">
        <v>614</v>
      </c>
      <c r="F103" s="2" t="s">
        <v>619</v>
      </c>
      <c r="G103" s="2">
        <v>2007</v>
      </c>
      <c r="H103" s="2">
        <v>2007</v>
      </c>
      <c r="I103" s="2">
        <v>0</v>
      </c>
      <c r="J103" s="2">
        <v>0</v>
      </c>
      <c r="K103" s="2">
        <v>0</v>
      </c>
      <c r="L103" s="2">
        <v>0</v>
      </c>
      <c r="M103" s="2">
        <v>0</v>
      </c>
      <c r="N103" s="2">
        <v>0</v>
      </c>
      <c r="O103" s="4">
        <v>16.158333333333335</v>
      </c>
      <c r="P103" s="4">
        <v>133.90000000000003</v>
      </c>
      <c r="Q103" s="4">
        <v>1367</v>
      </c>
      <c r="R103" s="4">
        <v>0</v>
      </c>
      <c r="S103" s="4">
        <v>4</v>
      </c>
      <c r="T103" s="4">
        <v>67.5</v>
      </c>
      <c r="U103" s="4">
        <v>2241.85</v>
      </c>
      <c r="V103" s="4">
        <v>1.95</v>
      </c>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V103" s="4"/>
      <c r="AW103" s="4">
        <v>8100</v>
      </c>
      <c r="AX103" s="4">
        <v>13.1</v>
      </c>
      <c r="AY103" s="4"/>
      <c r="AZ103" s="4">
        <v>109.2</v>
      </c>
      <c r="BA103" s="4"/>
      <c r="BB103" s="4"/>
      <c r="BC103" s="4"/>
      <c r="BD103" s="4"/>
      <c r="BE103" s="4"/>
      <c r="BF103" s="4"/>
      <c r="BG103" s="4"/>
      <c r="BH103" s="4"/>
      <c r="BI103" s="4"/>
      <c r="BJ103" s="4"/>
      <c r="BK103" s="4"/>
      <c r="BL103" s="4"/>
      <c r="BM103" s="4">
        <f>6.1*0.5</f>
        <v>3.05</v>
      </c>
      <c r="BN103" s="4">
        <f>19.2*0.5</f>
        <v>9.6</v>
      </c>
      <c r="BO103" s="4">
        <f>187.5*0.5</f>
        <v>93.75</v>
      </c>
      <c r="BP103" s="4">
        <f>212.8*0.5</f>
        <v>106.4</v>
      </c>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2" t="s">
        <v>616</v>
      </c>
      <c r="CQ103" s="2" t="s">
        <v>254</v>
      </c>
      <c r="CR103" s="20" t="s">
        <v>617</v>
      </c>
      <c r="CS103" s="9" t="s">
        <v>256</v>
      </c>
    </row>
    <row r="104" spans="1:97" s="2" customFormat="1" ht="25.5">
      <c r="A104" s="2">
        <v>101</v>
      </c>
      <c r="B104" s="2" t="s">
        <v>363</v>
      </c>
      <c r="C104" s="2" t="s">
        <v>620</v>
      </c>
      <c r="D104" s="4" t="s">
        <v>365</v>
      </c>
      <c r="E104" s="2" t="s">
        <v>614</v>
      </c>
      <c r="F104" s="2" t="s">
        <v>621</v>
      </c>
      <c r="G104" s="2">
        <v>2007</v>
      </c>
      <c r="H104" s="2">
        <v>2007</v>
      </c>
      <c r="I104" s="2">
        <v>0</v>
      </c>
      <c r="J104" s="2">
        <v>0</v>
      </c>
      <c r="K104" s="2">
        <v>0</v>
      </c>
      <c r="L104" s="2">
        <v>0</v>
      </c>
      <c r="M104" s="2">
        <v>0</v>
      </c>
      <c r="N104" s="2">
        <v>0</v>
      </c>
      <c r="O104" s="4">
        <v>14.699999999999998</v>
      </c>
      <c r="P104" s="4">
        <v>116.39999999999998</v>
      </c>
      <c r="Q104" s="4">
        <v>1384</v>
      </c>
      <c r="R104" s="4">
        <v>0</v>
      </c>
      <c r="S104" s="4">
        <v>40</v>
      </c>
      <c r="T104" s="4">
        <v>67.5</v>
      </c>
      <c r="U104" s="4">
        <v>1928.1166666666666</v>
      </c>
      <c r="V104" s="4">
        <v>1.8416666666666668</v>
      </c>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V104" s="4"/>
      <c r="AW104" s="4">
        <v>3978</v>
      </c>
      <c r="AX104" s="4">
        <v>14</v>
      </c>
      <c r="AY104" s="4"/>
      <c r="AZ104" s="4">
        <v>61.2</v>
      </c>
      <c r="BA104" s="4"/>
      <c r="BB104" s="4"/>
      <c r="BC104" s="4"/>
      <c r="BD104" s="4"/>
      <c r="BE104" s="4"/>
      <c r="BF104" s="4"/>
      <c r="BG104" s="4"/>
      <c r="BH104" s="4"/>
      <c r="BI104" s="4"/>
      <c r="BJ104" s="4"/>
      <c r="BK104" s="4"/>
      <c r="BL104" s="4"/>
      <c r="BM104" s="4">
        <f>3.9*0.5</f>
        <v>1.95</v>
      </c>
      <c r="BN104" s="4">
        <f>11*0.5</f>
        <v>5.5</v>
      </c>
      <c r="BO104" s="4">
        <f>102.3*0.5</f>
        <v>51.15</v>
      </c>
      <c r="BP104" s="4">
        <f>117.2*0.5</f>
        <v>58.6</v>
      </c>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2" t="s">
        <v>616</v>
      </c>
      <c r="CQ104" s="2" t="s">
        <v>254</v>
      </c>
      <c r="CR104" s="20" t="s">
        <v>617</v>
      </c>
      <c r="CS104" s="9" t="s">
        <v>256</v>
      </c>
    </row>
    <row r="105" spans="1:97" s="2" customFormat="1" ht="14.25">
      <c r="A105" s="2">
        <v>102</v>
      </c>
      <c r="B105" s="2" t="s">
        <v>486</v>
      </c>
      <c r="C105" s="2" t="s">
        <v>622</v>
      </c>
      <c r="D105" s="4" t="s">
        <v>488</v>
      </c>
      <c r="E105" s="2" t="s">
        <v>623</v>
      </c>
      <c r="F105" s="2" t="s">
        <v>624</v>
      </c>
      <c r="G105" s="2">
        <v>2016</v>
      </c>
      <c r="H105" s="2">
        <v>2016</v>
      </c>
      <c r="I105" s="2">
        <v>1</v>
      </c>
      <c r="J105" s="2">
        <v>1</v>
      </c>
      <c r="K105" s="2">
        <v>1</v>
      </c>
      <c r="L105" s="2">
        <v>1</v>
      </c>
      <c r="M105" s="2">
        <v>0</v>
      </c>
      <c r="N105" s="2">
        <v>0</v>
      </c>
      <c r="O105" s="4">
        <v>13.1</v>
      </c>
      <c r="P105" s="4">
        <f>(O105-5)*12</f>
        <v>97.199999999999989</v>
      </c>
      <c r="Q105" s="4">
        <v>1512</v>
      </c>
      <c r="R105" s="4"/>
      <c r="S105" s="4">
        <v>50</v>
      </c>
      <c r="T105" s="4"/>
      <c r="U105" s="4"/>
      <c r="V105" s="4"/>
      <c r="W105" s="4"/>
      <c r="X105" s="4"/>
      <c r="Y105" s="4">
        <f>(4.59+4.45)/2</f>
        <v>4.5199999999999996</v>
      </c>
      <c r="Z105" s="4">
        <f>(0.23+0.2)/2</f>
        <v>0.21500000000000002</v>
      </c>
      <c r="AA105" s="4"/>
      <c r="AB105" s="4"/>
      <c r="AC105" s="4">
        <f>(174.5+132.2)/2</f>
        <v>153.35</v>
      </c>
      <c r="AD105" s="4"/>
      <c r="AE105" s="4"/>
      <c r="AF105" s="4">
        <f>(3.84+3.74)/2</f>
        <v>3.79</v>
      </c>
      <c r="AG105" s="4">
        <f>(3.49+2.49)/2</f>
        <v>2.99</v>
      </c>
      <c r="AH105" s="4">
        <f>(0.07+0.06)/2</f>
        <v>6.5000000000000002E-2</v>
      </c>
      <c r="AI105" s="4">
        <f>(53+47)/2</f>
        <v>50</v>
      </c>
      <c r="AJ105" s="4">
        <f>(37+40)/2</f>
        <v>38.5</v>
      </c>
      <c r="AK105" s="4">
        <f>(10+13)/2</f>
        <v>11.5</v>
      </c>
      <c r="AL105" s="4"/>
      <c r="AM105" s="4"/>
      <c r="AN105" s="4"/>
      <c r="AO105" s="4"/>
      <c r="AP105" s="4"/>
      <c r="AQ105" s="4"/>
      <c r="AR105" s="4"/>
      <c r="AS105" s="4"/>
      <c r="AT105" s="4"/>
      <c r="AV105" s="4"/>
      <c r="AW105" s="4">
        <v>4633</v>
      </c>
      <c r="AX105" s="4">
        <v>10.8</v>
      </c>
      <c r="AY105" s="4"/>
      <c r="AZ105" s="4">
        <f>(AX105/2)^2*PI()*AW105/10000</f>
        <v>42.442376396061697</v>
      </c>
      <c r="BA105" s="4"/>
      <c r="BB105" s="4"/>
      <c r="BC105" s="4"/>
      <c r="BD105" s="4"/>
      <c r="BE105" s="4"/>
      <c r="BF105" s="4"/>
      <c r="BG105" s="4">
        <v>42.9</v>
      </c>
      <c r="BH105" s="4"/>
      <c r="BI105" s="4">
        <v>45</v>
      </c>
      <c r="BJ105" s="4"/>
      <c r="BK105" s="4">
        <v>2.48</v>
      </c>
      <c r="BL105" s="4">
        <v>2.0299999999999998</v>
      </c>
      <c r="BM105" s="4">
        <v>1.738</v>
      </c>
      <c r="BN105" s="4">
        <v>3.7831000000000001</v>
      </c>
      <c r="BO105" s="4">
        <v>20.810500000000001</v>
      </c>
      <c r="BP105" s="4">
        <v>26.331600000000002</v>
      </c>
      <c r="BQ105" s="4">
        <f>BU105/BP105</f>
        <v>9.2235185100791442E-2</v>
      </c>
      <c r="BR105" s="4">
        <v>1.0106999999999999</v>
      </c>
      <c r="BS105" s="4">
        <v>1.4179999999999999</v>
      </c>
      <c r="BT105" s="4"/>
      <c r="BU105" s="4">
        <f>BR105+BS105</f>
        <v>2.4287000000000001</v>
      </c>
      <c r="BV105" s="4">
        <f>BU105+BP105</f>
        <v>28.760300000000001</v>
      </c>
      <c r="BW105" s="4"/>
      <c r="BX105" s="4"/>
      <c r="BY105" s="4"/>
      <c r="BZ105" s="4"/>
      <c r="CA105" s="4"/>
      <c r="CB105" s="4"/>
      <c r="CC105" s="4"/>
      <c r="CD105" s="4"/>
      <c r="CE105" s="4"/>
      <c r="CF105" s="4"/>
      <c r="CG105" s="4"/>
      <c r="CH105" s="4"/>
      <c r="CI105" s="4"/>
      <c r="CJ105" s="4"/>
      <c r="CK105" s="4"/>
      <c r="CL105" s="4"/>
      <c r="CM105" s="4"/>
      <c r="CN105" s="4"/>
      <c r="CO105" s="4"/>
      <c r="CP105" s="2" t="s">
        <v>625</v>
      </c>
      <c r="CQ105" s="2" t="s">
        <v>254</v>
      </c>
      <c r="CR105" s="10" t="s">
        <v>626</v>
      </c>
      <c r="CS105" s="9" t="s">
        <v>256</v>
      </c>
    </row>
    <row r="106" spans="1:97" s="2" customFormat="1" ht="12.75">
      <c r="A106" s="2">
        <v>103</v>
      </c>
      <c r="B106" s="2" t="s">
        <v>627</v>
      </c>
      <c r="C106" s="2" t="s">
        <v>628</v>
      </c>
      <c r="D106" s="4" t="s">
        <v>629</v>
      </c>
      <c r="E106" s="2" t="s">
        <v>630</v>
      </c>
      <c r="F106" s="2" t="s">
        <v>631</v>
      </c>
      <c r="G106" s="2">
        <v>2016</v>
      </c>
      <c r="H106" s="2">
        <v>2016</v>
      </c>
      <c r="I106" s="2">
        <v>1</v>
      </c>
      <c r="J106" s="2">
        <v>0</v>
      </c>
      <c r="K106" s="2">
        <v>1</v>
      </c>
      <c r="L106" s="2">
        <v>0</v>
      </c>
      <c r="M106" s="2">
        <v>0</v>
      </c>
      <c r="N106" s="2">
        <v>0</v>
      </c>
      <c r="O106" s="4">
        <v>13.1</v>
      </c>
      <c r="P106" s="4">
        <v>97.199999999999989</v>
      </c>
      <c r="Q106" s="4">
        <v>1512</v>
      </c>
      <c r="R106" s="4"/>
      <c r="S106" s="4">
        <v>67</v>
      </c>
      <c r="T106" s="4"/>
      <c r="U106" s="4"/>
      <c r="V106" s="4"/>
      <c r="W106" s="4"/>
      <c r="X106" s="4"/>
      <c r="Y106" s="4">
        <v>4.625</v>
      </c>
      <c r="Z106" s="4">
        <v>0.2</v>
      </c>
      <c r="AA106" s="4"/>
      <c r="AB106" s="4"/>
      <c r="AC106" s="4">
        <v>5.71</v>
      </c>
      <c r="AD106" s="4"/>
      <c r="AE106" s="4"/>
      <c r="AF106" s="4">
        <v>2.7250000000000001</v>
      </c>
      <c r="AG106" s="4">
        <v>1.3149999999999999</v>
      </c>
      <c r="AH106" s="4">
        <v>0.03</v>
      </c>
      <c r="AI106" s="4">
        <v>59.5</v>
      </c>
      <c r="AJ106" s="4">
        <v>30</v>
      </c>
      <c r="AK106" s="4">
        <v>10</v>
      </c>
      <c r="AL106" s="4"/>
      <c r="AM106" s="4"/>
      <c r="AN106" s="4"/>
      <c r="AO106" s="4"/>
      <c r="AP106" s="4"/>
      <c r="AQ106" s="4"/>
      <c r="AR106" s="4"/>
      <c r="AS106" s="4"/>
      <c r="AT106" s="4"/>
      <c r="AV106" s="4"/>
      <c r="AW106" s="4">
        <v>6833</v>
      </c>
      <c r="AX106" s="4">
        <v>10.7</v>
      </c>
      <c r="AY106" s="4"/>
      <c r="AZ106" s="4">
        <v>61.442497072514541</v>
      </c>
      <c r="BA106" s="4"/>
      <c r="BB106" s="4"/>
      <c r="BC106" s="4"/>
      <c r="BD106" s="4"/>
      <c r="BE106" s="4"/>
      <c r="BF106" s="4"/>
      <c r="BG106" s="4">
        <v>36.4</v>
      </c>
      <c r="BH106" s="4"/>
      <c r="BI106" s="4">
        <v>45.6</v>
      </c>
      <c r="BJ106" s="4"/>
      <c r="BK106" s="4">
        <v>2.46</v>
      </c>
      <c r="BL106" s="4">
        <v>2.31</v>
      </c>
      <c r="BM106" s="4">
        <v>2.9476</v>
      </c>
      <c r="BN106" s="4">
        <v>6.3715999999999999</v>
      </c>
      <c r="BO106" s="4">
        <v>39.851300000000002</v>
      </c>
      <c r="BP106" s="4">
        <v>48.900399999999998</v>
      </c>
      <c r="BQ106" s="4">
        <v>0.15130142084727324</v>
      </c>
      <c r="BR106" s="4">
        <v>4.1403999999999996</v>
      </c>
      <c r="BS106" s="4">
        <v>3.2583000000000002</v>
      </c>
      <c r="BT106" s="4"/>
      <c r="BU106" s="4">
        <v>7.3986999999999998</v>
      </c>
      <c r="BV106" s="4">
        <v>56.299099999999996</v>
      </c>
      <c r="BW106" s="4"/>
      <c r="BX106" s="4"/>
      <c r="BY106" s="4"/>
      <c r="BZ106" s="4"/>
      <c r="CA106" s="4"/>
      <c r="CB106" s="4"/>
      <c r="CC106" s="4"/>
      <c r="CD106" s="4"/>
      <c r="CE106" s="4"/>
      <c r="CF106" s="4"/>
      <c r="CG106" s="4"/>
      <c r="CH106" s="4"/>
      <c r="CI106" s="4"/>
      <c r="CJ106" s="4"/>
      <c r="CK106" s="4"/>
      <c r="CL106" s="4"/>
      <c r="CM106" s="4"/>
      <c r="CN106" s="4"/>
      <c r="CO106" s="4"/>
      <c r="CP106" s="2" t="s">
        <v>632</v>
      </c>
      <c r="CQ106" s="2" t="s">
        <v>120</v>
      </c>
      <c r="CR106" s="10" t="s">
        <v>626</v>
      </c>
      <c r="CS106" s="9" t="s">
        <v>122</v>
      </c>
    </row>
    <row r="107" spans="1:97" s="2" customFormat="1" ht="12.75">
      <c r="A107" s="2">
        <v>104</v>
      </c>
      <c r="B107" s="2" t="s">
        <v>633</v>
      </c>
      <c r="C107" s="2" t="s">
        <v>634</v>
      </c>
      <c r="D107" s="4" t="s">
        <v>635</v>
      </c>
      <c r="E107" s="2" t="s">
        <v>636</v>
      </c>
      <c r="F107" s="2" t="s">
        <v>637</v>
      </c>
      <c r="G107" s="2">
        <v>1971</v>
      </c>
      <c r="H107" s="2">
        <v>2019</v>
      </c>
      <c r="I107" s="2">
        <v>0.5</v>
      </c>
      <c r="J107" s="2">
        <v>0.5</v>
      </c>
      <c r="K107" s="2">
        <v>0.5</v>
      </c>
      <c r="L107" s="2">
        <v>0.5</v>
      </c>
      <c r="M107" s="2">
        <v>0.5</v>
      </c>
      <c r="N107" s="2">
        <v>0.5</v>
      </c>
      <c r="O107" s="2">
        <v>20.12</v>
      </c>
      <c r="P107" s="4">
        <f>(O107-5)*12</f>
        <v>181.44</v>
      </c>
      <c r="Q107" s="4">
        <v>2795.4</v>
      </c>
      <c r="R107" s="4">
        <v>0</v>
      </c>
      <c r="S107" s="4">
        <v>688.57</v>
      </c>
      <c r="T107" s="4">
        <v>78.907999999999987</v>
      </c>
      <c r="U107" s="4">
        <v>1733.4720000000002</v>
      </c>
      <c r="V107" s="4">
        <v>3.2319999999999998</v>
      </c>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V107" s="4"/>
      <c r="AW107" s="4">
        <f>AVERAGE(AW68:AW84)</f>
        <v>6986.2352941176468</v>
      </c>
      <c r="AX107" s="4">
        <f>AVERAGE(AX68:AX84)</f>
        <v>7.8537499999999998</v>
      </c>
      <c r="AY107" s="4"/>
      <c r="AZ107" s="4">
        <f>AVERAGE(AZ68:AZ84)</f>
        <v>33.15015231975017</v>
      </c>
      <c r="BA107" s="4"/>
      <c r="BB107" s="4"/>
      <c r="BC107" s="4"/>
      <c r="BD107" s="4"/>
      <c r="BE107" s="4"/>
      <c r="BF107" s="4"/>
      <c r="BG107" s="4"/>
      <c r="BH107" s="4"/>
      <c r="BI107" s="4"/>
      <c r="BJ107" s="4"/>
      <c r="BK107" s="4"/>
      <c r="BL107" s="4"/>
      <c r="BM107" s="4"/>
      <c r="BN107" s="4"/>
      <c r="BO107" s="4"/>
      <c r="BP107" s="4">
        <v>33.18</v>
      </c>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2" t="s">
        <v>638</v>
      </c>
      <c r="CQ107" s="2" t="s">
        <v>120</v>
      </c>
      <c r="CR107" s="10" t="s">
        <v>639</v>
      </c>
      <c r="CS107" s="9" t="s">
        <v>256</v>
      </c>
    </row>
    <row r="108" spans="1:97" s="2" customFormat="1" ht="13.5" thickBot="1">
      <c r="A108" s="1">
        <v>105</v>
      </c>
      <c r="B108" s="1" t="s">
        <v>633</v>
      </c>
      <c r="C108" s="1" t="s">
        <v>640</v>
      </c>
      <c r="D108" s="21" t="s">
        <v>261</v>
      </c>
      <c r="E108" s="1" t="s">
        <v>641</v>
      </c>
      <c r="F108" s="1" t="s">
        <v>642</v>
      </c>
      <c r="G108" s="1">
        <v>2004</v>
      </c>
      <c r="H108" s="1">
        <v>2007</v>
      </c>
      <c r="I108" s="1">
        <v>1</v>
      </c>
      <c r="J108" s="1">
        <v>1</v>
      </c>
      <c r="K108" s="1">
        <v>1</v>
      </c>
      <c r="L108" s="1">
        <v>1</v>
      </c>
      <c r="M108" s="1">
        <v>0</v>
      </c>
      <c r="N108" s="1">
        <v>0</v>
      </c>
      <c r="O108" s="21">
        <v>16.5</v>
      </c>
      <c r="P108" s="21">
        <v>138</v>
      </c>
      <c r="Q108" s="21">
        <v>2200</v>
      </c>
      <c r="R108" s="21">
        <v>0</v>
      </c>
      <c r="S108" s="21">
        <v>1050</v>
      </c>
      <c r="T108" s="21">
        <v>82.666669999999996</v>
      </c>
      <c r="U108" s="21">
        <v>1561.7</v>
      </c>
      <c r="V108" s="21">
        <v>1.2250000000000001</v>
      </c>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1"/>
      <c r="AV108" s="21"/>
      <c r="AW108" s="21">
        <f>(AW72+AW77+AW78)/3</f>
        <v>7078</v>
      </c>
      <c r="AX108" s="21">
        <f>(AX72+AX77+AX78)/3</f>
        <v>8.7533333333333321</v>
      </c>
      <c r="AY108" s="21"/>
      <c r="AZ108" s="21">
        <f>(AZ72+AZ77+AZ78)/3</f>
        <v>42.606122111360975</v>
      </c>
      <c r="BA108" s="21"/>
      <c r="BB108" s="21"/>
      <c r="BC108" s="21"/>
      <c r="BD108" s="21">
        <f>(BD72+BD77+BD78)/3</f>
        <v>45.44</v>
      </c>
      <c r="BE108" s="21">
        <f>(BE72+BE77+BE78)/3</f>
        <v>48.15</v>
      </c>
      <c r="BF108" s="21">
        <f>(BF72+BF77+BF78)/3</f>
        <v>46.28</v>
      </c>
      <c r="BG108" s="21"/>
      <c r="BH108" s="21"/>
      <c r="BI108" s="21"/>
      <c r="BJ108" s="21"/>
      <c r="BK108" s="21"/>
      <c r="BL108" s="21"/>
      <c r="BM108" s="21"/>
      <c r="BN108" s="21"/>
      <c r="BO108" s="21"/>
      <c r="BP108" s="21">
        <v>40.6</v>
      </c>
      <c r="BQ108" s="21"/>
      <c r="BR108" s="21"/>
      <c r="BS108" s="21"/>
      <c r="BT108" s="21"/>
      <c r="BU108" s="21"/>
      <c r="BV108" s="21"/>
      <c r="BW108" s="21"/>
      <c r="BX108" s="21"/>
      <c r="BY108" s="21"/>
      <c r="BZ108" s="21"/>
      <c r="CA108" s="21"/>
      <c r="CB108" s="21"/>
      <c r="CC108" s="21"/>
      <c r="CD108" s="21"/>
      <c r="CE108" s="21"/>
      <c r="CF108" s="21">
        <v>8.1300000000000008</v>
      </c>
      <c r="CG108" s="21"/>
      <c r="CH108" s="21"/>
      <c r="CI108" s="21"/>
      <c r="CJ108" s="21"/>
      <c r="CK108" s="21"/>
      <c r="CL108" s="21"/>
      <c r="CM108" s="21"/>
      <c r="CN108" s="21"/>
      <c r="CO108" s="21"/>
      <c r="CP108" s="1" t="s">
        <v>643</v>
      </c>
      <c r="CQ108" s="1" t="s">
        <v>120</v>
      </c>
      <c r="CR108" s="22" t="s">
        <v>644</v>
      </c>
      <c r="CS108" s="23" t="s">
        <v>122</v>
      </c>
    </row>
    <row r="109" spans="1:97" ht="18">
      <c r="A109" s="24" t="s">
        <v>645</v>
      </c>
      <c r="B109" s="25"/>
      <c r="C109" s="25"/>
      <c r="D109" s="26"/>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row>
    <row r="110" spans="1:97" ht="18">
      <c r="A110" s="24" t="s">
        <v>646</v>
      </c>
      <c r="B110" s="25"/>
      <c r="C110" s="25"/>
      <c r="D110" s="26"/>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row>
    <row r="111" spans="1:97">
      <c r="A111" s="24" t="s">
        <v>647</v>
      </c>
      <c r="B111" s="25"/>
      <c r="C111" s="25"/>
      <c r="D111" s="26"/>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row>
    <row r="112" spans="1:97" ht="18">
      <c r="A112" s="24" t="s">
        <v>648</v>
      </c>
      <c r="B112" s="25"/>
      <c r="C112" s="25"/>
      <c r="D112" s="26"/>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row>
    <row r="113" spans="1:97" ht="18">
      <c r="A113" s="24" t="s">
        <v>649</v>
      </c>
      <c r="B113" s="25"/>
      <c r="C113" s="25"/>
      <c r="D113" s="26"/>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row>
    <row r="114" spans="1:97" ht="18">
      <c r="A114" s="24" t="s">
        <v>650</v>
      </c>
      <c r="B114" s="25"/>
      <c r="C114" s="25"/>
      <c r="D114" s="26"/>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row>
    <row r="115" spans="1:97" ht="18">
      <c r="A115" s="24" t="s">
        <v>651</v>
      </c>
      <c r="B115" s="25"/>
      <c r="C115" s="25"/>
      <c r="D115" s="26"/>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row>
    <row r="116" spans="1:97" ht="18">
      <c r="A116" s="24" t="s">
        <v>652</v>
      </c>
      <c r="B116" s="25"/>
      <c r="C116" s="25"/>
      <c r="D116" s="26"/>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row>
    <row r="117" spans="1:97">
      <c r="B117" s="25"/>
      <c r="C117" s="25"/>
      <c r="D117" s="26"/>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row>
    <row r="118" spans="1:97">
      <c r="B118" s="25"/>
      <c r="C118" s="25"/>
      <c r="D118" s="26"/>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row>
    <row r="119" spans="1:97">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row>
    <row r="120" spans="1:97">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row>
    <row r="121" spans="1:97">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row>
    <row r="122" spans="1:97">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row>
    <row r="123" spans="1:97">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row>
    <row r="124" spans="1:97">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c r="BB124" s="25"/>
      <c r="BC124" s="25"/>
      <c r="BD124" s="25"/>
      <c r="BE124" s="25"/>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row>
    <row r="125" spans="1:97">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row>
    <row r="126" spans="1:97">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row>
    <row r="127" spans="1:97">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c r="BF127" s="25"/>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row>
    <row r="128" spans="1:97">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row>
    <row r="129" spans="2:97">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row>
    <row r="130" spans="2:97">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row>
    <row r="131" spans="2:97">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c r="AY131" s="25"/>
      <c r="AZ131" s="25"/>
      <c r="BA131" s="25"/>
      <c r="BB131" s="25"/>
      <c r="BC131" s="25"/>
      <c r="BD131" s="25"/>
      <c r="BE131" s="25"/>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row>
    <row r="132" spans="2:97">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row>
    <row r="133" spans="2:97">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row>
    <row r="134" spans="2:97">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row>
    <row r="135" spans="2:97">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row>
    <row r="136" spans="2:97">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row>
    <row r="137" spans="2:97">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row>
    <row r="138" spans="2:97">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row>
    <row r="139" spans="2:97">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5"/>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row>
    <row r="140" spans="2:97">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c r="AY140" s="25"/>
      <c r="AZ140" s="25"/>
      <c r="BA140" s="25"/>
      <c r="BB140" s="25"/>
      <c r="BC140" s="25"/>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row>
    <row r="141" spans="2:97">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row>
    <row r="142" spans="2:97">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row>
    <row r="143" spans="2:97">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c r="BB143" s="25"/>
      <c r="BC143" s="25"/>
      <c r="BD143" s="25"/>
      <c r="BE143" s="25"/>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row>
    <row r="144" spans="2:97">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c r="AV144" s="25"/>
      <c r="AW144" s="25"/>
      <c r="AX144" s="25"/>
      <c r="AY144" s="25"/>
      <c r="AZ144" s="25"/>
      <c r="BA144" s="25"/>
      <c r="BB144" s="25"/>
      <c r="BC144" s="25"/>
      <c r="BD144" s="25"/>
      <c r="BE144" s="25"/>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row>
    <row r="145" spans="2:97">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c r="AV145" s="25"/>
      <c r="AW145" s="25"/>
      <c r="AX145" s="25"/>
      <c r="AY145" s="25"/>
      <c r="AZ145" s="25"/>
      <c r="BA145" s="25"/>
      <c r="BB145" s="25"/>
      <c r="BC145" s="25"/>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row>
    <row r="146" spans="2:97">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c r="AV146" s="25"/>
      <c r="AW146" s="25"/>
      <c r="AX146" s="25"/>
      <c r="AY146" s="25"/>
      <c r="AZ146" s="25"/>
      <c r="BA146" s="25"/>
      <c r="BB146" s="25"/>
      <c r="BC146" s="25"/>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row>
    <row r="147" spans="2:97">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c r="AV147" s="25"/>
      <c r="AW147" s="25"/>
      <c r="AX147" s="25"/>
      <c r="AY147" s="25"/>
      <c r="AZ147" s="25"/>
      <c r="BA147" s="25"/>
      <c r="BB147" s="25"/>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row>
    <row r="148" spans="2:97">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c r="AV148" s="25"/>
      <c r="AW148" s="25"/>
      <c r="AX148" s="25"/>
      <c r="AY148" s="25"/>
      <c r="AZ148" s="25"/>
      <c r="BA148" s="25"/>
      <c r="BB148" s="25"/>
      <c r="BC148" s="25"/>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row>
    <row r="149" spans="2:97">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c r="AV149" s="25"/>
      <c r="AW149" s="25"/>
      <c r="AX149" s="25"/>
      <c r="AY149" s="25"/>
      <c r="AZ149" s="25"/>
      <c r="BA149" s="25"/>
      <c r="BB149" s="25"/>
      <c r="BC149" s="25"/>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row>
    <row r="150" spans="2:97">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c r="AV150" s="25"/>
      <c r="AW150" s="25"/>
      <c r="AX150" s="25"/>
      <c r="AY150" s="25"/>
      <c r="AZ150" s="25"/>
      <c r="BA150" s="25"/>
      <c r="BB150" s="25"/>
      <c r="BC150" s="25"/>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row>
    <row r="151" spans="2:97">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c r="AV151" s="25"/>
      <c r="AW151" s="25"/>
      <c r="AX151" s="25"/>
      <c r="AY151" s="25"/>
      <c r="AZ151" s="25"/>
      <c r="BA151" s="25"/>
      <c r="BB151" s="25"/>
      <c r="BC151" s="25"/>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row>
    <row r="152" spans="2:97">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c r="AV152" s="25"/>
      <c r="AW152" s="25"/>
      <c r="AX152" s="25"/>
      <c r="AY152" s="25"/>
      <c r="AZ152" s="25"/>
      <c r="BA152" s="25"/>
      <c r="BB152" s="25"/>
      <c r="BC152" s="25"/>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row>
    <row r="153" spans="2:97">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c r="AV153" s="25"/>
      <c r="AW153" s="25"/>
      <c r="AX153" s="25"/>
      <c r="AY153" s="25"/>
      <c r="AZ153" s="25"/>
      <c r="BA153" s="25"/>
      <c r="BB153" s="25"/>
      <c r="BC153" s="25"/>
      <c r="BD153" s="25"/>
      <c r="BE153" s="25"/>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c r="CC153" s="25"/>
      <c r="CD153" s="25"/>
      <c r="CE153" s="25"/>
      <c r="CF153" s="25"/>
      <c r="CG153" s="25"/>
      <c r="CH153" s="25"/>
      <c r="CI153" s="25"/>
      <c r="CJ153" s="25"/>
      <c r="CK153" s="25"/>
      <c r="CL153" s="25"/>
      <c r="CM153" s="25"/>
      <c r="CN153" s="25"/>
      <c r="CO153" s="25"/>
      <c r="CP153" s="25"/>
      <c r="CQ153" s="25"/>
      <c r="CR153" s="25"/>
      <c r="CS153" s="25"/>
    </row>
    <row r="154" spans="2:97">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row>
    <row r="155" spans="2:97">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c r="AV155" s="25"/>
      <c r="AW155" s="25"/>
      <c r="AX155" s="25"/>
      <c r="AY155" s="25"/>
      <c r="AZ155" s="25"/>
      <c r="BA155" s="25"/>
      <c r="BB155" s="25"/>
      <c r="BC155" s="25"/>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row>
    <row r="156" spans="2:97">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5"/>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row>
    <row r="157" spans="2:97">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c r="AV157" s="25"/>
      <c r="AW157" s="25"/>
      <c r="AX157" s="25"/>
      <c r="AY157" s="25"/>
      <c r="AZ157" s="25"/>
      <c r="BA157" s="25"/>
      <c r="BB157" s="25"/>
      <c r="BC157" s="25"/>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row>
    <row r="158" spans="2:97">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5"/>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row>
    <row r="159" spans="2:97">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c r="AV159" s="25"/>
      <c r="AW159" s="25"/>
      <c r="AX159" s="25"/>
      <c r="AY159" s="25"/>
      <c r="AZ159" s="25"/>
      <c r="BA159" s="25"/>
      <c r="BB159" s="25"/>
      <c r="BC159" s="25"/>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row>
    <row r="160" spans="2:97">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c r="AV160" s="25"/>
      <c r="AW160" s="25"/>
      <c r="AX160" s="25"/>
      <c r="AY160" s="25"/>
      <c r="AZ160" s="25"/>
      <c r="BA160" s="25"/>
      <c r="BB160" s="25"/>
      <c r="BC160" s="25"/>
      <c r="BD160" s="25"/>
      <c r="BE160" s="25"/>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row>
    <row r="161" spans="2:97">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c r="AV161" s="25"/>
      <c r="AW161" s="25"/>
      <c r="AX161" s="25"/>
      <c r="AY161" s="25"/>
      <c r="AZ161" s="25"/>
      <c r="BA161" s="25"/>
      <c r="BB161" s="25"/>
      <c r="BC161" s="25"/>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row>
    <row r="162" spans="2:97">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c r="AV162" s="25"/>
      <c r="AW162" s="25"/>
      <c r="AX162" s="25"/>
      <c r="AY162" s="25"/>
      <c r="AZ162" s="25"/>
      <c r="BA162" s="25"/>
      <c r="BB162" s="25"/>
      <c r="BC162" s="25"/>
      <c r="BD162" s="25"/>
      <c r="BE162" s="25"/>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row>
    <row r="163" spans="2:97">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c r="AV163" s="25"/>
      <c r="AW163" s="25"/>
      <c r="AX163" s="25"/>
      <c r="AY163" s="25"/>
      <c r="AZ163" s="25"/>
      <c r="BA163" s="25"/>
      <c r="BB163" s="25"/>
      <c r="BC163" s="25"/>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row>
    <row r="164" spans="2:97">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5"/>
      <c r="BC164" s="25"/>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row>
    <row r="165" spans="2:97">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c r="AV165" s="25"/>
      <c r="AW165" s="25"/>
      <c r="AX165" s="25"/>
      <c r="AY165" s="25"/>
      <c r="AZ165" s="25"/>
      <c r="BA165" s="25"/>
      <c r="BB165" s="25"/>
      <c r="BC165" s="25"/>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row>
    <row r="166" spans="2:97">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row>
    <row r="167" spans="2:97">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c r="BB167" s="25"/>
      <c r="BC167" s="25"/>
      <c r="BD167" s="25"/>
      <c r="BE167" s="25"/>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row>
    <row r="168" spans="2:97">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row>
    <row r="169" spans="2:97">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c r="AV169" s="25"/>
      <c r="AW169" s="25"/>
      <c r="AX169" s="25"/>
      <c r="AY169" s="25"/>
      <c r="AZ169" s="25"/>
      <c r="BA169" s="25"/>
      <c r="BB169" s="25"/>
      <c r="BC169" s="25"/>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row>
    <row r="170" spans="2:97">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row>
    <row r="171" spans="2:97">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c r="AV171" s="25"/>
      <c r="AW171" s="25"/>
      <c r="AX171" s="25"/>
      <c r="AY171" s="25"/>
      <c r="AZ171" s="25"/>
      <c r="BA171" s="25"/>
      <c r="BB171" s="25"/>
      <c r="BC171" s="25"/>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row>
    <row r="172" spans="2:97">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c r="AV172" s="25"/>
      <c r="AW172" s="25"/>
      <c r="AX172" s="25"/>
      <c r="AY172" s="25"/>
      <c r="AZ172" s="25"/>
      <c r="BA172" s="25"/>
      <c r="BB172" s="25"/>
      <c r="BC172" s="25"/>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row>
    <row r="173" spans="2:97">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row>
    <row r="174" spans="2:97">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c r="AV174" s="25"/>
      <c r="AW174" s="25"/>
      <c r="AX174" s="25"/>
      <c r="AY174" s="25"/>
      <c r="AZ174" s="25"/>
      <c r="BA174" s="25"/>
      <c r="BB174" s="25"/>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row>
    <row r="175" spans="2:97">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c r="AV175" s="25"/>
      <c r="AW175" s="25"/>
      <c r="AX175" s="25"/>
      <c r="AY175" s="25"/>
      <c r="AZ175" s="25"/>
      <c r="BA175" s="25"/>
      <c r="BB175" s="25"/>
      <c r="BC175" s="25"/>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row>
    <row r="176" spans="2:97">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c r="AV176" s="25"/>
      <c r="AW176" s="25"/>
      <c r="AX176" s="25"/>
      <c r="AY176" s="25"/>
      <c r="AZ176" s="25"/>
      <c r="BA176" s="25"/>
      <c r="BB176" s="25"/>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row>
    <row r="177" spans="2:97">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5"/>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row>
    <row r="178" spans="2:97">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c r="AV178" s="25"/>
      <c r="AW178" s="25"/>
      <c r="AX178" s="25"/>
      <c r="AY178" s="25"/>
      <c r="AZ178" s="25"/>
      <c r="BA178" s="25"/>
      <c r="BB178" s="25"/>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row>
    <row r="179" spans="2:97">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c r="AV179" s="25"/>
      <c r="AW179" s="25"/>
      <c r="AX179" s="25"/>
      <c r="AY179" s="25"/>
      <c r="AZ179" s="25"/>
      <c r="BA179" s="25"/>
      <c r="BB179" s="25"/>
      <c r="BC179" s="25"/>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row>
    <row r="180" spans="2:97">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c r="BB180" s="25"/>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row>
    <row r="181" spans="2:97">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c r="AV181" s="25"/>
      <c r="AW181" s="25"/>
      <c r="AX181" s="25"/>
      <c r="AY181" s="25"/>
      <c r="AZ181" s="25"/>
      <c r="BA181" s="25"/>
      <c r="BB181" s="25"/>
      <c r="BC181" s="25"/>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row>
    <row r="182" spans="2:97">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c r="AV182" s="25"/>
      <c r="AW182" s="25"/>
      <c r="AX182" s="25"/>
      <c r="AY182" s="25"/>
      <c r="AZ182" s="25"/>
      <c r="BA182" s="25"/>
      <c r="BB182" s="25"/>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row>
    <row r="183" spans="2:97">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row>
    <row r="184" spans="2:97">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row>
    <row r="185" spans="2:97">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c r="AV185" s="25"/>
      <c r="AW185" s="25"/>
      <c r="AX185" s="25"/>
      <c r="AY185" s="25"/>
      <c r="AZ185" s="25"/>
      <c r="BA185" s="25"/>
      <c r="BB185" s="25"/>
      <c r="BC185" s="25"/>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row>
    <row r="186" spans="2:97">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row>
    <row r="187" spans="2:97">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c r="AV187" s="25"/>
      <c r="AW187" s="25"/>
      <c r="AX187" s="25"/>
      <c r="AY187" s="25"/>
      <c r="AZ187" s="25"/>
      <c r="BA187" s="25"/>
      <c r="BB187" s="25"/>
      <c r="BC187" s="25"/>
      <c r="BD187" s="25"/>
      <c r="BE187" s="25"/>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row>
    <row r="188" spans="2:97">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row>
    <row r="189" spans="2:97">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c r="AV189" s="25"/>
      <c r="AW189" s="25"/>
      <c r="AX189" s="25"/>
      <c r="AY189" s="25"/>
      <c r="AZ189" s="25"/>
      <c r="BA189" s="25"/>
      <c r="BB189" s="25"/>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row>
    <row r="190" spans="2:97">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row>
    <row r="191" spans="2:97">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c r="AV191" s="25"/>
      <c r="AW191" s="25"/>
      <c r="AX191" s="25"/>
      <c r="AY191" s="25"/>
      <c r="AZ191" s="25"/>
      <c r="BA191" s="25"/>
      <c r="BB191" s="25"/>
      <c r="BC191" s="25"/>
      <c r="BD191" s="25"/>
      <c r="BE191" s="25"/>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row>
    <row r="192" spans="2:97">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row>
    <row r="193" spans="2:97">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c r="AY193" s="25"/>
      <c r="AZ193" s="25"/>
      <c r="BA193" s="25"/>
      <c r="BB193" s="25"/>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row>
    <row r="194" spans="2:97">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row>
    <row r="195" spans="2:97">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c r="AV195" s="25"/>
      <c r="AW195" s="25"/>
      <c r="AX195" s="25"/>
      <c r="AY195" s="25"/>
      <c r="AZ195" s="25"/>
      <c r="BA195" s="25"/>
      <c r="BB195" s="25"/>
      <c r="BC195" s="25"/>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row>
    <row r="196" spans="2:97">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row>
    <row r="197" spans="2:97">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row>
    <row r="198" spans="2:97">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row>
    <row r="199" spans="2:97">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row>
    <row r="200" spans="2:97">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row>
    <row r="201" spans="2:97">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5"/>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row>
    <row r="202" spans="2:97">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row>
    <row r="203" spans="2:97">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row>
    <row r="204" spans="2:97">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c r="AV204" s="25"/>
      <c r="AW204" s="25"/>
      <c r="AX204" s="25"/>
      <c r="AY204" s="25"/>
      <c r="AZ204" s="25"/>
      <c r="BA204" s="25"/>
      <c r="BB204" s="25"/>
      <c r="BC204" s="25"/>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row>
    <row r="205" spans="2:97">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c r="AV205" s="25"/>
      <c r="AW205" s="25"/>
      <c r="AX205" s="25"/>
      <c r="AY205" s="25"/>
      <c r="AZ205" s="25"/>
      <c r="BA205" s="25"/>
      <c r="BB205" s="25"/>
      <c r="BC205" s="25"/>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row>
    <row r="206" spans="2:97">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row>
    <row r="207" spans="2:97">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c r="AV207" s="25"/>
      <c r="AW207" s="25"/>
      <c r="AX207" s="25"/>
      <c r="AY207" s="25"/>
      <c r="AZ207" s="25"/>
      <c r="BA207" s="25"/>
      <c r="BB207" s="25"/>
      <c r="BC207" s="25"/>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row>
    <row r="208" spans="2:97">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c r="AY208" s="25"/>
      <c r="AZ208" s="25"/>
      <c r="BA208" s="25"/>
      <c r="BB208" s="25"/>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row>
    <row r="209" spans="2:97">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c r="AV209" s="25"/>
      <c r="AW209" s="25"/>
      <c r="AX209" s="25"/>
      <c r="AY209" s="25"/>
      <c r="AZ209" s="25"/>
      <c r="BA209" s="25"/>
      <c r="BB209" s="25"/>
      <c r="BC209" s="25"/>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row>
    <row r="210" spans="2:97">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c r="AV210" s="25"/>
      <c r="AW210" s="25"/>
      <c r="AX210" s="25"/>
      <c r="AY210" s="25"/>
      <c r="AZ210" s="25"/>
      <c r="BA210" s="25"/>
      <c r="BB210" s="25"/>
      <c r="BC210" s="25"/>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row>
    <row r="211" spans="2:97">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c r="AV211" s="25"/>
      <c r="AW211" s="25"/>
      <c r="AX211" s="25"/>
      <c r="AY211" s="25"/>
      <c r="AZ211" s="25"/>
      <c r="BA211" s="25"/>
      <c r="BB211" s="25"/>
      <c r="BC211" s="25"/>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row>
    <row r="212" spans="2:97">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c r="AV212" s="25"/>
      <c r="AW212" s="25"/>
      <c r="AX212" s="25"/>
      <c r="AY212" s="25"/>
      <c r="AZ212" s="25"/>
      <c r="BA212" s="25"/>
      <c r="BB212" s="25"/>
      <c r="BC212" s="25"/>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row>
    <row r="213" spans="2:97">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c r="AV213" s="25"/>
      <c r="AW213" s="25"/>
      <c r="AX213" s="25"/>
      <c r="AY213" s="25"/>
      <c r="AZ213" s="25"/>
      <c r="BA213" s="25"/>
      <c r="BB213" s="25"/>
      <c r="BC213" s="25"/>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c r="CD213" s="25"/>
      <c r="CE213" s="25"/>
      <c r="CF213" s="25"/>
      <c r="CG213" s="25"/>
      <c r="CH213" s="25"/>
      <c r="CI213" s="25"/>
      <c r="CJ213" s="25"/>
      <c r="CK213" s="25"/>
      <c r="CL213" s="25"/>
      <c r="CM213" s="25"/>
      <c r="CN213" s="25"/>
      <c r="CO213" s="25"/>
      <c r="CP213" s="25"/>
      <c r="CQ213" s="25"/>
      <c r="CR213" s="25"/>
      <c r="CS213" s="25"/>
    </row>
    <row r="214" spans="2:97">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c r="AV214" s="25"/>
      <c r="AW214" s="25"/>
      <c r="AX214" s="25"/>
      <c r="AY214" s="25"/>
      <c r="AZ214" s="25"/>
      <c r="BA214" s="25"/>
      <c r="BB214" s="25"/>
      <c r="BC214" s="25"/>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row>
    <row r="215" spans="2:97">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c r="AV215" s="25"/>
      <c r="AW215" s="25"/>
      <c r="AX215" s="25"/>
      <c r="AY215" s="25"/>
      <c r="AZ215" s="25"/>
      <c r="BA215" s="25"/>
      <c r="BB215" s="25"/>
      <c r="BC215" s="25"/>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row>
    <row r="216" spans="2:97">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c r="AV216" s="25"/>
      <c r="AW216" s="25"/>
      <c r="AX216" s="25"/>
      <c r="AY216" s="25"/>
      <c r="AZ216" s="25"/>
      <c r="BA216" s="25"/>
      <c r="BB216" s="25"/>
      <c r="BC216" s="25"/>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row>
    <row r="217" spans="2:97">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c r="AV217" s="25"/>
      <c r="AW217" s="25"/>
      <c r="AX217" s="25"/>
      <c r="AY217" s="25"/>
      <c r="AZ217" s="25"/>
      <c r="BA217" s="25"/>
      <c r="BB217" s="25"/>
      <c r="BC217" s="25"/>
      <c r="BD217" s="25"/>
      <c r="BE217" s="25"/>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row>
    <row r="218" spans="2:97">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25"/>
      <c r="AW218" s="25"/>
      <c r="AX218" s="25"/>
      <c r="AY218" s="25"/>
      <c r="AZ218" s="25"/>
      <c r="BA218" s="25"/>
      <c r="BB218" s="25"/>
      <c r="BC218" s="25"/>
      <c r="BD218" s="25"/>
      <c r="BE218" s="25"/>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row>
    <row r="219" spans="2:97">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25"/>
      <c r="AW219" s="25"/>
      <c r="AX219" s="25"/>
      <c r="AY219" s="25"/>
      <c r="AZ219" s="25"/>
      <c r="BA219" s="25"/>
      <c r="BB219" s="25"/>
      <c r="BC219" s="25"/>
      <c r="BD219" s="25"/>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row>
    <row r="220" spans="2:97">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c r="AV220" s="25"/>
      <c r="AW220" s="25"/>
      <c r="AX220" s="25"/>
      <c r="AY220" s="25"/>
      <c r="AZ220" s="25"/>
      <c r="BA220" s="25"/>
      <c r="BB220" s="25"/>
      <c r="BC220" s="25"/>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row>
    <row r="221" spans="2:97">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c r="AV221" s="25"/>
      <c r="AW221" s="25"/>
      <c r="AX221" s="25"/>
      <c r="AY221" s="25"/>
      <c r="AZ221" s="25"/>
      <c r="BA221" s="25"/>
      <c r="BB221" s="25"/>
      <c r="BC221" s="25"/>
      <c r="BD221" s="25"/>
      <c r="BE221" s="25"/>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row>
    <row r="222" spans="2:97">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c r="AV222" s="25"/>
      <c r="AW222" s="25"/>
      <c r="AX222" s="25"/>
      <c r="AY222" s="25"/>
      <c r="AZ222" s="25"/>
      <c r="BA222" s="25"/>
      <c r="BB222" s="25"/>
      <c r="BC222" s="25"/>
      <c r="BD222" s="25"/>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c r="CD222" s="25"/>
      <c r="CE222" s="25"/>
      <c r="CF222" s="25"/>
      <c r="CG222" s="25"/>
      <c r="CH222" s="25"/>
      <c r="CI222" s="25"/>
      <c r="CJ222" s="25"/>
      <c r="CK222" s="25"/>
      <c r="CL222" s="25"/>
      <c r="CM222" s="25"/>
      <c r="CN222" s="25"/>
      <c r="CO222" s="25"/>
      <c r="CP222" s="25"/>
      <c r="CQ222" s="25"/>
      <c r="CR222" s="25"/>
      <c r="CS222" s="25"/>
    </row>
    <row r="223" spans="2:97">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c r="AV223" s="25"/>
      <c r="AW223" s="25"/>
      <c r="AX223" s="25"/>
      <c r="AY223" s="25"/>
      <c r="AZ223" s="25"/>
      <c r="BA223" s="25"/>
      <c r="BB223" s="25"/>
      <c r="BC223" s="25"/>
      <c r="BD223" s="25"/>
      <c r="BE223" s="25"/>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row>
    <row r="224" spans="2:97">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row>
    <row r="225" spans="2:97">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c r="AV225" s="25"/>
      <c r="AW225" s="25"/>
      <c r="AX225" s="25"/>
      <c r="AY225" s="25"/>
      <c r="AZ225" s="25"/>
      <c r="BA225" s="25"/>
      <c r="BB225" s="25"/>
      <c r="BC225" s="25"/>
      <c r="BD225" s="25"/>
      <c r="BE225" s="25"/>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row>
    <row r="226" spans="2:97">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c r="AV226" s="25"/>
      <c r="AW226" s="25"/>
      <c r="AX226" s="25"/>
      <c r="AY226" s="25"/>
      <c r="AZ226" s="25"/>
      <c r="BA226" s="25"/>
      <c r="BB226" s="25"/>
      <c r="BC226" s="25"/>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row>
    <row r="227" spans="2:97">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25"/>
      <c r="BE227" s="25"/>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row>
    <row r="228" spans="2:97">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c r="AV228" s="25"/>
      <c r="AW228" s="25"/>
      <c r="AX228" s="25"/>
      <c r="AY228" s="25"/>
      <c r="AZ228" s="25"/>
      <c r="BA228" s="25"/>
      <c r="BB228" s="25"/>
      <c r="BC228" s="25"/>
      <c r="BD228" s="25"/>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row>
    <row r="229" spans="2:97">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c r="AV229" s="25"/>
      <c r="AW229" s="25"/>
      <c r="AX229" s="25"/>
      <c r="AY229" s="25"/>
      <c r="AZ229" s="25"/>
      <c r="BA229" s="25"/>
      <c r="BB229" s="25"/>
      <c r="BC229" s="25"/>
      <c r="BD229" s="25"/>
      <c r="BE229" s="25"/>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row>
    <row r="230" spans="2:97">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5"/>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row>
    <row r="231" spans="2:97">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c r="AV231" s="25"/>
      <c r="AW231" s="25"/>
      <c r="AX231" s="25"/>
      <c r="AY231" s="25"/>
      <c r="AZ231" s="25"/>
      <c r="BA231" s="25"/>
      <c r="BB231" s="25"/>
      <c r="BC231" s="25"/>
      <c r="BD231" s="25"/>
      <c r="BE231" s="25"/>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row>
    <row r="232" spans="2:97">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25"/>
      <c r="AW232" s="25"/>
      <c r="AX232" s="25"/>
      <c r="AY232" s="25"/>
      <c r="AZ232" s="25"/>
      <c r="BA232" s="25"/>
      <c r="BB232" s="25"/>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row>
    <row r="233" spans="2:97">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c r="AV233" s="25"/>
      <c r="AW233" s="25"/>
      <c r="AX233" s="25"/>
      <c r="AY233" s="25"/>
      <c r="AZ233" s="25"/>
      <c r="BA233" s="25"/>
      <c r="BB233" s="25"/>
      <c r="BC233" s="25"/>
      <c r="BD233" s="25"/>
      <c r="BE233" s="25"/>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row>
    <row r="234" spans="2:97">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c r="AV234" s="25"/>
      <c r="AW234" s="25"/>
      <c r="AX234" s="25"/>
      <c r="AY234" s="25"/>
      <c r="AZ234" s="25"/>
      <c r="BA234" s="25"/>
      <c r="BB234" s="25"/>
      <c r="BC234" s="25"/>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row>
    <row r="235" spans="2:97">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c r="AV235" s="25"/>
      <c r="AW235" s="25"/>
      <c r="AX235" s="25"/>
      <c r="AY235" s="25"/>
      <c r="AZ235" s="25"/>
      <c r="BA235" s="25"/>
      <c r="BB235" s="25"/>
      <c r="BC235" s="25"/>
      <c r="BD235" s="25"/>
      <c r="BE235" s="25"/>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row>
    <row r="236" spans="2:97">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c r="AV236" s="25"/>
      <c r="AW236" s="25"/>
      <c r="AX236" s="25"/>
      <c r="AY236" s="25"/>
      <c r="AZ236" s="25"/>
      <c r="BA236" s="25"/>
      <c r="BB236" s="25"/>
      <c r="BC236" s="25"/>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row>
    <row r="237" spans="2:97">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c r="AV237" s="25"/>
      <c r="AW237" s="25"/>
      <c r="AX237" s="25"/>
      <c r="AY237" s="25"/>
      <c r="AZ237" s="25"/>
      <c r="BA237" s="25"/>
      <c r="BB237" s="25"/>
      <c r="BC237" s="25"/>
      <c r="BD237" s="25"/>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row>
    <row r="238" spans="2:97">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c r="AV238" s="25"/>
      <c r="AW238" s="25"/>
      <c r="AX238" s="25"/>
      <c r="AY238" s="25"/>
      <c r="AZ238" s="25"/>
      <c r="BA238" s="25"/>
      <c r="BB238" s="25"/>
      <c r="BC238" s="25"/>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row>
    <row r="239" spans="2:97">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c r="AV239" s="25"/>
      <c r="AW239" s="25"/>
      <c r="AX239" s="25"/>
      <c r="AY239" s="25"/>
      <c r="AZ239" s="25"/>
      <c r="BA239" s="25"/>
      <c r="BB239" s="25"/>
      <c r="BC239" s="25"/>
      <c r="BD239" s="25"/>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row>
    <row r="240" spans="2:97">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25"/>
      <c r="BE240" s="25"/>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row>
    <row r="241" spans="2:97">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c r="AV241" s="25"/>
      <c r="AW241" s="25"/>
      <c r="AX241" s="25"/>
      <c r="AY241" s="25"/>
      <c r="AZ241" s="25"/>
      <c r="BA241" s="25"/>
      <c r="BB241" s="25"/>
      <c r="BC241" s="25"/>
      <c r="BD241" s="25"/>
      <c r="BE241" s="25"/>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row>
    <row r="242" spans="2:97">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c r="AV242" s="25"/>
      <c r="AW242" s="25"/>
      <c r="AX242" s="25"/>
      <c r="AY242" s="25"/>
      <c r="AZ242" s="25"/>
      <c r="BA242" s="25"/>
      <c r="BB242" s="25"/>
      <c r="BC242" s="25"/>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row>
    <row r="243" spans="2:97">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c r="AV243" s="25"/>
      <c r="AW243" s="25"/>
      <c r="AX243" s="25"/>
      <c r="AY243" s="25"/>
      <c r="AZ243" s="25"/>
      <c r="BA243" s="25"/>
      <c r="BB243" s="25"/>
      <c r="BC243" s="25"/>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row>
    <row r="244" spans="2:97">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c r="AV244" s="25"/>
      <c r="AW244" s="25"/>
      <c r="AX244" s="25"/>
      <c r="AY244" s="25"/>
      <c r="AZ244" s="25"/>
      <c r="BA244" s="25"/>
      <c r="BB244" s="25"/>
      <c r="BC244" s="25"/>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row>
    <row r="245" spans="2:97">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c r="AV245" s="25"/>
      <c r="AW245" s="25"/>
      <c r="AX245" s="25"/>
      <c r="AY245" s="25"/>
      <c r="AZ245" s="25"/>
      <c r="BA245" s="25"/>
      <c r="BB245" s="25"/>
      <c r="BC245" s="25"/>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c r="CC245" s="25"/>
      <c r="CD245" s="25"/>
      <c r="CE245" s="25"/>
      <c r="CF245" s="25"/>
      <c r="CG245" s="25"/>
      <c r="CH245" s="25"/>
      <c r="CI245" s="25"/>
      <c r="CJ245" s="25"/>
      <c r="CK245" s="25"/>
      <c r="CL245" s="25"/>
      <c r="CM245" s="25"/>
      <c r="CN245" s="25"/>
      <c r="CO245" s="25"/>
      <c r="CP245" s="25"/>
      <c r="CQ245" s="25"/>
      <c r="CR245" s="25"/>
      <c r="CS245" s="25"/>
    </row>
    <row r="246" spans="2:97">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c r="AV246" s="25"/>
      <c r="AW246" s="25"/>
      <c r="AX246" s="25"/>
      <c r="AY246" s="25"/>
      <c r="AZ246" s="25"/>
      <c r="BA246" s="25"/>
      <c r="BB246" s="25"/>
      <c r="BC246" s="25"/>
      <c r="BD246" s="25"/>
      <c r="BE246" s="25"/>
      <c r="BF246" s="25"/>
      <c r="BG246" s="25"/>
      <c r="BH246" s="25"/>
      <c r="BI246" s="25"/>
      <c r="BJ246" s="25"/>
      <c r="BK246" s="25"/>
      <c r="BL246" s="25"/>
      <c r="BM246" s="25"/>
      <c r="BN246" s="25"/>
      <c r="BO246" s="25"/>
      <c r="BP246" s="25"/>
      <c r="BQ246" s="25"/>
      <c r="BR246" s="25"/>
      <c r="BS246" s="25"/>
      <c r="BT246" s="25"/>
      <c r="BU246" s="25"/>
      <c r="BV246" s="25"/>
      <c r="BW246" s="25"/>
      <c r="BX246" s="25"/>
      <c r="BY246" s="25"/>
      <c r="BZ246" s="25"/>
      <c r="CA246" s="25"/>
      <c r="CB246" s="25"/>
      <c r="CC246" s="25"/>
      <c r="CD246" s="25"/>
      <c r="CE246" s="25"/>
      <c r="CF246" s="25"/>
      <c r="CG246" s="25"/>
      <c r="CH246" s="25"/>
      <c r="CI246" s="25"/>
      <c r="CJ246" s="25"/>
      <c r="CK246" s="25"/>
      <c r="CL246" s="25"/>
      <c r="CM246" s="25"/>
      <c r="CN246" s="25"/>
      <c r="CO246" s="25"/>
      <c r="CP246" s="25"/>
      <c r="CQ246" s="25"/>
      <c r="CR246" s="25"/>
      <c r="CS246" s="25"/>
    </row>
    <row r="247" spans="2:97">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c r="AV247" s="25"/>
      <c r="AW247" s="25"/>
      <c r="AX247" s="25"/>
      <c r="AY247" s="25"/>
      <c r="AZ247" s="25"/>
      <c r="BA247" s="25"/>
      <c r="BB247" s="25"/>
      <c r="BC247" s="25"/>
      <c r="BD247" s="25"/>
      <c r="BE247" s="25"/>
      <c r="BF247" s="25"/>
      <c r="BG247" s="25"/>
      <c r="BH247" s="25"/>
      <c r="BI247" s="25"/>
      <c r="BJ247" s="25"/>
      <c r="BK247" s="25"/>
      <c r="BL247" s="25"/>
      <c r="BM247" s="25"/>
      <c r="BN247" s="25"/>
      <c r="BO247" s="25"/>
      <c r="BP247" s="25"/>
      <c r="BQ247" s="25"/>
      <c r="BR247" s="25"/>
      <c r="BS247" s="25"/>
      <c r="BT247" s="25"/>
      <c r="BU247" s="25"/>
      <c r="BV247" s="25"/>
      <c r="BW247" s="25"/>
      <c r="BX247" s="25"/>
      <c r="BY247" s="25"/>
      <c r="BZ247" s="25"/>
      <c r="CA247" s="25"/>
      <c r="CB247" s="25"/>
      <c r="CC247" s="25"/>
      <c r="CD247" s="25"/>
      <c r="CE247" s="25"/>
      <c r="CF247" s="25"/>
      <c r="CG247" s="25"/>
      <c r="CH247" s="25"/>
      <c r="CI247" s="25"/>
      <c r="CJ247" s="25"/>
      <c r="CK247" s="25"/>
      <c r="CL247" s="25"/>
      <c r="CM247" s="25"/>
      <c r="CN247" s="25"/>
      <c r="CO247" s="25"/>
      <c r="CP247" s="25"/>
      <c r="CQ247" s="25"/>
      <c r="CR247" s="25"/>
      <c r="CS247" s="25"/>
    </row>
    <row r="248" spans="2:97">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c r="AV248" s="25"/>
      <c r="AW248" s="25"/>
      <c r="AX248" s="25"/>
      <c r="AY248" s="25"/>
      <c r="AZ248" s="25"/>
      <c r="BA248" s="25"/>
      <c r="BB248" s="25"/>
      <c r="BC248" s="25"/>
      <c r="BD248" s="25"/>
      <c r="BE248" s="25"/>
      <c r="BF248" s="25"/>
      <c r="BG248" s="25"/>
      <c r="BH248" s="25"/>
      <c r="BI248" s="25"/>
      <c r="BJ248" s="25"/>
      <c r="BK248" s="25"/>
      <c r="BL248" s="25"/>
      <c r="BM248" s="25"/>
      <c r="BN248" s="25"/>
      <c r="BO248" s="25"/>
      <c r="BP248" s="25"/>
      <c r="BQ248" s="25"/>
      <c r="BR248" s="25"/>
      <c r="BS248" s="25"/>
      <c r="BT248" s="25"/>
      <c r="BU248" s="25"/>
      <c r="BV248" s="25"/>
      <c r="BW248" s="25"/>
      <c r="BX248" s="25"/>
      <c r="BY248" s="25"/>
      <c r="BZ248" s="25"/>
      <c r="CA248" s="25"/>
      <c r="CB248" s="25"/>
      <c r="CC248" s="25"/>
      <c r="CD248" s="25"/>
      <c r="CE248" s="25"/>
      <c r="CF248" s="25"/>
      <c r="CG248" s="25"/>
      <c r="CH248" s="25"/>
      <c r="CI248" s="25"/>
      <c r="CJ248" s="25"/>
      <c r="CK248" s="25"/>
      <c r="CL248" s="25"/>
      <c r="CM248" s="25"/>
      <c r="CN248" s="25"/>
      <c r="CO248" s="25"/>
      <c r="CP248" s="25"/>
      <c r="CQ248" s="25"/>
      <c r="CR248" s="25"/>
      <c r="CS248" s="25"/>
    </row>
    <row r="249" spans="2:97">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c r="AV249" s="25"/>
      <c r="AW249" s="25"/>
      <c r="AX249" s="25"/>
      <c r="AY249" s="25"/>
      <c r="AZ249" s="25"/>
      <c r="BA249" s="25"/>
      <c r="BB249" s="25"/>
      <c r="BC249" s="25"/>
      <c r="BD249" s="25"/>
      <c r="BE249" s="25"/>
      <c r="BF249" s="25"/>
      <c r="BG249" s="25"/>
      <c r="BH249" s="25"/>
      <c r="BI249" s="25"/>
      <c r="BJ249" s="25"/>
      <c r="BK249" s="25"/>
      <c r="BL249" s="25"/>
      <c r="BM249" s="25"/>
      <c r="BN249" s="25"/>
      <c r="BO249" s="25"/>
      <c r="BP249" s="25"/>
      <c r="BQ249" s="25"/>
      <c r="BR249" s="25"/>
      <c r="BS249" s="25"/>
      <c r="BT249" s="25"/>
      <c r="BU249" s="25"/>
      <c r="BV249" s="25"/>
      <c r="BW249" s="25"/>
      <c r="BX249" s="25"/>
      <c r="BY249" s="25"/>
      <c r="BZ249" s="25"/>
      <c r="CA249" s="25"/>
      <c r="CB249" s="25"/>
      <c r="CC249" s="25"/>
      <c r="CD249" s="25"/>
      <c r="CE249" s="25"/>
      <c r="CF249" s="25"/>
      <c r="CG249" s="25"/>
      <c r="CH249" s="25"/>
      <c r="CI249" s="25"/>
      <c r="CJ249" s="25"/>
      <c r="CK249" s="25"/>
      <c r="CL249" s="25"/>
      <c r="CM249" s="25"/>
      <c r="CN249" s="25"/>
      <c r="CO249" s="25"/>
      <c r="CP249" s="25"/>
      <c r="CQ249" s="25"/>
      <c r="CR249" s="25"/>
      <c r="CS249" s="25"/>
    </row>
    <row r="250" spans="2:97">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c r="AV250" s="25"/>
      <c r="AW250" s="25"/>
      <c r="AX250" s="25"/>
      <c r="AY250" s="25"/>
      <c r="AZ250" s="25"/>
      <c r="BA250" s="25"/>
      <c r="BB250" s="25"/>
      <c r="BC250" s="25"/>
      <c r="BD250" s="25"/>
      <c r="BE250" s="25"/>
      <c r="BF250" s="25"/>
      <c r="BG250" s="25"/>
      <c r="BH250" s="25"/>
      <c r="BI250" s="25"/>
      <c r="BJ250" s="25"/>
      <c r="BK250" s="25"/>
      <c r="BL250" s="25"/>
      <c r="BM250" s="25"/>
      <c r="BN250" s="25"/>
      <c r="BO250" s="25"/>
      <c r="BP250" s="25"/>
      <c r="BQ250" s="25"/>
      <c r="BR250" s="25"/>
      <c r="BS250" s="25"/>
      <c r="BT250" s="25"/>
      <c r="BU250" s="25"/>
      <c r="BV250" s="25"/>
      <c r="BW250" s="25"/>
      <c r="BX250" s="25"/>
      <c r="BY250" s="25"/>
      <c r="BZ250" s="25"/>
      <c r="CA250" s="25"/>
      <c r="CB250" s="25"/>
      <c r="CC250" s="25"/>
      <c r="CD250" s="25"/>
      <c r="CE250" s="25"/>
      <c r="CF250" s="25"/>
      <c r="CG250" s="25"/>
      <c r="CH250" s="25"/>
      <c r="CI250" s="25"/>
      <c r="CJ250" s="25"/>
      <c r="CK250" s="25"/>
      <c r="CL250" s="25"/>
      <c r="CM250" s="25"/>
      <c r="CN250" s="25"/>
      <c r="CO250" s="25"/>
      <c r="CP250" s="25"/>
      <c r="CQ250" s="25"/>
      <c r="CR250" s="25"/>
      <c r="CS250" s="25"/>
    </row>
    <row r="251" spans="2:97">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c r="AY251" s="25"/>
      <c r="AZ251" s="25"/>
      <c r="BA251" s="25"/>
      <c r="BB251" s="25"/>
      <c r="BC251" s="25"/>
      <c r="BD251" s="25"/>
      <c r="BE251" s="25"/>
      <c r="BF251" s="25"/>
      <c r="BG251" s="25"/>
      <c r="BH251" s="25"/>
      <c r="BI251" s="25"/>
      <c r="BJ251" s="25"/>
      <c r="BK251" s="25"/>
      <c r="BL251" s="25"/>
      <c r="BM251" s="25"/>
      <c r="BN251" s="25"/>
      <c r="BO251" s="25"/>
      <c r="BP251" s="25"/>
      <c r="BQ251" s="25"/>
      <c r="BR251" s="25"/>
      <c r="BS251" s="25"/>
      <c r="BT251" s="25"/>
      <c r="BU251" s="25"/>
      <c r="BV251" s="25"/>
      <c r="BW251" s="25"/>
      <c r="BX251" s="25"/>
      <c r="BY251" s="25"/>
      <c r="BZ251" s="25"/>
      <c r="CA251" s="25"/>
      <c r="CB251" s="25"/>
      <c r="CC251" s="25"/>
      <c r="CD251" s="25"/>
      <c r="CE251" s="25"/>
      <c r="CF251" s="25"/>
      <c r="CG251" s="25"/>
      <c r="CH251" s="25"/>
      <c r="CI251" s="25"/>
      <c r="CJ251" s="25"/>
      <c r="CK251" s="25"/>
      <c r="CL251" s="25"/>
      <c r="CM251" s="25"/>
      <c r="CN251" s="25"/>
      <c r="CO251" s="25"/>
      <c r="CP251" s="25"/>
      <c r="CQ251" s="25"/>
      <c r="CR251" s="25"/>
      <c r="CS251" s="25"/>
    </row>
    <row r="252" spans="2:97">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c r="AV252" s="25"/>
      <c r="AW252" s="25"/>
      <c r="AX252" s="25"/>
      <c r="AY252" s="25"/>
      <c r="AZ252" s="25"/>
      <c r="BA252" s="25"/>
      <c r="BB252" s="25"/>
      <c r="BC252" s="25"/>
      <c r="BD252" s="25"/>
      <c r="BE252" s="25"/>
      <c r="BF252" s="25"/>
      <c r="BG252" s="25"/>
      <c r="BH252" s="25"/>
      <c r="BI252" s="25"/>
      <c r="BJ252" s="25"/>
      <c r="BK252" s="25"/>
      <c r="BL252" s="25"/>
      <c r="BM252" s="25"/>
      <c r="BN252" s="25"/>
      <c r="BO252" s="25"/>
      <c r="BP252" s="25"/>
      <c r="BQ252" s="25"/>
      <c r="BR252" s="25"/>
      <c r="BS252" s="25"/>
      <c r="BT252" s="25"/>
      <c r="BU252" s="25"/>
      <c r="BV252" s="25"/>
      <c r="BW252" s="25"/>
      <c r="BX252" s="25"/>
      <c r="BY252" s="25"/>
      <c r="BZ252" s="25"/>
      <c r="CA252" s="25"/>
      <c r="CB252" s="25"/>
      <c r="CC252" s="25"/>
      <c r="CD252" s="25"/>
      <c r="CE252" s="25"/>
      <c r="CF252" s="25"/>
      <c r="CG252" s="25"/>
      <c r="CH252" s="25"/>
      <c r="CI252" s="25"/>
      <c r="CJ252" s="25"/>
      <c r="CK252" s="25"/>
      <c r="CL252" s="25"/>
      <c r="CM252" s="25"/>
      <c r="CN252" s="25"/>
      <c r="CO252" s="25"/>
      <c r="CP252" s="25"/>
      <c r="CQ252" s="25"/>
      <c r="CR252" s="25"/>
      <c r="CS252" s="25"/>
    </row>
    <row r="253" spans="2:97">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c r="AV253" s="25"/>
      <c r="AW253" s="25"/>
      <c r="AX253" s="25"/>
      <c r="AY253" s="25"/>
      <c r="AZ253" s="25"/>
      <c r="BA253" s="25"/>
      <c r="BB253" s="25"/>
      <c r="BC253" s="25"/>
      <c r="BD253" s="25"/>
      <c r="BE253" s="25"/>
      <c r="BF253" s="25"/>
      <c r="BG253" s="25"/>
      <c r="BH253" s="25"/>
      <c r="BI253" s="25"/>
      <c r="BJ253" s="25"/>
      <c r="BK253" s="25"/>
      <c r="BL253" s="25"/>
      <c r="BM253" s="25"/>
      <c r="BN253" s="25"/>
      <c r="BO253" s="25"/>
      <c r="BP253" s="25"/>
      <c r="BQ253" s="25"/>
      <c r="BR253" s="25"/>
      <c r="BS253" s="25"/>
      <c r="BT253" s="25"/>
      <c r="BU253" s="25"/>
      <c r="BV253" s="25"/>
      <c r="BW253" s="25"/>
      <c r="BX253" s="25"/>
      <c r="BY253" s="25"/>
      <c r="BZ253" s="25"/>
      <c r="CA253" s="25"/>
      <c r="CB253" s="25"/>
      <c r="CC253" s="25"/>
      <c r="CD253" s="25"/>
      <c r="CE253" s="25"/>
      <c r="CF253" s="25"/>
      <c r="CG253" s="25"/>
      <c r="CH253" s="25"/>
      <c r="CI253" s="25"/>
      <c r="CJ253" s="25"/>
      <c r="CK253" s="25"/>
      <c r="CL253" s="25"/>
      <c r="CM253" s="25"/>
      <c r="CN253" s="25"/>
      <c r="CO253" s="25"/>
      <c r="CP253" s="25"/>
      <c r="CQ253" s="25"/>
      <c r="CR253" s="25"/>
      <c r="CS253" s="25"/>
    </row>
    <row r="254" spans="2:97">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c r="AV254" s="25"/>
      <c r="AW254" s="25"/>
      <c r="AX254" s="25"/>
      <c r="AY254" s="25"/>
      <c r="AZ254" s="25"/>
      <c r="BA254" s="25"/>
      <c r="BB254" s="25"/>
      <c r="BC254" s="25"/>
      <c r="BD254" s="25"/>
      <c r="BE254" s="25"/>
      <c r="BF254" s="25"/>
      <c r="BG254" s="25"/>
      <c r="BH254" s="25"/>
      <c r="BI254" s="25"/>
      <c r="BJ254" s="25"/>
      <c r="BK254" s="25"/>
      <c r="BL254" s="25"/>
      <c r="BM254" s="25"/>
      <c r="BN254" s="25"/>
      <c r="BO254" s="25"/>
      <c r="BP254" s="25"/>
      <c r="BQ254" s="25"/>
      <c r="BR254" s="25"/>
      <c r="BS254" s="25"/>
      <c r="BT254" s="25"/>
      <c r="BU254" s="25"/>
      <c r="BV254" s="25"/>
      <c r="BW254" s="25"/>
      <c r="BX254" s="25"/>
      <c r="BY254" s="25"/>
      <c r="BZ254" s="25"/>
      <c r="CA254" s="25"/>
      <c r="CB254" s="25"/>
      <c r="CC254" s="25"/>
      <c r="CD254" s="25"/>
      <c r="CE254" s="25"/>
      <c r="CF254" s="25"/>
      <c r="CG254" s="25"/>
      <c r="CH254" s="25"/>
      <c r="CI254" s="25"/>
      <c r="CJ254" s="25"/>
      <c r="CK254" s="25"/>
      <c r="CL254" s="25"/>
      <c r="CM254" s="25"/>
      <c r="CN254" s="25"/>
      <c r="CO254" s="25"/>
      <c r="CP254" s="25"/>
      <c r="CQ254" s="25"/>
      <c r="CR254" s="25"/>
      <c r="CS254" s="25"/>
    </row>
    <row r="255" spans="2:97">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c r="AV255" s="25"/>
      <c r="AW255" s="25"/>
      <c r="AX255" s="25"/>
      <c r="AY255" s="25"/>
      <c r="AZ255" s="25"/>
      <c r="BA255" s="25"/>
      <c r="BB255" s="25"/>
      <c r="BC255" s="25"/>
      <c r="BD255" s="25"/>
      <c r="BE255" s="25"/>
      <c r="BF255" s="25"/>
      <c r="BG255" s="25"/>
      <c r="BH255" s="25"/>
      <c r="BI255" s="25"/>
      <c r="BJ255" s="25"/>
      <c r="BK255" s="25"/>
      <c r="BL255" s="25"/>
      <c r="BM255" s="25"/>
      <c r="BN255" s="25"/>
      <c r="BO255" s="25"/>
      <c r="BP255" s="25"/>
      <c r="BQ255" s="25"/>
      <c r="BR255" s="25"/>
      <c r="BS255" s="25"/>
      <c r="BT255" s="25"/>
      <c r="BU255" s="25"/>
      <c r="BV255" s="25"/>
      <c r="BW255" s="25"/>
      <c r="BX255" s="25"/>
      <c r="BY255" s="25"/>
      <c r="BZ255" s="25"/>
      <c r="CA255" s="25"/>
      <c r="CB255" s="25"/>
      <c r="CC255" s="25"/>
      <c r="CD255" s="25"/>
      <c r="CE255" s="25"/>
      <c r="CF255" s="25"/>
      <c r="CG255" s="25"/>
      <c r="CH255" s="25"/>
      <c r="CI255" s="25"/>
      <c r="CJ255" s="25"/>
      <c r="CK255" s="25"/>
      <c r="CL255" s="25"/>
      <c r="CM255" s="25"/>
      <c r="CN255" s="25"/>
      <c r="CO255" s="25"/>
      <c r="CP255" s="25"/>
      <c r="CQ255" s="25"/>
      <c r="CR255" s="25"/>
      <c r="CS255" s="25"/>
    </row>
    <row r="256" spans="2:97">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c r="AZ256" s="25"/>
      <c r="BA256" s="25"/>
      <c r="BB256" s="25"/>
      <c r="BC256" s="25"/>
      <c r="BD256" s="25"/>
      <c r="BE256" s="25"/>
      <c r="BF256" s="25"/>
      <c r="BG256" s="25"/>
      <c r="BH256" s="25"/>
      <c r="BI256" s="25"/>
      <c r="BJ256" s="25"/>
      <c r="BK256" s="25"/>
      <c r="BL256" s="25"/>
      <c r="BM256" s="25"/>
      <c r="BN256" s="25"/>
      <c r="BO256" s="25"/>
      <c r="BP256" s="25"/>
      <c r="BQ256" s="25"/>
      <c r="BR256" s="25"/>
      <c r="BS256" s="25"/>
      <c r="BT256" s="25"/>
      <c r="BU256" s="25"/>
      <c r="BV256" s="25"/>
      <c r="BW256" s="25"/>
      <c r="BX256" s="25"/>
      <c r="BY256" s="25"/>
      <c r="BZ256" s="25"/>
      <c r="CA256" s="25"/>
      <c r="CB256" s="25"/>
      <c r="CC256" s="25"/>
      <c r="CD256" s="25"/>
      <c r="CE256" s="25"/>
      <c r="CF256" s="25"/>
      <c r="CG256" s="25"/>
      <c r="CH256" s="25"/>
      <c r="CI256" s="25"/>
      <c r="CJ256" s="25"/>
      <c r="CK256" s="25"/>
      <c r="CL256" s="25"/>
      <c r="CM256" s="25"/>
      <c r="CN256" s="25"/>
      <c r="CO256" s="25"/>
      <c r="CP256" s="25"/>
      <c r="CQ256" s="25"/>
      <c r="CR256" s="25"/>
      <c r="CS256" s="25"/>
    </row>
    <row r="257" spans="2:97">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c r="AV257" s="25"/>
      <c r="AW257" s="25"/>
      <c r="AX257" s="25"/>
      <c r="AY257" s="25"/>
      <c r="AZ257" s="25"/>
      <c r="BA257" s="25"/>
      <c r="BB257" s="25"/>
      <c r="BC257" s="25"/>
      <c r="BD257" s="25"/>
      <c r="BE257" s="25"/>
      <c r="BF257" s="25"/>
      <c r="BG257" s="25"/>
      <c r="BH257" s="25"/>
      <c r="BI257" s="25"/>
      <c r="BJ257" s="25"/>
      <c r="BK257" s="25"/>
      <c r="BL257" s="25"/>
      <c r="BM257" s="25"/>
      <c r="BN257" s="25"/>
      <c r="BO257" s="25"/>
      <c r="BP257" s="25"/>
      <c r="BQ257" s="25"/>
      <c r="BR257" s="25"/>
      <c r="BS257" s="25"/>
      <c r="BT257" s="25"/>
      <c r="BU257" s="25"/>
      <c r="BV257" s="25"/>
      <c r="BW257" s="25"/>
      <c r="BX257" s="25"/>
      <c r="BY257" s="25"/>
      <c r="BZ257" s="25"/>
      <c r="CA257" s="25"/>
      <c r="CB257" s="25"/>
      <c r="CC257" s="25"/>
      <c r="CD257" s="25"/>
      <c r="CE257" s="25"/>
      <c r="CF257" s="25"/>
      <c r="CG257" s="25"/>
      <c r="CH257" s="25"/>
      <c r="CI257" s="25"/>
      <c r="CJ257" s="25"/>
      <c r="CK257" s="25"/>
      <c r="CL257" s="25"/>
      <c r="CM257" s="25"/>
      <c r="CN257" s="25"/>
      <c r="CO257" s="25"/>
      <c r="CP257" s="25"/>
      <c r="CQ257" s="25"/>
      <c r="CR257" s="25"/>
      <c r="CS257" s="25"/>
    </row>
    <row r="258" spans="2:97">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c r="BX258" s="25"/>
      <c r="BY258" s="25"/>
      <c r="BZ258" s="25"/>
      <c r="CA258" s="25"/>
      <c r="CB258" s="25"/>
      <c r="CC258" s="25"/>
      <c r="CD258" s="25"/>
      <c r="CE258" s="25"/>
      <c r="CF258" s="25"/>
      <c r="CG258" s="25"/>
      <c r="CH258" s="25"/>
      <c r="CI258" s="25"/>
      <c r="CJ258" s="25"/>
      <c r="CK258" s="25"/>
      <c r="CL258" s="25"/>
      <c r="CM258" s="25"/>
      <c r="CN258" s="25"/>
      <c r="CO258" s="25"/>
      <c r="CP258" s="25"/>
      <c r="CQ258" s="25"/>
      <c r="CR258" s="25"/>
      <c r="CS258" s="25"/>
    </row>
    <row r="259" spans="2:97">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c r="BX259" s="25"/>
      <c r="BY259" s="25"/>
      <c r="BZ259" s="25"/>
      <c r="CA259" s="25"/>
      <c r="CB259" s="25"/>
      <c r="CC259" s="25"/>
      <c r="CD259" s="25"/>
      <c r="CE259" s="25"/>
      <c r="CF259" s="25"/>
      <c r="CG259" s="25"/>
      <c r="CH259" s="25"/>
      <c r="CI259" s="25"/>
      <c r="CJ259" s="25"/>
      <c r="CK259" s="25"/>
      <c r="CL259" s="25"/>
      <c r="CM259" s="25"/>
      <c r="CN259" s="25"/>
      <c r="CO259" s="25"/>
      <c r="CP259" s="25"/>
      <c r="CQ259" s="25"/>
      <c r="CR259" s="25"/>
      <c r="CS259" s="25"/>
    </row>
    <row r="260" spans="2:97">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c r="BX260" s="25"/>
      <c r="BY260" s="25"/>
      <c r="BZ260" s="25"/>
      <c r="CA260" s="25"/>
      <c r="CB260" s="25"/>
      <c r="CC260" s="25"/>
      <c r="CD260" s="25"/>
      <c r="CE260" s="25"/>
      <c r="CF260" s="25"/>
      <c r="CG260" s="25"/>
      <c r="CH260" s="25"/>
      <c r="CI260" s="25"/>
      <c r="CJ260" s="25"/>
      <c r="CK260" s="25"/>
      <c r="CL260" s="25"/>
      <c r="CM260" s="25"/>
      <c r="CN260" s="25"/>
      <c r="CO260" s="25"/>
      <c r="CP260" s="25"/>
      <c r="CQ260" s="25"/>
      <c r="CR260" s="25"/>
      <c r="CS260" s="25"/>
    </row>
    <row r="261" spans="2:97">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c r="BX261" s="25"/>
      <c r="BY261" s="25"/>
      <c r="BZ261" s="25"/>
      <c r="CA261" s="25"/>
      <c r="CB261" s="25"/>
      <c r="CC261" s="25"/>
      <c r="CD261" s="25"/>
      <c r="CE261" s="25"/>
      <c r="CF261" s="25"/>
      <c r="CG261" s="25"/>
      <c r="CH261" s="25"/>
      <c r="CI261" s="25"/>
      <c r="CJ261" s="25"/>
      <c r="CK261" s="25"/>
      <c r="CL261" s="25"/>
      <c r="CM261" s="25"/>
      <c r="CN261" s="25"/>
      <c r="CO261" s="25"/>
      <c r="CP261" s="25"/>
      <c r="CQ261" s="25"/>
      <c r="CR261" s="25"/>
      <c r="CS261" s="25"/>
    </row>
    <row r="262" spans="2:97">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c r="BX262" s="25"/>
      <c r="BY262" s="25"/>
      <c r="BZ262" s="25"/>
      <c r="CA262" s="25"/>
      <c r="CB262" s="25"/>
      <c r="CC262" s="25"/>
      <c r="CD262" s="25"/>
      <c r="CE262" s="25"/>
      <c r="CF262" s="25"/>
      <c r="CG262" s="25"/>
      <c r="CH262" s="25"/>
      <c r="CI262" s="25"/>
      <c r="CJ262" s="25"/>
      <c r="CK262" s="25"/>
      <c r="CL262" s="25"/>
      <c r="CM262" s="25"/>
      <c r="CN262" s="25"/>
      <c r="CO262" s="25"/>
      <c r="CP262" s="25"/>
      <c r="CQ262" s="25"/>
      <c r="CR262" s="25"/>
      <c r="CS262" s="25"/>
    </row>
    <row r="263" spans="2:97">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c r="BX263" s="25"/>
      <c r="BY263" s="25"/>
      <c r="BZ263" s="25"/>
      <c r="CA263" s="25"/>
      <c r="CB263" s="25"/>
      <c r="CC263" s="25"/>
      <c r="CD263" s="25"/>
      <c r="CE263" s="25"/>
      <c r="CF263" s="25"/>
      <c r="CG263" s="25"/>
      <c r="CH263" s="25"/>
      <c r="CI263" s="25"/>
      <c r="CJ263" s="25"/>
      <c r="CK263" s="25"/>
      <c r="CL263" s="25"/>
      <c r="CM263" s="25"/>
      <c r="CN263" s="25"/>
      <c r="CO263" s="25"/>
      <c r="CP263" s="25"/>
      <c r="CQ263" s="25"/>
      <c r="CR263" s="25"/>
      <c r="CS263" s="25"/>
    </row>
    <row r="264" spans="2:97">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c r="BX264" s="25"/>
      <c r="BY264" s="25"/>
      <c r="BZ264" s="25"/>
      <c r="CA264" s="25"/>
      <c r="CB264" s="25"/>
      <c r="CC264" s="25"/>
      <c r="CD264" s="25"/>
      <c r="CE264" s="25"/>
      <c r="CF264" s="25"/>
      <c r="CG264" s="25"/>
      <c r="CH264" s="25"/>
      <c r="CI264" s="25"/>
      <c r="CJ264" s="25"/>
      <c r="CK264" s="25"/>
      <c r="CL264" s="25"/>
      <c r="CM264" s="25"/>
      <c r="CN264" s="25"/>
      <c r="CO264" s="25"/>
      <c r="CP264" s="25"/>
      <c r="CQ264" s="25"/>
      <c r="CR264" s="25"/>
      <c r="CS264" s="25"/>
    </row>
    <row r="265" spans="2:97">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c r="BX265" s="25"/>
      <c r="BY265" s="25"/>
      <c r="BZ265" s="25"/>
      <c r="CA265" s="25"/>
      <c r="CB265" s="25"/>
      <c r="CC265" s="25"/>
      <c r="CD265" s="25"/>
      <c r="CE265" s="25"/>
      <c r="CF265" s="25"/>
      <c r="CG265" s="25"/>
      <c r="CH265" s="25"/>
      <c r="CI265" s="25"/>
      <c r="CJ265" s="25"/>
      <c r="CK265" s="25"/>
      <c r="CL265" s="25"/>
      <c r="CM265" s="25"/>
      <c r="CN265" s="25"/>
      <c r="CO265" s="25"/>
      <c r="CP265" s="25"/>
      <c r="CQ265" s="25"/>
      <c r="CR265" s="25"/>
      <c r="CS265" s="25"/>
    </row>
    <row r="266" spans="2:97">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c r="BX266" s="25"/>
      <c r="BY266" s="25"/>
      <c r="BZ266" s="25"/>
      <c r="CA266" s="25"/>
      <c r="CB266" s="25"/>
      <c r="CC266" s="25"/>
      <c r="CD266" s="25"/>
      <c r="CE266" s="25"/>
      <c r="CF266" s="25"/>
      <c r="CG266" s="25"/>
      <c r="CH266" s="25"/>
      <c r="CI266" s="25"/>
      <c r="CJ266" s="25"/>
      <c r="CK266" s="25"/>
      <c r="CL266" s="25"/>
      <c r="CM266" s="25"/>
      <c r="CN266" s="25"/>
      <c r="CO266" s="25"/>
      <c r="CP266" s="25"/>
      <c r="CQ266" s="25"/>
      <c r="CR266" s="25"/>
      <c r="CS266" s="25"/>
    </row>
    <row r="267" spans="2:97">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c r="BX267" s="25"/>
      <c r="BY267" s="25"/>
      <c r="BZ267" s="25"/>
      <c r="CA267" s="25"/>
      <c r="CB267" s="25"/>
      <c r="CC267" s="25"/>
      <c r="CD267" s="25"/>
      <c r="CE267" s="25"/>
      <c r="CF267" s="25"/>
      <c r="CG267" s="25"/>
      <c r="CH267" s="25"/>
      <c r="CI267" s="25"/>
      <c r="CJ267" s="25"/>
      <c r="CK267" s="25"/>
      <c r="CL267" s="25"/>
      <c r="CM267" s="25"/>
      <c r="CN267" s="25"/>
      <c r="CO267" s="25"/>
      <c r="CP267" s="25"/>
      <c r="CQ267" s="25"/>
      <c r="CR267" s="25"/>
      <c r="CS267" s="25"/>
    </row>
    <row r="268" spans="2:97">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c r="BX268" s="25"/>
      <c r="BY268" s="25"/>
      <c r="BZ268" s="25"/>
      <c r="CA268" s="25"/>
      <c r="CB268" s="25"/>
      <c r="CC268" s="25"/>
      <c r="CD268" s="25"/>
      <c r="CE268" s="25"/>
      <c r="CF268" s="25"/>
      <c r="CG268" s="25"/>
      <c r="CH268" s="25"/>
      <c r="CI268" s="25"/>
      <c r="CJ268" s="25"/>
      <c r="CK268" s="25"/>
      <c r="CL268" s="25"/>
      <c r="CM268" s="25"/>
      <c r="CN268" s="25"/>
      <c r="CO268" s="25"/>
      <c r="CP268" s="25"/>
      <c r="CQ268" s="25"/>
      <c r="CR268" s="25"/>
      <c r="CS268" s="25"/>
    </row>
    <row r="269" spans="2:97">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c r="BX269" s="25"/>
      <c r="BY269" s="25"/>
      <c r="BZ269" s="25"/>
      <c r="CA269" s="25"/>
      <c r="CB269" s="25"/>
      <c r="CC269" s="25"/>
      <c r="CD269" s="25"/>
      <c r="CE269" s="25"/>
      <c r="CF269" s="25"/>
      <c r="CG269" s="25"/>
      <c r="CH269" s="25"/>
      <c r="CI269" s="25"/>
      <c r="CJ269" s="25"/>
      <c r="CK269" s="25"/>
      <c r="CL269" s="25"/>
      <c r="CM269" s="25"/>
      <c r="CN269" s="25"/>
      <c r="CO269" s="25"/>
      <c r="CP269" s="25"/>
      <c r="CQ269" s="25"/>
      <c r="CR269" s="25"/>
      <c r="CS269" s="25"/>
    </row>
    <row r="270" spans="2:97">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c r="BX270" s="25"/>
      <c r="BY270" s="25"/>
      <c r="BZ270" s="25"/>
      <c r="CA270" s="25"/>
      <c r="CB270" s="25"/>
      <c r="CC270" s="25"/>
      <c r="CD270" s="25"/>
      <c r="CE270" s="25"/>
      <c r="CF270" s="25"/>
      <c r="CG270" s="25"/>
      <c r="CH270" s="25"/>
      <c r="CI270" s="25"/>
      <c r="CJ270" s="25"/>
      <c r="CK270" s="25"/>
      <c r="CL270" s="25"/>
      <c r="CM270" s="25"/>
      <c r="CN270" s="25"/>
      <c r="CO270" s="25"/>
      <c r="CP270" s="25"/>
      <c r="CQ270" s="25"/>
      <c r="CR270" s="25"/>
      <c r="CS270" s="25"/>
    </row>
    <row r="271" spans="2:97">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c r="BX271" s="25"/>
      <c r="BY271" s="25"/>
      <c r="BZ271" s="25"/>
      <c r="CA271" s="25"/>
      <c r="CB271" s="25"/>
      <c r="CC271" s="25"/>
      <c r="CD271" s="25"/>
      <c r="CE271" s="25"/>
      <c r="CF271" s="25"/>
      <c r="CG271" s="25"/>
      <c r="CH271" s="25"/>
      <c r="CI271" s="25"/>
      <c r="CJ271" s="25"/>
      <c r="CK271" s="25"/>
      <c r="CL271" s="25"/>
      <c r="CM271" s="25"/>
      <c r="CN271" s="25"/>
      <c r="CO271" s="25"/>
      <c r="CP271" s="25"/>
      <c r="CQ271" s="25"/>
      <c r="CR271" s="25"/>
      <c r="CS271" s="25"/>
    </row>
    <row r="272" spans="2:97">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c r="BX272" s="25"/>
      <c r="BY272" s="25"/>
      <c r="BZ272" s="25"/>
      <c r="CA272" s="25"/>
      <c r="CB272" s="25"/>
      <c r="CC272" s="25"/>
      <c r="CD272" s="25"/>
      <c r="CE272" s="25"/>
      <c r="CF272" s="25"/>
      <c r="CG272" s="25"/>
      <c r="CH272" s="25"/>
      <c r="CI272" s="25"/>
      <c r="CJ272" s="25"/>
      <c r="CK272" s="25"/>
      <c r="CL272" s="25"/>
      <c r="CM272" s="25"/>
      <c r="CN272" s="25"/>
      <c r="CO272" s="25"/>
      <c r="CP272" s="25"/>
      <c r="CQ272" s="25"/>
      <c r="CR272" s="25"/>
      <c r="CS272" s="25"/>
    </row>
    <row r="273" spans="2:97">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c r="BX273" s="25"/>
      <c r="BY273" s="25"/>
      <c r="BZ273" s="25"/>
      <c r="CA273" s="25"/>
      <c r="CB273" s="25"/>
      <c r="CC273" s="25"/>
      <c r="CD273" s="25"/>
      <c r="CE273" s="25"/>
      <c r="CF273" s="25"/>
      <c r="CG273" s="25"/>
      <c r="CH273" s="25"/>
      <c r="CI273" s="25"/>
      <c r="CJ273" s="25"/>
      <c r="CK273" s="25"/>
      <c r="CL273" s="25"/>
      <c r="CM273" s="25"/>
      <c r="CN273" s="25"/>
      <c r="CO273" s="25"/>
      <c r="CP273" s="25"/>
      <c r="CQ273" s="25"/>
      <c r="CR273" s="25"/>
      <c r="CS273" s="25"/>
    </row>
    <row r="274" spans="2:97">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c r="BX274" s="25"/>
      <c r="BY274" s="25"/>
      <c r="BZ274" s="25"/>
      <c r="CA274" s="25"/>
      <c r="CB274" s="25"/>
      <c r="CC274" s="25"/>
      <c r="CD274" s="25"/>
      <c r="CE274" s="25"/>
      <c r="CF274" s="25"/>
      <c r="CG274" s="25"/>
      <c r="CH274" s="25"/>
      <c r="CI274" s="25"/>
      <c r="CJ274" s="25"/>
      <c r="CK274" s="25"/>
      <c r="CL274" s="25"/>
      <c r="CM274" s="25"/>
      <c r="CN274" s="25"/>
      <c r="CO274" s="25"/>
      <c r="CP274" s="25"/>
      <c r="CQ274" s="25"/>
      <c r="CR274" s="25"/>
      <c r="CS274" s="25"/>
    </row>
    <row r="275" spans="2:97">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c r="BX275" s="25"/>
      <c r="BY275" s="25"/>
      <c r="BZ275" s="25"/>
      <c r="CA275" s="25"/>
      <c r="CB275" s="25"/>
      <c r="CC275" s="25"/>
      <c r="CD275" s="25"/>
      <c r="CE275" s="25"/>
      <c r="CF275" s="25"/>
      <c r="CG275" s="25"/>
      <c r="CH275" s="25"/>
      <c r="CI275" s="25"/>
      <c r="CJ275" s="25"/>
      <c r="CK275" s="25"/>
      <c r="CL275" s="25"/>
      <c r="CM275" s="25"/>
      <c r="CN275" s="25"/>
      <c r="CO275" s="25"/>
      <c r="CP275" s="25"/>
      <c r="CQ275" s="25"/>
      <c r="CR275" s="25"/>
      <c r="CS275" s="25"/>
    </row>
    <row r="276" spans="2:97">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c r="BX276" s="25"/>
      <c r="BY276" s="25"/>
      <c r="BZ276" s="25"/>
      <c r="CA276" s="25"/>
      <c r="CB276" s="25"/>
      <c r="CC276" s="25"/>
      <c r="CD276" s="25"/>
      <c r="CE276" s="25"/>
      <c r="CF276" s="25"/>
      <c r="CG276" s="25"/>
      <c r="CH276" s="25"/>
      <c r="CI276" s="25"/>
      <c r="CJ276" s="25"/>
      <c r="CK276" s="25"/>
      <c r="CL276" s="25"/>
      <c r="CM276" s="25"/>
      <c r="CN276" s="25"/>
      <c r="CO276" s="25"/>
      <c r="CP276" s="25"/>
      <c r="CQ276" s="25"/>
      <c r="CR276" s="25"/>
      <c r="CS276" s="25"/>
    </row>
    <row r="277" spans="2:97">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c r="BX277" s="25"/>
      <c r="BY277" s="25"/>
      <c r="BZ277" s="25"/>
      <c r="CA277" s="25"/>
      <c r="CB277" s="25"/>
      <c r="CC277" s="25"/>
      <c r="CD277" s="25"/>
      <c r="CE277" s="25"/>
      <c r="CF277" s="25"/>
      <c r="CG277" s="25"/>
      <c r="CH277" s="25"/>
      <c r="CI277" s="25"/>
      <c r="CJ277" s="25"/>
      <c r="CK277" s="25"/>
      <c r="CL277" s="25"/>
      <c r="CM277" s="25"/>
      <c r="CN277" s="25"/>
      <c r="CO277" s="25"/>
      <c r="CP277" s="25"/>
      <c r="CQ277" s="25"/>
      <c r="CR277" s="25"/>
      <c r="CS277" s="25"/>
    </row>
    <row r="278" spans="2:97">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c r="BX278" s="25"/>
      <c r="BY278" s="25"/>
      <c r="BZ278" s="25"/>
      <c r="CA278" s="25"/>
      <c r="CB278" s="25"/>
      <c r="CC278" s="25"/>
      <c r="CD278" s="25"/>
      <c r="CE278" s="25"/>
      <c r="CF278" s="25"/>
      <c r="CG278" s="25"/>
      <c r="CH278" s="25"/>
      <c r="CI278" s="25"/>
      <c r="CJ278" s="25"/>
      <c r="CK278" s="25"/>
      <c r="CL278" s="25"/>
      <c r="CM278" s="25"/>
      <c r="CN278" s="25"/>
      <c r="CO278" s="25"/>
      <c r="CP278" s="25"/>
      <c r="CQ278" s="25"/>
      <c r="CR278" s="25"/>
      <c r="CS278" s="25"/>
    </row>
    <row r="279" spans="2:97">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c r="BX279" s="25"/>
      <c r="BY279" s="25"/>
      <c r="BZ279" s="25"/>
      <c r="CA279" s="25"/>
      <c r="CB279" s="25"/>
      <c r="CC279" s="25"/>
      <c r="CD279" s="25"/>
      <c r="CE279" s="25"/>
      <c r="CF279" s="25"/>
      <c r="CG279" s="25"/>
      <c r="CH279" s="25"/>
      <c r="CI279" s="25"/>
      <c r="CJ279" s="25"/>
      <c r="CK279" s="25"/>
      <c r="CL279" s="25"/>
      <c r="CM279" s="25"/>
      <c r="CN279" s="25"/>
      <c r="CO279" s="25"/>
      <c r="CP279" s="25"/>
      <c r="CQ279" s="25"/>
      <c r="CR279" s="25"/>
      <c r="CS279" s="25"/>
    </row>
    <row r="280" spans="2:97">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c r="AV280" s="25"/>
      <c r="AW280" s="25"/>
      <c r="AX280" s="25"/>
      <c r="AY280" s="25"/>
      <c r="AZ280" s="25"/>
      <c r="BA280" s="25"/>
      <c r="BB280" s="25"/>
      <c r="BC280" s="25"/>
      <c r="BD280" s="25"/>
      <c r="BE280" s="25"/>
      <c r="BF280" s="25"/>
      <c r="BG280" s="25"/>
      <c r="BH280" s="25"/>
      <c r="BI280" s="25"/>
      <c r="BJ280" s="25"/>
      <c r="BK280" s="25"/>
      <c r="BL280" s="25"/>
      <c r="BM280" s="25"/>
      <c r="BN280" s="25"/>
      <c r="BO280" s="25"/>
      <c r="BP280" s="25"/>
      <c r="BQ280" s="25"/>
      <c r="BR280" s="25"/>
      <c r="BS280" s="25"/>
      <c r="BT280" s="25"/>
      <c r="BU280" s="25"/>
      <c r="BV280" s="25"/>
      <c r="BW280" s="25"/>
      <c r="BX280" s="25"/>
      <c r="BY280" s="25"/>
      <c r="BZ280" s="25"/>
      <c r="CA280" s="25"/>
      <c r="CB280" s="25"/>
      <c r="CC280" s="25"/>
      <c r="CD280" s="25"/>
      <c r="CE280" s="25"/>
      <c r="CF280" s="25"/>
      <c r="CG280" s="25"/>
      <c r="CH280" s="25"/>
      <c r="CI280" s="25"/>
      <c r="CJ280" s="25"/>
      <c r="CK280" s="25"/>
      <c r="CL280" s="25"/>
      <c r="CM280" s="25"/>
      <c r="CN280" s="25"/>
      <c r="CO280" s="25"/>
      <c r="CP280" s="25"/>
      <c r="CQ280" s="25"/>
      <c r="CR280" s="25"/>
      <c r="CS280" s="25"/>
    </row>
    <row r="281" spans="2:97">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c r="AV281" s="25"/>
      <c r="AW281" s="25"/>
      <c r="AX281" s="25"/>
      <c r="AY281" s="25"/>
      <c r="AZ281" s="25"/>
      <c r="BA281" s="25"/>
      <c r="BB281" s="25"/>
      <c r="BC281" s="25"/>
      <c r="BD281" s="25"/>
      <c r="BE281" s="25"/>
      <c r="BF281" s="25"/>
      <c r="BG281" s="25"/>
      <c r="BH281" s="25"/>
      <c r="BI281" s="25"/>
      <c r="BJ281" s="25"/>
      <c r="BK281" s="25"/>
      <c r="BL281" s="25"/>
      <c r="BM281" s="25"/>
      <c r="BN281" s="25"/>
      <c r="BO281" s="25"/>
      <c r="BP281" s="25"/>
      <c r="BQ281" s="25"/>
      <c r="BR281" s="25"/>
      <c r="BS281" s="25"/>
      <c r="BT281" s="25"/>
      <c r="BU281" s="25"/>
      <c r="BV281" s="25"/>
      <c r="BW281" s="25"/>
      <c r="BX281" s="25"/>
      <c r="BY281" s="25"/>
      <c r="BZ281" s="25"/>
      <c r="CA281" s="25"/>
      <c r="CB281" s="25"/>
      <c r="CC281" s="25"/>
      <c r="CD281" s="25"/>
      <c r="CE281" s="25"/>
      <c r="CF281" s="25"/>
      <c r="CG281" s="25"/>
      <c r="CH281" s="25"/>
      <c r="CI281" s="25"/>
      <c r="CJ281" s="25"/>
      <c r="CK281" s="25"/>
      <c r="CL281" s="25"/>
      <c r="CM281" s="25"/>
      <c r="CN281" s="25"/>
      <c r="CO281" s="25"/>
      <c r="CP281" s="25"/>
      <c r="CQ281" s="25"/>
      <c r="CR281" s="25"/>
      <c r="CS281" s="25"/>
    </row>
    <row r="282" spans="2:97">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c r="AV282" s="25"/>
      <c r="AW282" s="25"/>
      <c r="AX282" s="25"/>
      <c r="AY282" s="25"/>
      <c r="AZ282" s="25"/>
      <c r="BA282" s="25"/>
      <c r="BB282" s="25"/>
      <c r="BC282" s="25"/>
      <c r="BD282" s="25"/>
      <c r="BE282" s="25"/>
      <c r="BF282" s="25"/>
      <c r="BG282" s="25"/>
      <c r="BH282" s="25"/>
      <c r="BI282" s="25"/>
      <c r="BJ282" s="25"/>
      <c r="BK282" s="25"/>
      <c r="BL282" s="25"/>
      <c r="BM282" s="25"/>
      <c r="BN282" s="25"/>
      <c r="BO282" s="25"/>
      <c r="BP282" s="25"/>
      <c r="BQ282" s="25"/>
      <c r="BR282" s="25"/>
      <c r="BS282" s="25"/>
      <c r="BT282" s="25"/>
      <c r="BU282" s="25"/>
      <c r="BV282" s="25"/>
      <c r="BW282" s="25"/>
      <c r="BX282" s="25"/>
      <c r="BY282" s="25"/>
      <c r="BZ282" s="25"/>
      <c r="CA282" s="25"/>
      <c r="CB282" s="25"/>
      <c r="CC282" s="25"/>
      <c r="CD282" s="25"/>
      <c r="CE282" s="25"/>
      <c r="CF282" s="25"/>
      <c r="CG282" s="25"/>
      <c r="CH282" s="25"/>
      <c r="CI282" s="25"/>
      <c r="CJ282" s="25"/>
      <c r="CK282" s="25"/>
      <c r="CL282" s="25"/>
      <c r="CM282" s="25"/>
      <c r="CN282" s="25"/>
      <c r="CO282" s="25"/>
      <c r="CP282" s="25"/>
      <c r="CQ282" s="25"/>
      <c r="CR282" s="25"/>
      <c r="CS282" s="25"/>
    </row>
    <row r="283" spans="2:97">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c r="AV283" s="25"/>
      <c r="AW283" s="25"/>
      <c r="AX283" s="25"/>
      <c r="AY283" s="25"/>
      <c r="AZ283" s="25"/>
      <c r="BA283" s="25"/>
      <c r="BB283" s="25"/>
      <c r="BC283" s="25"/>
      <c r="BD283" s="25"/>
      <c r="BE283" s="25"/>
      <c r="BF283" s="25"/>
      <c r="BG283" s="25"/>
      <c r="BH283" s="25"/>
      <c r="BI283" s="25"/>
      <c r="BJ283" s="25"/>
      <c r="BK283" s="25"/>
      <c r="BL283" s="25"/>
      <c r="BM283" s="25"/>
      <c r="BN283" s="25"/>
      <c r="BO283" s="25"/>
      <c r="BP283" s="25"/>
      <c r="BQ283" s="25"/>
      <c r="BR283" s="25"/>
      <c r="BS283" s="25"/>
      <c r="BT283" s="25"/>
      <c r="BU283" s="25"/>
      <c r="BV283" s="25"/>
      <c r="BW283" s="25"/>
      <c r="BX283" s="25"/>
      <c r="BY283" s="25"/>
      <c r="BZ283" s="25"/>
      <c r="CA283" s="25"/>
      <c r="CB283" s="25"/>
      <c r="CC283" s="25"/>
      <c r="CD283" s="25"/>
      <c r="CE283" s="25"/>
      <c r="CF283" s="25"/>
      <c r="CG283" s="25"/>
      <c r="CH283" s="25"/>
      <c r="CI283" s="25"/>
      <c r="CJ283" s="25"/>
      <c r="CK283" s="25"/>
      <c r="CL283" s="25"/>
      <c r="CM283" s="25"/>
      <c r="CN283" s="25"/>
      <c r="CO283" s="25"/>
      <c r="CP283" s="25"/>
      <c r="CQ283" s="25"/>
      <c r="CR283" s="25"/>
      <c r="CS283" s="25"/>
    </row>
    <row r="284" spans="2:97">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c r="AV284" s="25"/>
      <c r="AW284" s="25"/>
      <c r="AX284" s="25"/>
      <c r="AY284" s="25"/>
      <c r="AZ284" s="25"/>
      <c r="BA284" s="25"/>
      <c r="BB284" s="25"/>
      <c r="BC284" s="25"/>
      <c r="BD284" s="25"/>
      <c r="BE284" s="25"/>
      <c r="BF284" s="25"/>
      <c r="BG284" s="25"/>
      <c r="BH284" s="25"/>
      <c r="BI284" s="25"/>
      <c r="BJ284" s="25"/>
      <c r="BK284" s="25"/>
      <c r="BL284" s="25"/>
      <c r="BM284" s="25"/>
      <c r="BN284" s="25"/>
      <c r="BO284" s="25"/>
      <c r="BP284" s="25"/>
      <c r="BQ284" s="25"/>
      <c r="BR284" s="25"/>
      <c r="BS284" s="25"/>
      <c r="BT284" s="25"/>
      <c r="BU284" s="25"/>
      <c r="BV284" s="25"/>
      <c r="BW284" s="25"/>
      <c r="BX284" s="25"/>
      <c r="BY284" s="25"/>
      <c r="BZ284" s="25"/>
      <c r="CA284" s="25"/>
      <c r="CB284" s="25"/>
      <c r="CC284" s="25"/>
      <c r="CD284" s="25"/>
      <c r="CE284" s="25"/>
      <c r="CF284" s="25"/>
      <c r="CG284" s="25"/>
      <c r="CH284" s="25"/>
      <c r="CI284" s="25"/>
      <c r="CJ284" s="25"/>
      <c r="CK284" s="25"/>
      <c r="CL284" s="25"/>
      <c r="CM284" s="25"/>
      <c r="CN284" s="25"/>
      <c r="CO284" s="25"/>
      <c r="CP284" s="25"/>
      <c r="CQ284" s="25"/>
      <c r="CR284" s="25"/>
      <c r="CS284" s="25"/>
    </row>
    <row r="285" spans="2:97">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c r="AV285" s="25"/>
      <c r="AW285" s="25"/>
      <c r="AX285" s="25"/>
      <c r="AY285" s="25"/>
      <c r="AZ285" s="25"/>
      <c r="BA285" s="25"/>
      <c r="BB285" s="25"/>
      <c r="BC285" s="25"/>
      <c r="BD285" s="25"/>
      <c r="BE285" s="25"/>
      <c r="BF285" s="25"/>
      <c r="BG285" s="25"/>
      <c r="BH285" s="25"/>
      <c r="BI285" s="25"/>
      <c r="BJ285" s="25"/>
      <c r="BK285" s="25"/>
      <c r="BL285" s="25"/>
      <c r="BM285" s="25"/>
      <c r="BN285" s="25"/>
      <c r="BO285" s="25"/>
      <c r="BP285" s="25"/>
      <c r="BQ285" s="25"/>
      <c r="BR285" s="25"/>
      <c r="BS285" s="25"/>
      <c r="BT285" s="25"/>
      <c r="BU285" s="25"/>
      <c r="BV285" s="25"/>
      <c r="BW285" s="25"/>
      <c r="BX285" s="25"/>
      <c r="BY285" s="25"/>
      <c r="BZ285" s="25"/>
      <c r="CA285" s="25"/>
      <c r="CB285" s="25"/>
      <c r="CC285" s="25"/>
      <c r="CD285" s="25"/>
      <c r="CE285" s="25"/>
      <c r="CF285" s="25"/>
      <c r="CG285" s="25"/>
      <c r="CH285" s="25"/>
      <c r="CI285" s="25"/>
      <c r="CJ285" s="25"/>
      <c r="CK285" s="25"/>
      <c r="CL285" s="25"/>
      <c r="CM285" s="25"/>
      <c r="CN285" s="25"/>
      <c r="CO285" s="25"/>
      <c r="CP285" s="25"/>
      <c r="CQ285" s="25"/>
      <c r="CR285" s="25"/>
      <c r="CS285" s="25"/>
    </row>
    <row r="286" spans="2:97">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c r="AV286" s="25"/>
      <c r="AW286" s="25"/>
      <c r="AX286" s="25"/>
      <c r="AY286" s="25"/>
      <c r="AZ286" s="25"/>
      <c r="BA286" s="25"/>
      <c r="BB286" s="25"/>
      <c r="BC286" s="25"/>
      <c r="BD286" s="25"/>
      <c r="BE286" s="25"/>
      <c r="BF286" s="25"/>
      <c r="BG286" s="25"/>
      <c r="BH286" s="25"/>
      <c r="BI286" s="25"/>
      <c r="BJ286" s="25"/>
      <c r="BK286" s="25"/>
      <c r="BL286" s="25"/>
      <c r="BM286" s="25"/>
      <c r="BN286" s="25"/>
      <c r="BO286" s="25"/>
      <c r="BP286" s="25"/>
      <c r="BQ286" s="25"/>
      <c r="BR286" s="25"/>
      <c r="BS286" s="25"/>
      <c r="BT286" s="25"/>
      <c r="BU286" s="25"/>
      <c r="BV286" s="25"/>
      <c r="BW286" s="25"/>
      <c r="BX286" s="25"/>
      <c r="BY286" s="25"/>
      <c r="BZ286" s="25"/>
      <c r="CA286" s="25"/>
      <c r="CB286" s="25"/>
      <c r="CC286" s="25"/>
      <c r="CD286" s="25"/>
      <c r="CE286" s="25"/>
      <c r="CF286" s="25"/>
      <c r="CG286" s="25"/>
      <c r="CH286" s="25"/>
      <c r="CI286" s="25"/>
      <c r="CJ286" s="25"/>
      <c r="CK286" s="25"/>
      <c r="CL286" s="25"/>
      <c r="CM286" s="25"/>
      <c r="CN286" s="25"/>
      <c r="CO286" s="25"/>
      <c r="CP286" s="25"/>
      <c r="CQ286" s="25"/>
      <c r="CR286" s="25"/>
      <c r="CS286" s="25"/>
    </row>
    <row r="287" spans="2:97">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c r="AV287" s="25"/>
      <c r="AW287" s="25"/>
      <c r="AX287" s="25"/>
      <c r="AY287" s="25"/>
      <c r="AZ287" s="25"/>
      <c r="BA287" s="25"/>
      <c r="BB287" s="25"/>
      <c r="BC287" s="25"/>
      <c r="BD287" s="25"/>
      <c r="BE287" s="25"/>
      <c r="BF287" s="25"/>
      <c r="BG287" s="25"/>
      <c r="BH287" s="25"/>
      <c r="BI287" s="25"/>
      <c r="BJ287" s="25"/>
      <c r="BK287" s="25"/>
      <c r="BL287" s="25"/>
      <c r="BM287" s="25"/>
      <c r="BN287" s="25"/>
      <c r="BO287" s="25"/>
      <c r="BP287" s="25"/>
      <c r="BQ287" s="25"/>
      <c r="BR287" s="25"/>
      <c r="BS287" s="25"/>
      <c r="BT287" s="25"/>
      <c r="BU287" s="25"/>
      <c r="BV287" s="25"/>
      <c r="BW287" s="25"/>
      <c r="BX287" s="25"/>
      <c r="BY287" s="25"/>
      <c r="BZ287" s="25"/>
      <c r="CA287" s="25"/>
      <c r="CB287" s="25"/>
      <c r="CC287" s="25"/>
      <c r="CD287" s="25"/>
      <c r="CE287" s="25"/>
      <c r="CF287" s="25"/>
      <c r="CG287" s="25"/>
      <c r="CH287" s="25"/>
      <c r="CI287" s="25"/>
      <c r="CJ287" s="25"/>
      <c r="CK287" s="25"/>
      <c r="CL287" s="25"/>
      <c r="CM287" s="25"/>
      <c r="CN287" s="25"/>
      <c r="CO287" s="25"/>
      <c r="CP287" s="25"/>
      <c r="CQ287" s="25"/>
      <c r="CR287" s="25"/>
      <c r="CS287" s="25"/>
    </row>
    <row r="288" spans="2:97">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c r="AV288" s="25"/>
      <c r="AW288" s="25"/>
      <c r="AX288" s="25"/>
      <c r="AY288" s="25"/>
      <c r="AZ288" s="25"/>
      <c r="BA288" s="25"/>
      <c r="BB288" s="25"/>
      <c r="BC288" s="25"/>
      <c r="BD288" s="25"/>
      <c r="BE288" s="25"/>
      <c r="BF288" s="25"/>
      <c r="BG288" s="25"/>
      <c r="BH288" s="25"/>
      <c r="BI288" s="25"/>
      <c r="BJ288" s="25"/>
      <c r="BK288" s="25"/>
      <c r="BL288" s="25"/>
      <c r="BM288" s="25"/>
      <c r="BN288" s="25"/>
      <c r="BO288" s="25"/>
      <c r="BP288" s="25"/>
      <c r="BQ288" s="25"/>
      <c r="BR288" s="25"/>
      <c r="BS288" s="25"/>
      <c r="BT288" s="25"/>
      <c r="BU288" s="25"/>
      <c r="BV288" s="25"/>
      <c r="BW288" s="25"/>
      <c r="BX288" s="25"/>
      <c r="BY288" s="25"/>
      <c r="BZ288" s="25"/>
      <c r="CA288" s="25"/>
      <c r="CB288" s="25"/>
      <c r="CC288" s="25"/>
      <c r="CD288" s="25"/>
      <c r="CE288" s="25"/>
      <c r="CF288" s="25"/>
      <c r="CG288" s="25"/>
      <c r="CH288" s="25"/>
      <c r="CI288" s="25"/>
      <c r="CJ288" s="25"/>
      <c r="CK288" s="25"/>
      <c r="CL288" s="25"/>
      <c r="CM288" s="25"/>
      <c r="CN288" s="25"/>
      <c r="CO288" s="25"/>
      <c r="CP288" s="25"/>
      <c r="CQ288" s="25"/>
      <c r="CR288" s="25"/>
      <c r="CS288" s="25"/>
    </row>
    <row r="289" spans="2:97">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c r="AV289" s="25"/>
      <c r="AW289" s="25"/>
      <c r="AX289" s="25"/>
      <c r="AY289" s="25"/>
      <c r="AZ289" s="25"/>
      <c r="BA289" s="25"/>
      <c r="BB289" s="25"/>
      <c r="BC289" s="25"/>
      <c r="BD289" s="25"/>
      <c r="BE289" s="25"/>
      <c r="BF289" s="25"/>
      <c r="BG289" s="25"/>
      <c r="BH289" s="25"/>
      <c r="BI289" s="25"/>
      <c r="BJ289" s="25"/>
      <c r="BK289" s="25"/>
      <c r="BL289" s="25"/>
      <c r="BM289" s="25"/>
      <c r="BN289" s="25"/>
      <c r="BO289" s="25"/>
      <c r="BP289" s="25"/>
      <c r="BQ289" s="25"/>
      <c r="BR289" s="25"/>
      <c r="BS289" s="25"/>
      <c r="BT289" s="25"/>
      <c r="BU289" s="25"/>
      <c r="BV289" s="25"/>
      <c r="BW289" s="25"/>
      <c r="BX289" s="25"/>
      <c r="BY289" s="25"/>
      <c r="BZ289" s="25"/>
      <c r="CA289" s="25"/>
      <c r="CB289" s="25"/>
      <c r="CC289" s="25"/>
      <c r="CD289" s="25"/>
      <c r="CE289" s="25"/>
      <c r="CF289" s="25"/>
      <c r="CG289" s="25"/>
      <c r="CH289" s="25"/>
      <c r="CI289" s="25"/>
      <c r="CJ289" s="25"/>
      <c r="CK289" s="25"/>
      <c r="CL289" s="25"/>
      <c r="CM289" s="25"/>
      <c r="CN289" s="25"/>
      <c r="CO289" s="25"/>
      <c r="CP289" s="25"/>
      <c r="CQ289" s="25"/>
      <c r="CR289" s="25"/>
      <c r="CS289" s="25"/>
    </row>
    <row r="290" spans="2:97">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c r="AV290" s="25"/>
      <c r="AW290" s="25"/>
      <c r="AX290" s="25"/>
      <c r="AY290" s="25"/>
      <c r="AZ290" s="25"/>
      <c r="BA290" s="25"/>
      <c r="BB290" s="25"/>
      <c r="BC290" s="25"/>
      <c r="BD290" s="25"/>
      <c r="BE290" s="25"/>
      <c r="BF290" s="25"/>
      <c r="BG290" s="25"/>
      <c r="BH290" s="25"/>
      <c r="BI290" s="25"/>
      <c r="BJ290" s="25"/>
      <c r="BK290" s="25"/>
      <c r="BL290" s="25"/>
      <c r="BM290" s="25"/>
      <c r="BN290" s="25"/>
      <c r="BO290" s="25"/>
      <c r="BP290" s="25"/>
      <c r="BQ290" s="25"/>
      <c r="BR290" s="25"/>
      <c r="BS290" s="25"/>
      <c r="BT290" s="25"/>
      <c r="BU290" s="25"/>
      <c r="BV290" s="25"/>
      <c r="BW290" s="25"/>
      <c r="BX290" s="25"/>
      <c r="BY290" s="25"/>
      <c r="BZ290" s="25"/>
      <c r="CA290" s="25"/>
      <c r="CB290" s="25"/>
      <c r="CC290" s="25"/>
      <c r="CD290" s="25"/>
      <c r="CE290" s="25"/>
      <c r="CF290" s="25"/>
      <c r="CG290" s="25"/>
      <c r="CH290" s="25"/>
      <c r="CI290" s="25"/>
      <c r="CJ290" s="25"/>
      <c r="CK290" s="25"/>
      <c r="CL290" s="25"/>
      <c r="CM290" s="25"/>
      <c r="CN290" s="25"/>
      <c r="CO290" s="25"/>
      <c r="CP290" s="25"/>
      <c r="CQ290" s="25"/>
      <c r="CR290" s="25"/>
      <c r="CS290" s="25"/>
    </row>
    <row r="291" spans="2:97">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c r="AV291" s="25"/>
      <c r="AW291" s="25"/>
      <c r="AX291" s="25"/>
      <c r="AY291" s="25"/>
      <c r="AZ291" s="25"/>
      <c r="BA291" s="25"/>
      <c r="BB291" s="25"/>
      <c r="BC291" s="25"/>
      <c r="BD291" s="25"/>
      <c r="BE291" s="25"/>
      <c r="BF291" s="25"/>
      <c r="BG291" s="25"/>
      <c r="BH291" s="25"/>
      <c r="BI291" s="25"/>
      <c r="BJ291" s="25"/>
      <c r="BK291" s="25"/>
      <c r="BL291" s="25"/>
      <c r="BM291" s="25"/>
      <c r="BN291" s="25"/>
      <c r="BO291" s="25"/>
      <c r="BP291" s="25"/>
      <c r="BQ291" s="25"/>
      <c r="BR291" s="25"/>
      <c r="BS291" s="25"/>
      <c r="BT291" s="25"/>
      <c r="BU291" s="25"/>
      <c r="BV291" s="25"/>
      <c r="BW291" s="25"/>
      <c r="BX291" s="25"/>
      <c r="BY291" s="25"/>
      <c r="BZ291" s="25"/>
      <c r="CA291" s="25"/>
      <c r="CB291" s="25"/>
      <c r="CC291" s="25"/>
      <c r="CD291" s="25"/>
      <c r="CE291" s="25"/>
      <c r="CF291" s="25"/>
      <c r="CG291" s="25"/>
      <c r="CH291" s="25"/>
      <c r="CI291" s="25"/>
      <c r="CJ291" s="25"/>
      <c r="CK291" s="25"/>
      <c r="CL291" s="25"/>
      <c r="CM291" s="25"/>
      <c r="CN291" s="25"/>
      <c r="CO291" s="25"/>
      <c r="CP291" s="25"/>
      <c r="CQ291" s="25"/>
      <c r="CR291" s="25"/>
      <c r="CS291" s="25"/>
    </row>
    <row r="292" spans="2:97">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c r="AV292" s="25"/>
      <c r="AW292" s="25"/>
      <c r="AX292" s="25"/>
      <c r="AY292" s="25"/>
      <c r="AZ292" s="25"/>
      <c r="BA292" s="25"/>
      <c r="BB292" s="25"/>
      <c r="BC292" s="25"/>
      <c r="BD292" s="25"/>
      <c r="BE292" s="25"/>
      <c r="BF292" s="25"/>
      <c r="BG292" s="25"/>
      <c r="BH292" s="25"/>
      <c r="BI292" s="25"/>
      <c r="BJ292" s="25"/>
      <c r="BK292" s="25"/>
      <c r="BL292" s="25"/>
      <c r="BM292" s="25"/>
      <c r="BN292" s="25"/>
      <c r="BO292" s="25"/>
      <c r="BP292" s="25"/>
      <c r="BQ292" s="25"/>
      <c r="BR292" s="25"/>
      <c r="BS292" s="25"/>
      <c r="BT292" s="25"/>
      <c r="BU292" s="25"/>
      <c r="BV292" s="25"/>
      <c r="BW292" s="25"/>
      <c r="BX292" s="25"/>
      <c r="BY292" s="25"/>
      <c r="BZ292" s="25"/>
      <c r="CA292" s="25"/>
      <c r="CB292" s="25"/>
      <c r="CC292" s="25"/>
      <c r="CD292" s="25"/>
      <c r="CE292" s="25"/>
      <c r="CF292" s="25"/>
      <c r="CG292" s="25"/>
      <c r="CH292" s="25"/>
      <c r="CI292" s="25"/>
      <c r="CJ292" s="25"/>
      <c r="CK292" s="25"/>
      <c r="CL292" s="25"/>
      <c r="CM292" s="25"/>
      <c r="CN292" s="25"/>
      <c r="CO292" s="25"/>
      <c r="CP292" s="25"/>
      <c r="CQ292" s="25"/>
      <c r="CR292" s="25"/>
      <c r="CS292" s="25"/>
    </row>
    <row r="293" spans="2:97">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c r="AV293" s="25"/>
      <c r="AW293" s="25"/>
      <c r="AX293" s="25"/>
      <c r="AY293" s="25"/>
      <c r="AZ293" s="25"/>
      <c r="BA293" s="25"/>
      <c r="BB293" s="25"/>
      <c r="BC293" s="25"/>
      <c r="BD293" s="25"/>
      <c r="BE293" s="25"/>
      <c r="BF293" s="25"/>
      <c r="BG293" s="25"/>
      <c r="BH293" s="25"/>
      <c r="BI293" s="25"/>
      <c r="BJ293" s="25"/>
      <c r="BK293" s="25"/>
      <c r="BL293" s="25"/>
      <c r="BM293" s="25"/>
      <c r="BN293" s="25"/>
      <c r="BO293" s="25"/>
      <c r="BP293" s="25"/>
      <c r="BQ293" s="25"/>
      <c r="BR293" s="25"/>
      <c r="BS293" s="25"/>
      <c r="BT293" s="25"/>
      <c r="BU293" s="25"/>
      <c r="BV293" s="25"/>
      <c r="BW293" s="25"/>
      <c r="BX293" s="25"/>
      <c r="BY293" s="25"/>
      <c r="BZ293" s="25"/>
      <c r="CA293" s="25"/>
      <c r="CB293" s="25"/>
      <c r="CC293" s="25"/>
      <c r="CD293" s="25"/>
      <c r="CE293" s="25"/>
      <c r="CF293" s="25"/>
      <c r="CG293" s="25"/>
      <c r="CH293" s="25"/>
      <c r="CI293" s="25"/>
      <c r="CJ293" s="25"/>
      <c r="CK293" s="25"/>
      <c r="CL293" s="25"/>
      <c r="CM293" s="25"/>
      <c r="CN293" s="25"/>
      <c r="CO293" s="25"/>
      <c r="CP293" s="25"/>
      <c r="CQ293" s="25"/>
      <c r="CR293" s="25"/>
      <c r="CS293" s="25"/>
    </row>
    <row r="294" spans="2:97">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c r="AV294" s="25"/>
      <c r="AW294" s="25"/>
      <c r="AX294" s="25"/>
      <c r="AY294" s="25"/>
      <c r="AZ294" s="25"/>
      <c r="BA294" s="25"/>
      <c r="BB294" s="25"/>
      <c r="BC294" s="25"/>
      <c r="BD294" s="25"/>
      <c r="BE294" s="25"/>
      <c r="BF294" s="25"/>
      <c r="BG294" s="25"/>
      <c r="BH294" s="25"/>
      <c r="BI294" s="25"/>
      <c r="BJ294" s="25"/>
      <c r="BK294" s="25"/>
      <c r="BL294" s="25"/>
      <c r="BM294" s="25"/>
      <c r="BN294" s="25"/>
      <c r="BO294" s="25"/>
      <c r="BP294" s="25"/>
      <c r="BQ294" s="25"/>
      <c r="BR294" s="25"/>
      <c r="BS294" s="25"/>
      <c r="BT294" s="25"/>
      <c r="BU294" s="25"/>
      <c r="BV294" s="25"/>
      <c r="BW294" s="25"/>
      <c r="BX294" s="25"/>
      <c r="BY294" s="25"/>
      <c r="BZ294" s="25"/>
      <c r="CA294" s="25"/>
      <c r="CB294" s="25"/>
      <c r="CC294" s="25"/>
      <c r="CD294" s="25"/>
      <c r="CE294" s="25"/>
      <c r="CF294" s="25"/>
      <c r="CG294" s="25"/>
      <c r="CH294" s="25"/>
      <c r="CI294" s="25"/>
      <c r="CJ294" s="25"/>
      <c r="CK294" s="25"/>
      <c r="CL294" s="25"/>
      <c r="CM294" s="25"/>
      <c r="CN294" s="25"/>
      <c r="CO294" s="25"/>
      <c r="CP294" s="25"/>
      <c r="CQ294" s="25"/>
      <c r="CR294" s="25"/>
      <c r="CS294" s="25"/>
    </row>
    <row r="295" spans="2:97">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c r="AV295" s="25"/>
      <c r="AW295" s="25"/>
      <c r="AX295" s="25"/>
      <c r="AY295" s="25"/>
      <c r="AZ295" s="25"/>
      <c r="BA295" s="25"/>
      <c r="BB295" s="25"/>
      <c r="BC295" s="25"/>
      <c r="BD295" s="25"/>
      <c r="BE295" s="25"/>
      <c r="BF295" s="25"/>
      <c r="BG295" s="25"/>
      <c r="BH295" s="25"/>
      <c r="BI295" s="25"/>
      <c r="BJ295" s="25"/>
      <c r="BK295" s="25"/>
      <c r="BL295" s="25"/>
      <c r="BM295" s="25"/>
      <c r="BN295" s="25"/>
      <c r="BO295" s="25"/>
      <c r="BP295" s="25"/>
      <c r="BQ295" s="25"/>
      <c r="BR295" s="25"/>
      <c r="BS295" s="25"/>
      <c r="BT295" s="25"/>
      <c r="BU295" s="25"/>
      <c r="BV295" s="25"/>
      <c r="BW295" s="25"/>
      <c r="BX295" s="25"/>
      <c r="BY295" s="25"/>
      <c r="BZ295" s="25"/>
      <c r="CA295" s="25"/>
      <c r="CB295" s="25"/>
      <c r="CC295" s="25"/>
      <c r="CD295" s="25"/>
      <c r="CE295" s="25"/>
      <c r="CF295" s="25"/>
      <c r="CG295" s="25"/>
      <c r="CH295" s="25"/>
      <c r="CI295" s="25"/>
      <c r="CJ295" s="25"/>
      <c r="CK295" s="25"/>
      <c r="CL295" s="25"/>
      <c r="CM295" s="25"/>
      <c r="CN295" s="25"/>
      <c r="CO295" s="25"/>
      <c r="CP295" s="25"/>
      <c r="CQ295" s="25"/>
      <c r="CR295" s="25"/>
      <c r="CS295" s="25"/>
    </row>
    <row r="296" spans="2:97">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c r="AV296" s="25"/>
      <c r="AW296" s="25"/>
      <c r="AX296" s="25"/>
      <c r="AY296" s="25"/>
      <c r="AZ296" s="25"/>
      <c r="BA296" s="25"/>
      <c r="BB296" s="25"/>
      <c r="BC296" s="25"/>
      <c r="BD296" s="25"/>
      <c r="BE296" s="25"/>
      <c r="BF296" s="25"/>
      <c r="BG296" s="25"/>
      <c r="BH296" s="25"/>
      <c r="BI296" s="25"/>
      <c r="BJ296" s="25"/>
      <c r="BK296" s="25"/>
      <c r="BL296" s="25"/>
      <c r="BM296" s="25"/>
      <c r="BN296" s="25"/>
      <c r="BO296" s="25"/>
      <c r="BP296" s="25"/>
      <c r="BQ296" s="25"/>
      <c r="BR296" s="25"/>
      <c r="BS296" s="25"/>
      <c r="BT296" s="25"/>
      <c r="BU296" s="25"/>
      <c r="BV296" s="25"/>
      <c r="BW296" s="25"/>
      <c r="BX296" s="25"/>
      <c r="BY296" s="25"/>
      <c r="BZ296" s="25"/>
      <c r="CA296" s="25"/>
      <c r="CB296" s="25"/>
      <c r="CC296" s="25"/>
      <c r="CD296" s="25"/>
      <c r="CE296" s="25"/>
      <c r="CF296" s="25"/>
      <c r="CG296" s="25"/>
      <c r="CH296" s="25"/>
      <c r="CI296" s="25"/>
      <c r="CJ296" s="25"/>
      <c r="CK296" s="25"/>
      <c r="CL296" s="25"/>
      <c r="CM296" s="25"/>
      <c r="CN296" s="25"/>
      <c r="CO296" s="25"/>
      <c r="CP296" s="25"/>
      <c r="CQ296" s="25"/>
      <c r="CR296" s="25"/>
      <c r="CS296" s="25"/>
    </row>
    <row r="297" spans="2:97">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c r="AV297" s="25"/>
      <c r="AW297" s="25"/>
      <c r="AX297" s="25"/>
      <c r="AY297" s="25"/>
      <c r="AZ297" s="25"/>
      <c r="BA297" s="25"/>
      <c r="BB297" s="25"/>
      <c r="BC297" s="25"/>
      <c r="BD297" s="25"/>
      <c r="BE297" s="25"/>
      <c r="BF297" s="25"/>
      <c r="BG297" s="25"/>
      <c r="BH297" s="25"/>
      <c r="BI297" s="25"/>
      <c r="BJ297" s="25"/>
      <c r="BK297" s="25"/>
      <c r="BL297" s="25"/>
      <c r="BM297" s="25"/>
      <c r="BN297" s="25"/>
      <c r="BO297" s="25"/>
      <c r="BP297" s="25"/>
      <c r="BQ297" s="25"/>
      <c r="BR297" s="25"/>
      <c r="BS297" s="25"/>
      <c r="BT297" s="25"/>
      <c r="BU297" s="25"/>
      <c r="BV297" s="25"/>
      <c r="BW297" s="25"/>
      <c r="BX297" s="25"/>
      <c r="BY297" s="25"/>
      <c r="BZ297" s="25"/>
      <c r="CA297" s="25"/>
      <c r="CB297" s="25"/>
      <c r="CC297" s="25"/>
      <c r="CD297" s="25"/>
      <c r="CE297" s="25"/>
      <c r="CF297" s="25"/>
      <c r="CG297" s="25"/>
      <c r="CH297" s="25"/>
      <c r="CI297" s="25"/>
      <c r="CJ297" s="25"/>
      <c r="CK297" s="25"/>
      <c r="CL297" s="25"/>
      <c r="CM297" s="25"/>
      <c r="CN297" s="25"/>
      <c r="CO297" s="25"/>
      <c r="CP297" s="25"/>
      <c r="CQ297" s="25"/>
      <c r="CR297" s="25"/>
      <c r="CS297" s="25"/>
    </row>
    <row r="298" spans="2:97">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c r="AV298" s="25"/>
      <c r="AW298" s="25"/>
      <c r="AX298" s="25"/>
      <c r="AY298" s="25"/>
      <c r="AZ298" s="25"/>
      <c r="BA298" s="25"/>
      <c r="BB298" s="25"/>
      <c r="BC298" s="25"/>
      <c r="BD298" s="25"/>
      <c r="BE298" s="25"/>
      <c r="BF298" s="25"/>
      <c r="BG298" s="25"/>
      <c r="BH298" s="25"/>
      <c r="BI298" s="25"/>
      <c r="BJ298" s="25"/>
      <c r="BK298" s="25"/>
      <c r="BL298" s="25"/>
      <c r="BM298" s="25"/>
      <c r="BN298" s="25"/>
      <c r="BO298" s="25"/>
      <c r="BP298" s="25"/>
      <c r="BQ298" s="25"/>
      <c r="BR298" s="25"/>
      <c r="BS298" s="25"/>
      <c r="BT298" s="25"/>
      <c r="BU298" s="25"/>
      <c r="BV298" s="25"/>
      <c r="BW298" s="25"/>
      <c r="BX298" s="25"/>
      <c r="BY298" s="25"/>
      <c r="BZ298" s="25"/>
      <c r="CA298" s="25"/>
      <c r="CB298" s="25"/>
      <c r="CC298" s="25"/>
      <c r="CD298" s="25"/>
      <c r="CE298" s="25"/>
      <c r="CF298" s="25"/>
      <c r="CG298" s="25"/>
      <c r="CH298" s="25"/>
      <c r="CI298" s="25"/>
      <c r="CJ298" s="25"/>
      <c r="CK298" s="25"/>
      <c r="CL298" s="25"/>
      <c r="CM298" s="25"/>
      <c r="CN298" s="25"/>
      <c r="CO298" s="25"/>
      <c r="CP298" s="25"/>
      <c r="CQ298" s="25"/>
      <c r="CR298" s="25"/>
      <c r="CS298" s="25"/>
    </row>
    <row r="299" spans="2:97">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c r="AV299" s="25"/>
      <c r="AW299" s="25"/>
      <c r="AX299" s="25"/>
      <c r="AY299" s="25"/>
      <c r="AZ299" s="25"/>
      <c r="BA299" s="25"/>
      <c r="BB299" s="25"/>
      <c r="BC299" s="25"/>
      <c r="BD299" s="25"/>
      <c r="BE299" s="25"/>
      <c r="BF299" s="25"/>
      <c r="BG299" s="25"/>
      <c r="BH299" s="25"/>
      <c r="BI299" s="25"/>
      <c r="BJ299" s="25"/>
      <c r="BK299" s="25"/>
      <c r="BL299" s="25"/>
      <c r="BM299" s="25"/>
      <c r="BN299" s="25"/>
      <c r="BO299" s="25"/>
      <c r="BP299" s="25"/>
      <c r="BQ299" s="25"/>
      <c r="BR299" s="25"/>
      <c r="BS299" s="25"/>
      <c r="BT299" s="25"/>
      <c r="BU299" s="25"/>
      <c r="BV299" s="25"/>
      <c r="BW299" s="25"/>
      <c r="BX299" s="25"/>
      <c r="BY299" s="25"/>
      <c r="BZ299" s="25"/>
      <c r="CA299" s="25"/>
      <c r="CB299" s="25"/>
      <c r="CC299" s="25"/>
      <c r="CD299" s="25"/>
      <c r="CE299" s="25"/>
      <c r="CF299" s="25"/>
      <c r="CG299" s="25"/>
      <c r="CH299" s="25"/>
      <c r="CI299" s="25"/>
      <c r="CJ299" s="25"/>
      <c r="CK299" s="25"/>
      <c r="CL299" s="25"/>
      <c r="CM299" s="25"/>
      <c r="CN299" s="25"/>
      <c r="CO299" s="25"/>
      <c r="CP299" s="25"/>
      <c r="CQ299" s="25"/>
      <c r="CR299" s="25"/>
      <c r="CS299" s="25"/>
    </row>
    <row r="300" spans="2:97">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c r="AV300" s="25"/>
      <c r="AW300" s="25"/>
      <c r="AX300" s="25"/>
      <c r="AY300" s="25"/>
      <c r="AZ300" s="25"/>
      <c r="BA300" s="25"/>
      <c r="BB300" s="25"/>
      <c r="BC300" s="25"/>
      <c r="BD300" s="25"/>
      <c r="BE300" s="25"/>
      <c r="BF300" s="25"/>
      <c r="BG300" s="25"/>
      <c r="BH300" s="25"/>
      <c r="BI300" s="25"/>
      <c r="BJ300" s="25"/>
      <c r="BK300" s="25"/>
      <c r="BL300" s="25"/>
      <c r="BM300" s="25"/>
      <c r="BN300" s="25"/>
      <c r="BO300" s="25"/>
      <c r="BP300" s="25"/>
      <c r="BQ300" s="25"/>
      <c r="BR300" s="25"/>
      <c r="BS300" s="25"/>
      <c r="BT300" s="25"/>
      <c r="BU300" s="25"/>
      <c r="BV300" s="25"/>
      <c r="BW300" s="25"/>
      <c r="BX300" s="25"/>
      <c r="BY300" s="25"/>
      <c r="BZ300" s="25"/>
      <c r="CA300" s="25"/>
      <c r="CB300" s="25"/>
      <c r="CC300" s="25"/>
      <c r="CD300" s="25"/>
      <c r="CE300" s="25"/>
      <c r="CF300" s="25"/>
      <c r="CG300" s="25"/>
      <c r="CH300" s="25"/>
      <c r="CI300" s="25"/>
      <c r="CJ300" s="25"/>
      <c r="CK300" s="25"/>
      <c r="CL300" s="25"/>
      <c r="CM300" s="25"/>
      <c r="CN300" s="25"/>
      <c r="CO300" s="25"/>
      <c r="CP300" s="25"/>
      <c r="CQ300" s="25"/>
      <c r="CR300" s="25"/>
      <c r="CS300" s="25"/>
    </row>
    <row r="301" spans="2:97">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c r="AV301" s="25"/>
      <c r="AW301" s="25"/>
      <c r="AX301" s="25"/>
      <c r="AY301" s="25"/>
      <c r="AZ301" s="25"/>
      <c r="BA301" s="25"/>
      <c r="BB301" s="25"/>
      <c r="BC301" s="25"/>
      <c r="BD301" s="25"/>
      <c r="BE301" s="25"/>
      <c r="BF301" s="25"/>
      <c r="BG301" s="25"/>
      <c r="BH301" s="25"/>
      <c r="BI301" s="25"/>
      <c r="BJ301" s="25"/>
      <c r="BK301" s="25"/>
      <c r="BL301" s="25"/>
      <c r="BM301" s="25"/>
      <c r="BN301" s="25"/>
      <c r="BO301" s="25"/>
      <c r="BP301" s="25"/>
      <c r="BQ301" s="25"/>
      <c r="BR301" s="25"/>
      <c r="BS301" s="25"/>
      <c r="BT301" s="25"/>
      <c r="BU301" s="25"/>
      <c r="BV301" s="25"/>
      <c r="BW301" s="25"/>
      <c r="BX301" s="25"/>
      <c r="BY301" s="25"/>
      <c r="BZ301" s="25"/>
      <c r="CA301" s="25"/>
      <c r="CB301" s="25"/>
      <c r="CC301" s="25"/>
      <c r="CD301" s="25"/>
      <c r="CE301" s="25"/>
      <c r="CF301" s="25"/>
      <c r="CG301" s="25"/>
      <c r="CH301" s="25"/>
      <c r="CI301" s="25"/>
      <c r="CJ301" s="25"/>
      <c r="CK301" s="25"/>
      <c r="CL301" s="25"/>
      <c r="CM301" s="25"/>
      <c r="CN301" s="25"/>
      <c r="CO301" s="25"/>
      <c r="CP301" s="25"/>
      <c r="CQ301" s="25"/>
      <c r="CR301" s="25"/>
      <c r="CS301" s="25"/>
    </row>
    <row r="302" spans="2:97">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c r="AV302" s="25"/>
      <c r="AW302" s="25"/>
      <c r="AX302" s="25"/>
      <c r="AY302" s="25"/>
      <c r="AZ302" s="25"/>
      <c r="BA302" s="25"/>
      <c r="BB302" s="25"/>
      <c r="BC302" s="25"/>
      <c r="BD302" s="25"/>
      <c r="BE302" s="25"/>
      <c r="BF302" s="25"/>
      <c r="BG302" s="25"/>
      <c r="BH302" s="25"/>
      <c r="BI302" s="25"/>
      <c r="BJ302" s="25"/>
      <c r="BK302" s="25"/>
      <c r="BL302" s="25"/>
      <c r="BM302" s="25"/>
      <c r="BN302" s="25"/>
      <c r="BO302" s="25"/>
      <c r="BP302" s="25"/>
      <c r="BQ302" s="25"/>
      <c r="BR302" s="25"/>
      <c r="BS302" s="25"/>
      <c r="BT302" s="25"/>
      <c r="BU302" s="25"/>
      <c r="BV302" s="25"/>
      <c r="BW302" s="25"/>
      <c r="BX302" s="25"/>
      <c r="BY302" s="25"/>
      <c r="BZ302" s="25"/>
      <c r="CA302" s="25"/>
      <c r="CB302" s="25"/>
      <c r="CC302" s="25"/>
      <c r="CD302" s="25"/>
      <c r="CE302" s="25"/>
      <c r="CF302" s="25"/>
      <c r="CG302" s="25"/>
      <c r="CH302" s="25"/>
      <c r="CI302" s="25"/>
      <c r="CJ302" s="25"/>
      <c r="CK302" s="25"/>
      <c r="CL302" s="25"/>
      <c r="CM302" s="25"/>
      <c r="CN302" s="25"/>
      <c r="CO302" s="25"/>
      <c r="CP302" s="25"/>
      <c r="CQ302" s="25"/>
      <c r="CR302" s="25"/>
      <c r="CS302" s="25"/>
    </row>
    <row r="303" spans="2:97">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c r="AV303" s="25"/>
      <c r="AW303" s="25"/>
      <c r="AX303" s="25"/>
      <c r="AY303" s="25"/>
      <c r="AZ303" s="25"/>
      <c r="BA303" s="25"/>
      <c r="BB303" s="25"/>
      <c r="BC303" s="25"/>
      <c r="BD303" s="25"/>
      <c r="BE303" s="25"/>
      <c r="BF303" s="25"/>
      <c r="BG303" s="25"/>
      <c r="BH303" s="25"/>
      <c r="BI303" s="25"/>
      <c r="BJ303" s="25"/>
      <c r="BK303" s="25"/>
      <c r="BL303" s="25"/>
      <c r="BM303" s="25"/>
      <c r="BN303" s="25"/>
      <c r="BO303" s="25"/>
      <c r="BP303" s="25"/>
      <c r="BQ303" s="25"/>
      <c r="BR303" s="25"/>
      <c r="BS303" s="25"/>
      <c r="BT303" s="25"/>
      <c r="BU303" s="25"/>
      <c r="BV303" s="25"/>
      <c r="BW303" s="25"/>
      <c r="BX303" s="25"/>
      <c r="BY303" s="25"/>
      <c r="BZ303" s="25"/>
      <c r="CA303" s="25"/>
      <c r="CB303" s="25"/>
      <c r="CC303" s="25"/>
      <c r="CD303" s="25"/>
      <c r="CE303" s="25"/>
      <c r="CF303" s="25"/>
      <c r="CG303" s="25"/>
      <c r="CH303" s="25"/>
      <c r="CI303" s="25"/>
      <c r="CJ303" s="25"/>
      <c r="CK303" s="25"/>
      <c r="CL303" s="25"/>
      <c r="CM303" s="25"/>
      <c r="CN303" s="25"/>
      <c r="CO303" s="25"/>
      <c r="CP303" s="25"/>
      <c r="CQ303" s="25"/>
      <c r="CR303" s="25"/>
      <c r="CS303" s="25"/>
    </row>
    <row r="304" spans="2:97">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c r="AV304" s="25"/>
      <c r="AW304" s="25"/>
      <c r="AX304" s="25"/>
      <c r="AY304" s="25"/>
      <c r="AZ304" s="25"/>
      <c r="BA304" s="25"/>
      <c r="BB304" s="25"/>
      <c r="BC304" s="25"/>
      <c r="BD304" s="25"/>
      <c r="BE304" s="25"/>
      <c r="BF304" s="25"/>
      <c r="BG304" s="25"/>
      <c r="BH304" s="25"/>
      <c r="BI304" s="25"/>
      <c r="BJ304" s="25"/>
      <c r="BK304" s="25"/>
      <c r="BL304" s="25"/>
      <c r="BM304" s="25"/>
      <c r="BN304" s="25"/>
      <c r="BO304" s="25"/>
      <c r="BP304" s="25"/>
      <c r="BQ304" s="25"/>
      <c r="BR304" s="25"/>
      <c r="BS304" s="25"/>
      <c r="BT304" s="25"/>
      <c r="BU304" s="25"/>
      <c r="BV304" s="25"/>
      <c r="BW304" s="25"/>
      <c r="BX304" s="25"/>
      <c r="BY304" s="25"/>
      <c r="BZ304" s="25"/>
      <c r="CA304" s="25"/>
      <c r="CB304" s="25"/>
      <c r="CC304" s="25"/>
      <c r="CD304" s="25"/>
      <c r="CE304" s="25"/>
      <c r="CF304" s="25"/>
      <c r="CG304" s="25"/>
      <c r="CH304" s="25"/>
      <c r="CI304" s="25"/>
      <c r="CJ304" s="25"/>
      <c r="CK304" s="25"/>
      <c r="CL304" s="25"/>
      <c r="CM304" s="25"/>
      <c r="CN304" s="25"/>
      <c r="CO304" s="25"/>
      <c r="CP304" s="25"/>
      <c r="CQ304" s="25"/>
      <c r="CR304" s="25"/>
      <c r="CS304" s="25"/>
    </row>
    <row r="305" spans="2:97">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c r="AV305" s="25"/>
      <c r="AW305" s="25"/>
      <c r="AX305" s="25"/>
      <c r="AY305" s="25"/>
      <c r="AZ305" s="25"/>
      <c r="BA305" s="25"/>
      <c r="BB305" s="25"/>
      <c r="BC305" s="25"/>
      <c r="BD305" s="25"/>
      <c r="BE305" s="25"/>
      <c r="BF305" s="25"/>
      <c r="BG305" s="25"/>
      <c r="BH305" s="25"/>
      <c r="BI305" s="25"/>
      <c r="BJ305" s="25"/>
      <c r="BK305" s="25"/>
      <c r="BL305" s="25"/>
      <c r="BM305" s="25"/>
      <c r="BN305" s="25"/>
      <c r="BO305" s="25"/>
      <c r="BP305" s="25"/>
      <c r="BQ305" s="25"/>
      <c r="BR305" s="25"/>
      <c r="BS305" s="25"/>
      <c r="BT305" s="25"/>
      <c r="BU305" s="25"/>
      <c r="BV305" s="25"/>
      <c r="BW305" s="25"/>
      <c r="BX305" s="25"/>
      <c r="BY305" s="25"/>
      <c r="BZ305" s="25"/>
      <c r="CA305" s="25"/>
      <c r="CB305" s="25"/>
      <c r="CC305" s="25"/>
      <c r="CD305" s="25"/>
      <c r="CE305" s="25"/>
      <c r="CF305" s="25"/>
      <c r="CG305" s="25"/>
      <c r="CH305" s="25"/>
      <c r="CI305" s="25"/>
      <c r="CJ305" s="25"/>
      <c r="CK305" s="25"/>
      <c r="CL305" s="25"/>
      <c r="CM305" s="25"/>
      <c r="CN305" s="25"/>
      <c r="CO305" s="25"/>
      <c r="CP305" s="25"/>
      <c r="CQ305" s="25"/>
      <c r="CR305" s="25"/>
      <c r="CS305" s="25"/>
    </row>
    <row r="306" spans="2:97">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c r="AV306" s="25"/>
      <c r="AW306" s="25"/>
      <c r="AX306" s="25"/>
      <c r="AY306" s="25"/>
      <c r="AZ306" s="25"/>
      <c r="BA306" s="25"/>
      <c r="BB306" s="25"/>
      <c r="BC306" s="25"/>
      <c r="BD306" s="25"/>
      <c r="BE306" s="25"/>
      <c r="BF306" s="25"/>
      <c r="BG306" s="25"/>
      <c r="BH306" s="25"/>
      <c r="BI306" s="25"/>
      <c r="BJ306" s="25"/>
      <c r="BK306" s="25"/>
      <c r="BL306" s="25"/>
      <c r="BM306" s="25"/>
      <c r="BN306" s="25"/>
      <c r="BO306" s="25"/>
      <c r="BP306" s="25"/>
      <c r="BQ306" s="25"/>
      <c r="BR306" s="25"/>
      <c r="BS306" s="25"/>
      <c r="BT306" s="25"/>
      <c r="BU306" s="25"/>
      <c r="BV306" s="25"/>
      <c r="BW306" s="25"/>
      <c r="BX306" s="25"/>
      <c r="BY306" s="25"/>
      <c r="BZ306" s="25"/>
      <c r="CA306" s="25"/>
      <c r="CB306" s="25"/>
      <c r="CC306" s="25"/>
      <c r="CD306" s="25"/>
      <c r="CE306" s="25"/>
      <c r="CF306" s="25"/>
      <c r="CG306" s="25"/>
      <c r="CH306" s="25"/>
      <c r="CI306" s="25"/>
      <c r="CJ306" s="25"/>
      <c r="CK306" s="25"/>
      <c r="CL306" s="25"/>
      <c r="CM306" s="25"/>
      <c r="CN306" s="25"/>
      <c r="CO306" s="25"/>
      <c r="CP306" s="25"/>
      <c r="CQ306" s="25"/>
      <c r="CR306" s="25"/>
      <c r="CS306" s="25"/>
    </row>
    <row r="307" spans="2:97">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c r="AV307" s="25"/>
      <c r="AW307" s="25"/>
      <c r="AX307" s="25"/>
      <c r="AY307" s="25"/>
      <c r="AZ307" s="25"/>
      <c r="BA307" s="25"/>
      <c r="BB307" s="25"/>
      <c r="BC307" s="25"/>
      <c r="BD307" s="25"/>
      <c r="BE307" s="25"/>
      <c r="BF307" s="25"/>
      <c r="BG307" s="25"/>
      <c r="BH307" s="25"/>
      <c r="BI307" s="25"/>
      <c r="BJ307" s="25"/>
      <c r="BK307" s="25"/>
      <c r="BL307" s="25"/>
      <c r="BM307" s="25"/>
      <c r="BN307" s="25"/>
      <c r="BO307" s="25"/>
      <c r="BP307" s="25"/>
      <c r="BQ307" s="25"/>
      <c r="BR307" s="25"/>
      <c r="BS307" s="25"/>
      <c r="BT307" s="25"/>
      <c r="BU307" s="25"/>
      <c r="BV307" s="25"/>
      <c r="BW307" s="25"/>
      <c r="BX307" s="25"/>
      <c r="BY307" s="25"/>
      <c r="BZ307" s="25"/>
      <c r="CA307" s="25"/>
      <c r="CB307" s="25"/>
      <c r="CC307" s="25"/>
      <c r="CD307" s="25"/>
      <c r="CE307" s="25"/>
      <c r="CF307" s="25"/>
      <c r="CG307" s="25"/>
      <c r="CH307" s="25"/>
      <c r="CI307" s="25"/>
      <c r="CJ307" s="25"/>
      <c r="CK307" s="25"/>
      <c r="CL307" s="25"/>
      <c r="CM307" s="25"/>
      <c r="CN307" s="25"/>
      <c r="CO307" s="25"/>
      <c r="CP307" s="25"/>
      <c r="CQ307" s="25"/>
      <c r="CR307" s="25"/>
      <c r="CS307" s="25"/>
    </row>
    <row r="308" spans="2:97">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c r="AV308" s="25"/>
      <c r="AW308" s="25"/>
      <c r="AX308" s="25"/>
      <c r="AY308" s="25"/>
      <c r="AZ308" s="25"/>
      <c r="BA308" s="25"/>
      <c r="BB308" s="25"/>
      <c r="BC308" s="25"/>
      <c r="BD308" s="25"/>
      <c r="BE308" s="25"/>
      <c r="BF308" s="25"/>
      <c r="BG308" s="25"/>
      <c r="BH308" s="25"/>
      <c r="BI308" s="25"/>
      <c r="BJ308" s="25"/>
      <c r="BK308" s="25"/>
      <c r="BL308" s="25"/>
      <c r="BM308" s="25"/>
      <c r="BN308" s="25"/>
      <c r="BO308" s="25"/>
      <c r="BP308" s="25"/>
      <c r="BQ308" s="25"/>
      <c r="BR308" s="25"/>
      <c r="BS308" s="25"/>
      <c r="BT308" s="25"/>
      <c r="BU308" s="25"/>
      <c r="BV308" s="25"/>
      <c r="BW308" s="25"/>
      <c r="BX308" s="25"/>
      <c r="BY308" s="25"/>
      <c r="BZ308" s="25"/>
      <c r="CA308" s="25"/>
      <c r="CB308" s="25"/>
      <c r="CC308" s="25"/>
      <c r="CD308" s="25"/>
      <c r="CE308" s="25"/>
      <c r="CF308" s="25"/>
      <c r="CG308" s="25"/>
      <c r="CH308" s="25"/>
      <c r="CI308" s="25"/>
      <c r="CJ308" s="25"/>
      <c r="CK308" s="25"/>
      <c r="CL308" s="25"/>
      <c r="CM308" s="25"/>
      <c r="CN308" s="25"/>
      <c r="CO308" s="25"/>
      <c r="CP308" s="25"/>
      <c r="CQ308" s="25"/>
      <c r="CR308" s="25"/>
      <c r="CS308" s="25"/>
    </row>
    <row r="309" spans="2:97">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c r="AV309" s="25"/>
      <c r="AW309" s="25"/>
      <c r="AX309" s="25"/>
      <c r="AY309" s="25"/>
      <c r="AZ309" s="25"/>
      <c r="BA309" s="25"/>
      <c r="BB309" s="25"/>
      <c r="BC309" s="25"/>
      <c r="BD309" s="25"/>
      <c r="BE309" s="25"/>
      <c r="BF309" s="25"/>
      <c r="BG309" s="25"/>
      <c r="BH309" s="25"/>
      <c r="BI309" s="25"/>
      <c r="BJ309" s="25"/>
      <c r="BK309" s="25"/>
      <c r="BL309" s="25"/>
      <c r="BM309" s="25"/>
      <c r="BN309" s="25"/>
      <c r="BO309" s="25"/>
      <c r="BP309" s="25"/>
      <c r="BQ309" s="25"/>
      <c r="BR309" s="25"/>
      <c r="BS309" s="25"/>
      <c r="BT309" s="25"/>
      <c r="BU309" s="25"/>
      <c r="BV309" s="25"/>
      <c r="BW309" s="25"/>
      <c r="BX309" s="25"/>
      <c r="BY309" s="25"/>
      <c r="BZ309" s="25"/>
      <c r="CA309" s="25"/>
      <c r="CB309" s="25"/>
      <c r="CC309" s="25"/>
      <c r="CD309" s="25"/>
      <c r="CE309" s="25"/>
      <c r="CF309" s="25"/>
      <c r="CG309" s="25"/>
      <c r="CH309" s="25"/>
      <c r="CI309" s="25"/>
      <c r="CJ309" s="25"/>
      <c r="CK309" s="25"/>
      <c r="CL309" s="25"/>
      <c r="CM309" s="25"/>
      <c r="CN309" s="25"/>
      <c r="CO309" s="25"/>
      <c r="CP309" s="25"/>
      <c r="CQ309" s="25"/>
      <c r="CR309" s="25"/>
      <c r="CS309" s="25"/>
    </row>
    <row r="310" spans="2:97">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c r="AV310" s="25"/>
      <c r="AW310" s="25"/>
      <c r="AX310" s="25"/>
      <c r="AY310" s="25"/>
      <c r="AZ310" s="25"/>
      <c r="BA310" s="25"/>
      <c r="BB310" s="25"/>
      <c r="BC310" s="25"/>
      <c r="BD310" s="25"/>
      <c r="BE310" s="25"/>
      <c r="BF310" s="25"/>
      <c r="BG310" s="25"/>
      <c r="BH310" s="25"/>
      <c r="BI310" s="25"/>
      <c r="BJ310" s="25"/>
      <c r="BK310" s="25"/>
      <c r="BL310" s="25"/>
      <c r="BM310" s="25"/>
      <c r="BN310" s="25"/>
      <c r="BO310" s="25"/>
      <c r="BP310" s="25"/>
      <c r="BQ310" s="25"/>
      <c r="BR310" s="25"/>
      <c r="BS310" s="25"/>
      <c r="BT310" s="25"/>
      <c r="BU310" s="25"/>
      <c r="BV310" s="25"/>
      <c r="BW310" s="25"/>
      <c r="BX310" s="25"/>
      <c r="BY310" s="25"/>
      <c r="BZ310" s="25"/>
      <c r="CA310" s="25"/>
      <c r="CB310" s="25"/>
      <c r="CC310" s="25"/>
      <c r="CD310" s="25"/>
      <c r="CE310" s="25"/>
      <c r="CF310" s="25"/>
      <c r="CG310" s="25"/>
      <c r="CH310" s="25"/>
      <c r="CI310" s="25"/>
      <c r="CJ310" s="25"/>
      <c r="CK310" s="25"/>
      <c r="CL310" s="25"/>
      <c r="CM310" s="25"/>
      <c r="CN310" s="25"/>
      <c r="CO310" s="25"/>
      <c r="CP310" s="25"/>
      <c r="CQ310" s="25"/>
      <c r="CR310" s="25"/>
      <c r="CS310" s="25"/>
    </row>
    <row r="311" spans="2:97">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c r="AV311" s="25"/>
      <c r="AW311" s="25"/>
      <c r="AX311" s="25"/>
      <c r="AY311" s="25"/>
      <c r="AZ311" s="25"/>
      <c r="BA311" s="25"/>
      <c r="BB311" s="25"/>
      <c r="BC311" s="25"/>
      <c r="BD311" s="25"/>
      <c r="BE311" s="25"/>
      <c r="BF311" s="25"/>
      <c r="BG311" s="25"/>
      <c r="BH311" s="25"/>
      <c r="BI311" s="25"/>
      <c r="BJ311" s="25"/>
      <c r="BK311" s="25"/>
      <c r="BL311" s="25"/>
      <c r="BM311" s="25"/>
      <c r="BN311" s="25"/>
      <c r="BO311" s="25"/>
      <c r="BP311" s="25"/>
      <c r="BQ311" s="25"/>
      <c r="BR311" s="25"/>
      <c r="BS311" s="25"/>
      <c r="BT311" s="25"/>
      <c r="BU311" s="25"/>
      <c r="BV311" s="25"/>
      <c r="BW311" s="25"/>
      <c r="BX311" s="25"/>
      <c r="BY311" s="25"/>
      <c r="BZ311" s="25"/>
      <c r="CA311" s="25"/>
      <c r="CB311" s="25"/>
      <c r="CC311" s="25"/>
      <c r="CD311" s="25"/>
      <c r="CE311" s="25"/>
      <c r="CF311" s="25"/>
      <c r="CG311" s="25"/>
      <c r="CH311" s="25"/>
      <c r="CI311" s="25"/>
      <c r="CJ311" s="25"/>
      <c r="CK311" s="25"/>
      <c r="CL311" s="25"/>
      <c r="CM311" s="25"/>
      <c r="CN311" s="25"/>
      <c r="CO311" s="25"/>
      <c r="CP311" s="25"/>
      <c r="CQ311" s="25"/>
      <c r="CR311" s="25"/>
      <c r="CS311" s="25"/>
    </row>
    <row r="312" spans="2:97">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c r="AV312" s="25"/>
      <c r="AW312" s="25"/>
      <c r="AX312" s="25"/>
      <c r="AY312" s="25"/>
      <c r="AZ312" s="25"/>
      <c r="BA312" s="25"/>
      <c r="BB312" s="25"/>
      <c r="BC312" s="25"/>
      <c r="BD312" s="25"/>
      <c r="BE312" s="25"/>
      <c r="BF312" s="25"/>
      <c r="BG312" s="25"/>
      <c r="BH312" s="25"/>
      <c r="BI312" s="25"/>
      <c r="BJ312" s="25"/>
      <c r="BK312" s="25"/>
      <c r="BL312" s="25"/>
      <c r="BM312" s="25"/>
      <c r="BN312" s="25"/>
      <c r="BO312" s="25"/>
      <c r="BP312" s="25"/>
      <c r="BQ312" s="25"/>
      <c r="BR312" s="25"/>
      <c r="BS312" s="25"/>
      <c r="BT312" s="25"/>
      <c r="BU312" s="25"/>
      <c r="BV312" s="25"/>
      <c r="BW312" s="25"/>
      <c r="BX312" s="25"/>
      <c r="BY312" s="25"/>
      <c r="BZ312" s="25"/>
      <c r="CA312" s="25"/>
      <c r="CB312" s="25"/>
      <c r="CC312" s="25"/>
      <c r="CD312" s="25"/>
      <c r="CE312" s="25"/>
      <c r="CF312" s="25"/>
      <c r="CG312" s="25"/>
      <c r="CH312" s="25"/>
      <c r="CI312" s="25"/>
      <c r="CJ312" s="25"/>
      <c r="CK312" s="25"/>
      <c r="CL312" s="25"/>
      <c r="CM312" s="25"/>
      <c r="CN312" s="25"/>
      <c r="CO312" s="25"/>
      <c r="CP312" s="25"/>
      <c r="CQ312" s="25"/>
      <c r="CR312" s="25"/>
      <c r="CS312" s="25"/>
    </row>
    <row r="313" spans="2:97">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c r="AV313" s="25"/>
      <c r="AW313" s="25"/>
      <c r="AX313" s="25"/>
      <c r="AY313" s="25"/>
      <c r="AZ313" s="25"/>
      <c r="BA313" s="25"/>
      <c r="BB313" s="25"/>
      <c r="BC313" s="25"/>
      <c r="BD313" s="25"/>
      <c r="BE313" s="25"/>
      <c r="BF313" s="25"/>
      <c r="BG313" s="25"/>
      <c r="BH313" s="25"/>
      <c r="BI313" s="25"/>
      <c r="BJ313" s="25"/>
      <c r="BK313" s="25"/>
      <c r="BL313" s="25"/>
      <c r="BM313" s="25"/>
      <c r="BN313" s="25"/>
      <c r="BO313" s="25"/>
      <c r="BP313" s="25"/>
      <c r="BQ313" s="25"/>
      <c r="BR313" s="25"/>
      <c r="BS313" s="25"/>
      <c r="BT313" s="25"/>
      <c r="BU313" s="25"/>
      <c r="BV313" s="25"/>
      <c r="BW313" s="25"/>
      <c r="BX313" s="25"/>
      <c r="BY313" s="25"/>
      <c r="BZ313" s="25"/>
      <c r="CA313" s="25"/>
      <c r="CB313" s="25"/>
      <c r="CC313" s="25"/>
      <c r="CD313" s="25"/>
      <c r="CE313" s="25"/>
      <c r="CF313" s="25"/>
      <c r="CG313" s="25"/>
      <c r="CH313" s="25"/>
      <c r="CI313" s="25"/>
      <c r="CJ313" s="25"/>
      <c r="CK313" s="25"/>
      <c r="CL313" s="25"/>
      <c r="CM313" s="25"/>
      <c r="CN313" s="25"/>
      <c r="CO313" s="25"/>
      <c r="CP313" s="25"/>
      <c r="CQ313" s="25"/>
      <c r="CR313" s="25"/>
      <c r="CS313" s="25"/>
    </row>
    <row r="314" spans="2:97">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c r="AV314" s="25"/>
      <c r="AW314" s="25"/>
      <c r="AX314" s="25"/>
      <c r="AY314" s="25"/>
      <c r="AZ314" s="25"/>
      <c r="BA314" s="25"/>
      <c r="BB314" s="25"/>
      <c r="BC314" s="25"/>
      <c r="BD314" s="25"/>
      <c r="BE314" s="25"/>
      <c r="BF314" s="25"/>
      <c r="BG314" s="25"/>
      <c r="BH314" s="25"/>
      <c r="BI314" s="25"/>
      <c r="BJ314" s="25"/>
      <c r="BK314" s="25"/>
      <c r="BL314" s="25"/>
      <c r="BM314" s="25"/>
      <c r="BN314" s="25"/>
      <c r="BO314" s="25"/>
      <c r="BP314" s="25"/>
      <c r="BQ314" s="25"/>
      <c r="BR314" s="25"/>
      <c r="BS314" s="25"/>
      <c r="BT314" s="25"/>
      <c r="BU314" s="25"/>
      <c r="BV314" s="25"/>
      <c r="BW314" s="25"/>
      <c r="BX314" s="25"/>
      <c r="BY314" s="25"/>
      <c r="BZ314" s="25"/>
      <c r="CA314" s="25"/>
      <c r="CB314" s="25"/>
      <c r="CC314" s="25"/>
      <c r="CD314" s="25"/>
      <c r="CE314" s="25"/>
      <c r="CF314" s="25"/>
      <c r="CG314" s="25"/>
      <c r="CH314" s="25"/>
      <c r="CI314" s="25"/>
      <c r="CJ314" s="25"/>
      <c r="CK314" s="25"/>
      <c r="CL314" s="25"/>
      <c r="CM314" s="25"/>
      <c r="CN314" s="25"/>
      <c r="CO314" s="25"/>
      <c r="CP314" s="25"/>
      <c r="CQ314" s="25"/>
      <c r="CR314" s="25"/>
      <c r="CS314" s="25"/>
    </row>
    <row r="315" spans="2:97">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c r="AV315" s="25"/>
      <c r="AW315" s="25"/>
      <c r="AX315" s="25"/>
      <c r="AY315" s="25"/>
      <c r="AZ315" s="25"/>
      <c r="BA315" s="25"/>
      <c r="BB315" s="25"/>
      <c r="BC315" s="25"/>
      <c r="BD315" s="25"/>
      <c r="BE315" s="25"/>
      <c r="BF315" s="25"/>
      <c r="BG315" s="25"/>
      <c r="BH315" s="25"/>
      <c r="BI315" s="25"/>
      <c r="BJ315" s="25"/>
      <c r="BK315" s="25"/>
      <c r="BL315" s="25"/>
      <c r="BM315" s="25"/>
      <c r="BN315" s="25"/>
      <c r="BO315" s="25"/>
      <c r="BP315" s="25"/>
      <c r="BQ315" s="25"/>
      <c r="BR315" s="25"/>
      <c r="BS315" s="25"/>
      <c r="BT315" s="25"/>
      <c r="BU315" s="25"/>
      <c r="BV315" s="25"/>
      <c r="BW315" s="25"/>
      <c r="BX315" s="25"/>
      <c r="BY315" s="25"/>
      <c r="BZ315" s="25"/>
      <c r="CA315" s="25"/>
      <c r="CB315" s="25"/>
      <c r="CC315" s="25"/>
      <c r="CD315" s="25"/>
      <c r="CE315" s="25"/>
      <c r="CF315" s="25"/>
      <c r="CG315" s="25"/>
      <c r="CH315" s="25"/>
      <c r="CI315" s="25"/>
      <c r="CJ315" s="25"/>
      <c r="CK315" s="25"/>
      <c r="CL315" s="25"/>
      <c r="CM315" s="25"/>
      <c r="CN315" s="25"/>
      <c r="CO315" s="25"/>
      <c r="CP315" s="25"/>
      <c r="CQ315" s="25"/>
      <c r="CR315" s="25"/>
      <c r="CS315" s="25"/>
    </row>
    <row r="316" spans="2:97">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c r="AV316" s="25"/>
      <c r="AW316" s="25"/>
      <c r="AX316" s="25"/>
      <c r="AY316" s="25"/>
      <c r="AZ316" s="25"/>
      <c r="BA316" s="25"/>
      <c r="BB316" s="25"/>
      <c r="BC316" s="25"/>
      <c r="BD316" s="25"/>
      <c r="BE316" s="25"/>
      <c r="BF316" s="25"/>
      <c r="BG316" s="25"/>
      <c r="BH316" s="25"/>
      <c r="BI316" s="25"/>
      <c r="BJ316" s="25"/>
      <c r="BK316" s="25"/>
      <c r="BL316" s="25"/>
      <c r="BM316" s="25"/>
      <c r="BN316" s="25"/>
      <c r="BO316" s="25"/>
      <c r="BP316" s="25"/>
      <c r="BQ316" s="25"/>
      <c r="BR316" s="25"/>
      <c r="BS316" s="25"/>
      <c r="BT316" s="25"/>
      <c r="BU316" s="25"/>
      <c r="BV316" s="25"/>
      <c r="BW316" s="25"/>
      <c r="BX316" s="25"/>
      <c r="BY316" s="25"/>
      <c r="BZ316" s="25"/>
      <c r="CA316" s="25"/>
      <c r="CB316" s="25"/>
      <c r="CC316" s="25"/>
      <c r="CD316" s="25"/>
      <c r="CE316" s="25"/>
      <c r="CF316" s="25"/>
      <c r="CG316" s="25"/>
      <c r="CH316" s="25"/>
      <c r="CI316" s="25"/>
      <c r="CJ316" s="25"/>
      <c r="CK316" s="25"/>
      <c r="CL316" s="25"/>
      <c r="CM316" s="25"/>
      <c r="CN316" s="25"/>
      <c r="CO316" s="25"/>
      <c r="CP316" s="25"/>
      <c r="CQ316" s="25"/>
      <c r="CR316" s="25"/>
      <c r="CS316" s="25"/>
    </row>
    <row r="317" spans="2:97">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c r="AV317" s="25"/>
      <c r="AW317" s="25"/>
      <c r="AX317" s="25"/>
      <c r="AY317" s="25"/>
      <c r="AZ317" s="25"/>
      <c r="BA317" s="25"/>
      <c r="BB317" s="25"/>
      <c r="BC317" s="25"/>
      <c r="BD317" s="25"/>
      <c r="BE317" s="25"/>
      <c r="BF317" s="25"/>
      <c r="BG317" s="25"/>
      <c r="BH317" s="25"/>
      <c r="BI317" s="25"/>
      <c r="BJ317" s="25"/>
      <c r="BK317" s="25"/>
      <c r="BL317" s="25"/>
      <c r="BM317" s="25"/>
      <c r="BN317" s="25"/>
      <c r="BO317" s="25"/>
      <c r="BP317" s="25"/>
      <c r="BQ317" s="25"/>
      <c r="BR317" s="25"/>
      <c r="BS317" s="25"/>
      <c r="BT317" s="25"/>
      <c r="BU317" s="25"/>
      <c r="BV317" s="25"/>
      <c r="BW317" s="25"/>
      <c r="BX317" s="25"/>
      <c r="BY317" s="25"/>
      <c r="BZ317" s="25"/>
      <c r="CA317" s="25"/>
      <c r="CB317" s="25"/>
      <c r="CC317" s="25"/>
      <c r="CD317" s="25"/>
      <c r="CE317" s="25"/>
      <c r="CF317" s="25"/>
      <c r="CG317" s="25"/>
      <c r="CH317" s="25"/>
      <c r="CI317" s="25"/>
      <c r="CJ317" s="25"/>
      <c r="CK317" s="25"/>
      <c r="CL317" s="25"/>
      <c r="CM317" s="25"/>
      <c r="CN317" s="25"/>
      <c r="CO317" s="25"/>
      <c r="CP317" s="25"/>
      <c r="CQ317" s="25"/>
      <c r="CR317" s="25"/>
      <c r="CS317" s="25"/>
    </row>
    <row r="318" spans="2:97">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c r="AV318" s="25"/>
      <c r="AW318" s="25"/>
      <c r="AX318" s="25"/>
      <c r="AY318" s="25"/>
      <c r="AZ318" s="25"/>
      <c r="BA318" s="25"/>
      <c r="BB318" s="25"/>
      <c r="BC318" s="25"/>
      <c r="BD318" s="25"/>
      <c r="BE318" s="25"/>
      <c r="BF318" s="25"/>
      <c r="BG318" s="25"/>
      <c r="BH318" s="25"/>
      <c r="BI318" s="25"/>
      <c r="BJ318" s="25"/>
      <c r="BK318" s="25"/>
      <c r="BL318" s="25"/>
      <c r="BM318" s="25"/>
      <c r="BN318" s="25"/>
      <c r="BO318" s="25"/>
      <c r="BP318" s="25"/>
      <c r="BQ318" s="25"/>
      <c r="BR318" s="25"/>
      <c r="BS318" s="25"/>
      <c r="BT318" s="25"/>
      <c r="BU318" s="25"/>
      <c r="BV318" s="25"/>
      <c r="BW318" s="25"/>
      <c r="BX318" s="25"/>
      <c r="BY318" s="25"/>
      <c r="BZ318" s="25"/>
      <c r="CA318" s="25"/>
      <c r="CB318" s="25"/>
      <c r="CC318" s="25"/>
      <c r="CD318" s="25"/>
      <c r="CE318" s="25"/>
      <c r="CF318" s="25"/>
      <c r="CG318" s="25"/>
      <c r="CH318" s="25"/>
      <c r="CI318" s="25"/>
      <c r="CJ318" s="25"/>
      <c r="CK318" s="25"/>
      <c r="CL318" s="25"/>
      <c r="CM318" s="25"/>
      <c r="CN318" s="25"/>
      <c r="CO318" s="25"/>
      <c r="CP318" s="25"/>
      <c r="CQ318" s="25"/>
      <c r="CR318" s="25"/>
      <c r="CS318" s="25"/>
    </row>
    <row r="319" spans="2:97">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c r="AV319" s="25"/>
      <c r="AW319" s="25"/>
      <c r="AX319" s="25"/>
      <c r="AY319" s="25"/>
      <c r="AZ319" s="25"/>
      <c r="BA319" s="25"/>
      <c r="BB319" s="25"/>
      <c r="BC319" s="25"/>
      <c r="BD319" s="25"/>
      <c r="BE319" s="25"/>
      <c r="BF319" s="25"/>
      <c r="BG319" s="25"/>
      <c r="BH319" s="25"/>
      <c r="BI319" s="25"/>
      <c r="BJ319" s="25"/>
      <c r="BK319" s="25"/>
      <c r="BL319" s="25"/>
      <c r="BM319" s="25"/>
      <c r="BN319" s="25"/>
      <c r="BO319" s="25"/>
      <c r="BP319" s="25"/>
      <c r="BQ319" s="25"/>
      <c r="BR319" s="25"/>
      <c r="BS319" s="25"/>
      <c r="BT319" s="25"/>
      <c r="BU319" s="25"/>
      <c r="BV319" s="25"/>
      <c r="BW319" s="25"/>
      <c r="BX319" s="25"/>
      <c r="BY319" s="25"/>
      <c r="BZ319" s="25"/>
      <c r="CA319" s="25"/>
      <c r="CB319" s="25"/>
      <c r="CC319" s="25"/>
      <c r="CD319" s="25"/>
      <c r="CE319" s="25"/>
      <c r="CF319" s="25"/>
      <c r="CG319" s="25"/>
      <c r="CH319" s="25"/>
      <c r="CI319" s="25"/>
      <c r="CJ319" s="25"/>
      <c r="CK319" s="25"/>
      <c r="CL319" s="25"/>
      <c r="CM319" s="25"/>
      <c r="CN319" s="25"/>
      <c r="CO319" s="25"/>
      <c r="CP319" s="25"/>
      <c r="CQ319" s="25"/>
      <c r="CR319" s="25"/>
      <c r="CS319" s="25"/>
    </row>
    <row r="320" spans="2:97">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c r="AV320" s="25"/>
      <c r="AW320" s="25"/>
      <c r="AX320" s="25"/>
      <c r="AY320" s="25"/>
      <c r="AZ320" s="25"/>
      <c r="BA320" s="25"/>
      <c r="BB320" s="25"/>
      <c r="BC320" s="25"/>
      <c r="BD320" s="25"/>
      <c r="BE320" s="25"/>
      <c r="BF320" s="25"/>
      <c r="BG320" s="25"/>
      <c r="BH320" s="25"/>
      <c r="BI320" s="25"/>
      <c r="BJ320" s="25"/>
      <c r="BK320" s="25"/>
      <c r="BL320" s="25"/>
      <c r="BM320" s="25"/>
      <c r="BN320" s="25"/>
      <c r="BO320" s="25"/>
      <c r="BP320" s="25"/>
      <c r="BQ320" s="25"/>
      <c r="BR320" s="25"/>
      <c r="BS320" s="25"/>
      <c r="BT320" s="25"/>
      <c r="BU320" s="25"/>
      <c r="BV320" s="25"/>
      <c r="BW320" s="25"/>
      <c r="BX320" s="25"/>
      <c r="BY320" s="25"/>
      <c r="BZ320" s="25"/>
      <c r="CA320" s="25"/>
      <c r="CB320" s="25"/>
      <c r="CC320" s="25"/>
      <c r="CD320" s="25"/>
      <c r="CE320" s="25"/>
      <c r="CF320" s="25"/>
      <c r="CG320" s="25"/>
      <c r="CH320" s="25"/>
      <c r="CI320" s="25"/>
      <c r="CJ320" s="25"/>
      <c r="CK320" s="25"/>
      <c r="CL320" s="25"/>
      <c r="CM320" s="25"/>
      <c r="CN320" s="25"/>
      <c r="CO320" s="25"/>
      <c r="CP320" s="25"/>
      <c r="CQ320" s="25"/>
      <c r="CR320" s="25"/>
      <c r="CS320" s="25"/>
    </row>
    <row r="321" spans="2:97">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c r="AV321" s="25"/>
      <c r="AW321" s="25"/>
      <c r="AX321" s="25"/>
      <c r="AY321" s="25"/>
      <c r="AZ321" s="25"/>
      <c r="BA321" s="25"/>
      <c r="BB321" s="25"/>
      <c r="BC321" s="25"/>
      <c r="BD321" s="25"/>
      <c r="BE321" s="25"/>
      <c r="BF321" s="25"/>
      <c r="BG321" s="25"/>
      <c r="BH321" s="25"/>
      <c r="BI321" s="25"/>
      <c r="BJ321" s="25"/>
      <c r="BK321" s="25"/>
      <c r="BL321" s="25"/>
      <c r="BM321" s="25"/>
      <c r="BN321" s="25"/>
      <c r="BO321" s="25"/>
      <c r="BP321" s="25"/>
      <c r="BQ321" s="25"/>
      <c r="BR321" s="25"/>
      <c r="BS321" s="25"/>
      <c r="BT321" s="25"/>
      <c r="BU321" s="25"/>
      <c r="BV321" s="25"/>
      <c r="BW321" s="25"/>
      <c r="BX321" s="25"/>
      <c r="BY321" s="25"/>
      <c r="BZ321" s="25"/>
      <c r="CA321" s="25"/>
      <c r="CB321" s="25"/>
      <c r="CC321" s="25"/>
      <c r="CD321" s="25"/>
      <c r="CE321" s="25"/>
      <c r="CF321" s="25"/>
      <c r="CG321" s="25"/>
      <c r="CH321" s="25"/>
      <c r="CI321" s="25"/>
      <c r="CJ321" s="25"/>
      <c r="CK321" s="25"/>
      <c r="CL321" s="25"/>
      <c r="CM321" s="25"/>
      <c r="CN321" s="25"/>
      <c r="CO321" s="25"/>
      <c r="CP321" s="25"/>
      <c r="CQ321" s="25"/>
      <c r="CR321" s="25"/>
      <c r="CS321" s="25"/>
    </row>
    <row r="322" spans="2:97">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c r="AV322" s="25"/>
      <c r="AW322" s="25"/>
      <c r="AX322" s="25"/>
      <c r="AY322" s="25"/>
      <c r="AZ322" s="25"/>
      <c r="BA322" s="25"/>
      <c r="BB322" s="25"/>
      <c r="BC322" s="25"/>
      <c r="BD322" s="25"/>
      <c r="BE322" s="25"/>
      <c r="BF322" s="25"/>
      <c r="BG322" s="25"/>
      <c r="BH322" s="25"/>
      <c r="BI322" s="25"/>
      <c r="BJ322" s="25"/>
      <c r="BK322" s="25"/>
      <c r="BL322" s="25"/>
      <c r="BM322" s="25"/>
      <c r="BN322" s="25"/>
      <c r="BO322" s="25"/>
      <c r="BP322" s="25"/>
      <c r="BQ322" s="25"/>
      <c r="BR322" s="25"/>
      <c r="BS322" s="25"/>
      <c r="BT322" s="25"/>
      <c r="BU322" s="25"/>
      <c r="BV322" s="25"/>
      <c r="BW322" s="25"/>
      <c r="BX322" s="25"/>
      <c r="BY322" s="25"/>
      <c r="BZ322" s="25"/>
      <c r="CA322" s="25"/>
      <c r="CB322" s="25"/>
      <c r="CC322" s="25"/>
      <c r="CD322" s="25"/>
      <c r="CE322" s="25"/>
      <c r="CF322" s="25"/>
      <c r="CG322" s="25"/>
      <c r="CH322" s="25"/>
      <c r="CI322" s="25"/>
      <c r="CJ322" s="25"/>
      <c r="CK322" s="25"/>
      <c r="CL322" s="25"/>
      <c r="CM322" s="25"/>
      <c r="CN322" s="25"/>
      <c r="CO322" s="25"/>
      <c r="CP322" s="25"/>
      <c r="CQ322" s="25"/>
      <c r="CR322" s="25"/>
      <c r="CS322" s="25"/>
    </row>
    <row r="323" spans="2:97">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c r="AV323" s="25"/>
      <c r="AW323" s="25"/>
      <c r="AX323" s="25"/>
      <c r="AY323" s="25"/>
      <c r="AZ323" s="25"/>
      <c r="BA323" s="25"/>
      <c r="BB323" s="25"/>
      <c r="BC323" s="25"/>
      <c r="BD323" s="25"/>
      <c r="BE323" s="25"/>
      <c r="BF323" s="25"/>
      <c r="BG323" s="25"/>
      <c r="BH323" s="25"/>
      <c r="BI323" s="25"/>
      <c r="BJ323" s="25"/>
      <c r="BK323" s="25"/>
      <c r="BL323" s="25"/>
      <c r="BM323" s="25"/>
      <c r="BN323" s="25"/>
      <c r="BO323" s="25"/>
      <c r="BP323" s="25"/>
      <c r="BQ323" s="25"/>
      <c r="BR323" s="25"/>
      <c r="BS323" s="25"/>
      <c r="BT323" s="25"/>
      <c r="BU323" s="25"/>
      <c r="BV323" s="25"/>
      <c r="BW323" s="25"/>
      <c r="BX323" s="25"/>
      <c r="BY323" s="25"/>
      <c r="BZ323" s="25"/>
      <c r="CA323" s="25"/>
      <c r="CB323" s="25"/>
      <c r="CC323" s="25"/>
      <c r="CD323" s="25"/>
      <c r="CE323" s="25"/>
      <c r="CF323" s="25"/>
      <c r="CG323" s="25"/>
      <c r="CH323" s="25"/>
      <c r="CI323" s="25"/>
      <c r="CJ323" s="25"/>
      <c r="CK323" s="25"/>
      <c r="CL323" s="25"/>
      <c r="CM323" s="25"/>
      <c r="CN323" s="25"/>
      <c r="CO323" s="25"/>
      <c r="CP323" s="25"/>
      <c r="CQ323" s="25"/>
      <c r="CR323" s="25"/>
      <c r="CS323" s="25"/>
    </row>
    <row r="324" spans="2:97">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c r="AV324" s="25"/>
      <c r="AW324" s="25"/>
      <c r="AX324" s="25"/>
      <c r="AY324" s="25"/>
      <c r="AZ324" s="25"/>
      <c r="BA324" s="25"/>
      <c r="BB324" s="25"/>
      <c r="BC324" s="25"/>
      <c r="BD324" s="25"/>
      <c r="BE324" s="25"/>
      <c r="BF324" s="25"/>
      <c r="BG324" s="25"/>
      <c r="BH324" s="25"/>
      <c r="BI324" s="25"/>
      <c r="BJ324" s="25"/>
      <c r="BK324" s="25"/>
      <c r="BL324" s="25"/>
      <c r="BM324" s="25"/>
      <c r="BN324" s="25"/>
      <c r="BO324" s="25"/>
      <c r="BP324" s="25"/>
      <c r="BQ324" s="25"/>
      <c r="BR324" s="25"/>
      <c r="BS324" s="25"/>
      <c r="BT324" s="25"/>
      <c r="BU324" s="25"/>
      <c r="BV324" s="25"/>
      <c r="BW324" s="25"/>
      <c r="BX324" s="25"/>
      <c r="BY324" s="25"/>
      <c r="BZ324" s="25"/>
      <c r="CA324" s="25"/>
      <c r="CB324" s="25"/>
      <c r="CC324" s="25"/>
      <c r="CD324" s="25"/>
      <c r="CE324" s="25"/>
      <c r="CF324" s="25"/>
      <c r="CG324" s="25"/>
      <c r="CH324" s="25"/>
      <c r="CI324" s="25"/>
      <c r="CJ324" s="25"/>
      <c r="CK324" s="25"/>
      <c r="CL324" s="25"/>
      <c r="CM324" s="25"/>
      <c r="CN324" s="25"/>
      <c r="CO324" s="25"/>
      <c r="CP324" s="25"/>
      <c r="CQ324" s="25"/>
      <c r="CR324" s="25"/>
      <c r="CS324" s="25"/>
    </row>
    <row r="325" spans="2:97">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c r="AV325" s="25"/>
      <c r="AW325" s="25"/>
      <c r="AX325" s="25"/>
      <c r="AY325" s="25"/>
      <c r="AZ325" s="25"/>
      <c r="BA325" s="25"/>
      <c r="BB325" s="25"/>
      <c r="BC325" s="25"/>
      <c r="BD325" s="25"/>
      <c r="BE325" s="25"/>
      <c r="BF325" s="25"/>
      <c r="BG325" s="25"/>
      <c r="BH325" s="25"/>
      <c r="BI325" s="25"/>
      <c r="BJ325" s="25"/>
      <c r="BK325" s="25"/>
      <c r="BL325" s="25"/>
      <c r="BM325" s="25"/>
      <c r="BN325" s="25"/>
      <c r="BO325" s="25"/>
      <c r="BP325" s="25"/>
      <c r="BQ325" s="25"/>
      <c r="BR325" s="25"/>
      <c r="BS325" s="25"/>
      <c r="BT325" s="25"/>
      <c r="BU325" s="25"/>
      <c r="BV325" s="25"/>
      <c r="BW325" s="25"/>
      <c r="BX325" s="25"/>
      <c r="BY325" s="25"/>
      <c r="BZ325" s="25"/>
      <c r="CA325" s="25"/>
      <c r="CB325" s="25"/>
      <c r="CC325" s="25"/>
      <c r="CD325" s="25"/>
      <c r="CE325" s="25"/>
      <c r="CF325" s="25"/>
      <c r="CG325" s="25"/>
      <c r="CH325" s="25"/>
      <c r="CI325" s="25"/>
      <c r="CJ325" s="25"/>
      <c r="CK325" s="25"/>
      <c r="CL325" s="25"/>
      <c r="CM325" s="25"/>
      <c r="CN325" s="25"/>
      <c r="CO325" s="25"/>
      <c r="CP325" s="25"/>
      <c r="CQ325" s="25"/>
      <c r="CR325" s="25"/>
      <c r="CS325" s="25"/>
    </row>
    <row r="326" spans="2:97">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c r="AV326" s="25"/>
      <c r="AW326" s="25"/>
      <c r="AX326" s="25"/>
      <c r="AY326" s="25"/>
      <c r="AZ326" s="25"/>
      <c r="BA326" s="25"/>
      <c r="BB326" s="25"/>
      <c r="BC326" s="25"/>
      <c r="BD326" s="25"/>
      <c r="BE326" s="25"/>
      <c r="BF326" s="25"/>
      <c r="BG326" s="25"/>
      <c r="BH326" s="25"/>
      <c r="BI326" s="25"/>
      <c r="BJ326" s="25"/>
      <c r="BK326" s="25"/>
      <c r="BL326" s="25"/>
      <c r="BM326" s="25"/>
      <c r="BN326" s="25"/>
      <c r="BO326" s="25"/>
      <c r="BP326" s="25"/>
      <c r="BQ326" s="25"/>
      <c r="BR326" s="25"/>
      <c r="BS326" s="25"/>
      <c r="BT326" s="25"/>
      <c r="BU326" s="25"/>
      <c r="BV326" s="25"/>
      <c r="BW326" s="25"/>
      <c r="BX326" s="25"/>
      <c r="BY326" s="25"/>
      <c r="BZ326" s="25"/>
      <c r="CA326" s="25"/>
      <c r="CB326" s="25"/>
      <c r="CC326" s="25"/>
      <c r="CD326" s="25"/>
      <c r="CE326" s="25"/>
      <c r="CF326" s="25"/>
      <c r="CG326" s="25"/>
      <c r="CH326" s="25"/>
      <c r="CI326" s="25"/>
      <c r="CJ326" s="25"/>
      <c r="CK326" s="25"/>
      <c r="CL326" s="25"/>
      <c r="CM326" s="25"/>
      <c r="CN326" s="25"/>
      <c r="CO326" s="25"/>
      <c r="CP326" s="25"/>
      <c r="CQ326" s="25"/>
      <c r="CR326" s="25"/>
      <c r="CS326" s="25"/>
    </row>
    <row r="327" spans="2:97">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c r="AV327" s="25"/>
      <c r="AW327" s="25"/>
      <c r="AX327" s="25"/>
      <c r="AY327" s="25"/>
      <c r="AZ327" s="25"/>
      <c r="BA327" s="25"/>
      <c r="BB327" s="25"/>
      <c r="BC327" s="25"/>
      <c r="BD327" s="25"/>
      <c r="BE327" s="25"/>
      <c r="BF327" s="25"/>
      <c r="BG327" s="25"/>
      <c r="BH327" s="25"/>
      <c r="BI327" s="25"/>
      <c r="BJ327" s="25"/>
      <c r="BK327" s="25"/>
      <c r="BL327" s="25"/>
      <c r="BM327" s="25"/>
      <c r="BN327" s="25"/>
      <c r="BO327" s="25"/>
      <c r="BP327" s="25"/>
      <c r="BQ327" s="25"/>
      <c r="BR327" s="25"/>
      <c r="BS327" s="25"/>
      <c r="BT327" s="25"/>
      <c r="BU327" s="25"/>
      <c r="BV327" s="25"/>
      <c r="BW327" s="25"/>
      <c r="BX327" s="25"/>
      <c r="BY327" s="25"/>
      <c r="BZ327" s="25"/>
      <c r="CA327" s="25"/>
      <c r="CB327" s="25"/>
      <c r="CC327" s="25"/>
      <c r="CD327" s="25"/>
      <c r="CE327" s="25"/>
      <c r="CF327" s="25"/>
      <c r="CG327" s="25"/>
      <c r="CH327" s="25"/>
      <c r="CI327" s="25"/>
      <c r="CJ327" s="25"/>
      <c r="CK327" s="25"/>
      <c r="CL327" s="25"/>
      <c r="CM327" s="25"/>
      <c r="CN327" s="25"/>
      <c r="CO327" s="25"/>
      <c r="CP327" s="25"/>
      <c r="CQ327" s="25"/>
      <c r="CR327" s="25"/>
      <c r="CS327" s="25"/>
    </row>
    <row r="328" spans="2:97">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c r="AV328" s="25"/>
      <c r="AW328" s="25"/>
      <c r="AX328" s="25"/>
      <c r="AY328" s="25"/>
      <c r="AZ328" s="25"/>
      <c r="BA328" s="25"/>
      <c r="BB328" s="25"/>
      <c r="BC328" s="25"/>
      <c r="BD328" s="25"/>
      <c r="BE328" s="25"/>
      <c r="BF328" s="25"/>
      <c r="BG328" s="25"/>
      <c r="BH328" s="25"/>
      <c r="BI328" s="25"/>
      <c r="BJ328" s="25"/>
      <c r="BK328" s="25"/>
      <c r="BL328" s="25"/>
      <c r="BM328" s="25"/>
      <c r="BN328" s="25"/>
      <c r="BO328" s="25"/>
      <c r="BP328" s="25"/>
      <c r="BQ328" s="25"/>
      <c r="BR328" s="25"/>
      <c r="BS328" s="25"/>
      <c r="BT328" s="25"/>
      <c r="BU328" s="25"/>
      <c r="BV328" s="25"/>
      <c r="BW328" s="25"/>
      <c r="BX328" s="25"/>
      <c r="BY328" s="25"/>
      <c r="BZ328" s="25"/>
      <c r="CA328" s="25"/>
      <c r="CB328" s="25"/>
      <c r="CC328" s="25"/>
      <c r="CD328" s="25"/>
      <c r="CE328" s="25"/>
      <c r="CF328" s="25"/>
      <c r="CG328" s="25"/>
      <c r="CH328" s="25"/>
      <c r="CI328" s="25"/>
      <c r="CJ328" s="25"/>
      <c r="CK328" s="25"/>
      <c r="CL328" s="25"/>
      <c r="CM328" s="25"/>
      <c r="CN328" s="25"/>
      <c r="CO328" s="25"/>
      <c r="CP328" s="25"/>
      <c r="CQ328" s="25"/>
      <c r="CR328" s="25"/>
      <c r="CS328" s="25"/>
    </row>
    <row r="329" spans="2:97">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c r="AV329" s="25"/>
      <c r="AW329" s="25"/>
      <c r="AX329" s="25"/>
      <c r="AY329" s="25"/>
      <c r="AZ329" s="25"/>
      <c r="BA329" s="25"/>
      <c r="BB329" s="25"/>
      <c r="BC329" s="25"/>
      <c r="BD329" s="25"/>
      <c r="BE329" s="25"/>
      <c r="BF329" s="25"/>
      <c r="BG329" s="25"/>
      <c r="BH329" s="25"/>
      <c r="BI329" s="25"/>
      <c r="BJ329" s="25"/>
      <c r="BK329" s="25"/>
      <c r="BL329" s="25"/>
      <c r="BM329" s="25"/>
      <c r="BN329" s="25"/>
      <c r="BO329" s="25"/>
      <c r="BP329" s="25"/>
      <c r="BQ329" s="25"/>
      <c r="BR329" s="25"/>
      <c r="BS329" s="25"/>
      <c r="BT329" s="25"/>
      <c r="BU329" s="25"/>
      <c r="BV329" s="25"/>
      <c r="BW329" s="25"/>
      <c r="BX329" s="25"/>
      <c r="BY329" s="25"/>
      <c r="BZ329" s="25"/>
      <c r="CA329" s="25"/>
      <c r="CB329" s="25"/>
      <c r="CC329" s="25"/>
      <c r="CD329" s="25"/>
      <c r="CE329" s="25"/>
      <c r="CF329" s="25"/>
      <c r="CG329" s="25"/>
      <c r="CH329" s="25"/>
      <c r="CI329" s="25"/>
      <c r="CJ329" s="25"/>
      <c r="CK329" s="25"/>
      <c r="CL329" s="25"/>
      <c r="CM329" s="25"/>
      <c r="CN329" s="25"/>
      <c r="CO329" s="25"/>
      <c r="CP329" s="25"/>
      <c r="CQ329" s="25"/>
      <c r="CR329" s="25"/>
      <c r="CS329" s="25"/>
    </row>
    <row r="330" spans="2:97">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c r="AV330" s="25"/>
      <c r="AW330" s="25"/>
      <c r="AX330" s="25"/>
      <c r="AY330" s="25"/>
      <c r="AZ330" s="25"/>
      <c r="BA330" s="25"/>
      <c r="BB330" s="25"/>
      <c r="BC330" s="25"/>
      <c r="BD330" s="25"/>
      <c r="BE330" s="25"/>
      <c r="BF330" s="25"/>
      <c r="BG330" s="25"/>
      <c r="BH330" s="25"/>
      <c r="BI330" s="25"/>
      <c r="BJ330" s="25"/>
      <c r="BK330" s="25"/>
      <c r="BL330" s="25"/>
      <c r="BM330" s="25"/>
      <c r="BN330" s="25"/>
      <c r="BO330" s="25"/>
      <c r="BP330" s="25"/>
      <c r="BQ330" s="25"/>
      <c r="BR330" s="25"/>
      <c r="BS330" s="25"/>
      <c r="BT330" s="25"/>
      <c r="BU330" s="25"/>
      <c r="BV330" s="25"/>
      <c r="BW330" s="25"/>
      <c r="BX330" s="25"/>
      <c r="BY330" s="25"/>
      <c r="BZ330" s="25"/>
      <c r="CA330" s="25"/>
      <c r="CB330" s="25"/>
      <c r="CC330" s="25"/>
      <c r="CD330" s="25"/>
      <c r="CE330" s="25"/>
      <c r="CF330" s="25"/>
      <c r="CG330" s="25"/>
      <c r="CH330" s="25"/>
      <c r="CI330" s="25"/>
      <c r="CJ330" s="25"/>
      <c r="CK330" s="25"/>
      <c r="CL330" s="25"/>
      <c r="CM330" s="25"/>
      <c r="CN330" s="25"/>
      <c r="CO330" s="25"/>
      <c r="CP330" s="25"/>
      <c r="CQ330" s="25"/>
      <c r="CR330" s="25"/>
      <c r="CS330" s="25"/>
    </row>
    <row r="331" spans="2:97">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c r="AV331" s="25"/>
      <c r="AW331" s="25"/>
      <c r="AX331" s="25"/>
      <c r="AY331" s="25"/>
      <c r="AZ331" s="25"/>
      <c r="BA331" s="25"/>
      <c r="BB331" s="25"/>
      <c r="BC331" s="25"/>
      <c r="BD331" s="25"/>
      <c r="BE331" s="25"/>
      <c r="BF331" s="25"/>
      <c r="BG331" s="25"/>
      <c r="BH331" s="25"/>
      <c r="BI331" s="25"/>
      <c r="BJ331" s="25"/>
      <c r="BK331" s="25"/>
      <c r="BL331" s="25"/>
      <c r="BM331" s="25"/>
      <c r="BN331" s="25"/>
      <c r="BO331" s="25"/>
      <c r="BP331" s="25"/>
      <c r="BQ331" s="25"/>
      <c r="BR331" s="25"/>
      <c r="BS331" s="25"/>
      <c r="BT331" s="25"/>
      <c r="BU331" s="25"/>
      <c r="BV331" s="25"/>
      <c r="BW331" s="25"/>
      <c r="BX331" s="25"/>
      <c r="BY331" s="25"/>
      <c r="BZ331" s="25"/>
      <c r="CA331" s="25"/>
      <c r="CB331" s="25"/>
      <c r="CC331" s="25"/>
      <c r="CD331" s="25"/>
      <c r="CE331" s="25"/>
      <c r="CF331" s="25"/>
      <c r="CG331" s="25"/>
      <c r="CH331" s="25"/>
      <c r="CI331" s="25"/>
      <c r="CJ331" s="25"/>
      <c r="CK331" s="25"/>
      <c r="CL331" s="25"/>
      <c r="CM331" s="25"/>
      <c r="CN331" s="25"/>
      <c r="CO331" s="25"/>
      <c r="CP331" s="25"/>
      <c r="CQ331" s="25"/>
      <c r="CR331" s="25"/>
      <c r="CS331" s="25"/>
    </row>
    <row r="332" spans="2:97">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c r="AV332" s="25"/>
      <c r="AW332" s="25"/>
      <c r="AX332" s="25"/>
      <c r="AY332" s="25"/>
      <c r="AZ332" s="25"/>
      <c r="BA332" s="25"/>
      <c r="BB332" s="25"/>
      <c r="BC332" s="25"/>
      <c r="BD332" s="25"/>
      <c r="BE332" s="25"/>
      <c r="BF332" s="25"/>
      <c r="BG332" s="25"/>
      <c r="BH332" s="25"/>
      <c r="BI332" s="25"/>
      <c r="BJ332" s="25"/>
      <c r="BK332" s="25"/>
      <c r="BL332" s="25"/>
      <c r="BM332" s="25"/>
      <c r="BN332" s="25"/>
      <c r="BO332" s="25"/>
      <c r="BP332" s="25"/>
      <c r="BQ332" s="25"/>
      <c r="BR332" s="25"/>
      <c r="BS332" s="25"/>
      <c r="BT332" s="25"/>
      <c r="BU332" s="25"/>
      <c r="BV332" s="25"/>
      <c r="BW332" s="25"/>
      <c r="BX332" s="25"/>
      <c r="BY332" s="25"/>
      <c r="BZ332" s="25"/>
      <c r="CA332" s="25"/>
      <c r="CB332" s="25"/>
      <c r="CC332" s="25"/>
      <c r="CD332" s="25"/>
      <c r="CE332" s="25"/>
      <c r="CF332" s="25"/>
      <c r="CG332" s="25"/>
      <c r="CH332" s="25"/>
      <c r="CI332" s="25"/>
      <c r="CJ332" s="25"/>
      <c r="CK332" s="25"/>
      <c r="CL332" s="25"/>
      <c r="CM332" s="25"/>
      <c r="CN332" s="25"/>
      <c r="CO332" s="25"/>
      <c r="CP332" s="25"/>
      <c r="CQ332" s="25"/>
      <c r="CR332" s="25"/>
      <c r="CS332" s="25"/>
    </row>
    <row r="333" spans="2:97">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c r="AV333" s="25"/>
      <c r="AW333" s="25"/>
      <c r="AX333" s="25"/>
      <c r="AY333" s="25"/>
      <c r="AZ333" s="25"/>
      <c r="BA333" s="25"/>
      <c r="BB333" s="25"/>
      <c r="BC333" s="25"/>
      <c r="BD333" s="25"/>
      <c r="BE333" s="25"/>
      <c r="BF333" s="25"/>
      <c r="BG333" s="25"/>
      <c r="BH333" s="25"/>
      <c r="BI333" s="25"/>
      <c r="BJ333" s="25"/>
      <c r="BK333" s="25"/>
      <c r="BL333" s="25"/>
      <c r="BM333" s="25"/>
      <c r="BN333" s="25"/>
      <c r="BO333" s="25"/>
      <c r="BP333" s="25"/>
      <c r="BQ333" s="25"/>
      <c r="BR333" s="25"/>
      <c r="BS333" s="25"/>
      <c r="BT333" s="25"/>
      <c r="BU333" s="25"/>
      <c r="BV333" s="25"/>
      <c r="BW333" s="25"/>
      <c r="BX333" s="25"/>
      <c r="BY333" s="25"/>
      <c r="BZ333" s="25"/>
      <c r="CA333" s="25"/>
      <c r="CB333" s="25"/>
      <c r="CC333" s="25"/>
      <c r="CD333" s="25"/>
      <c r="CE333" s="25"/>
      <c r="CF333" s="25"/>
      <c r="CG333" s="25"/>
      <c r="CH333" s="25"/>
      <c r="CI333" s="25"/>
      <c r="CJ333" s="25"/>
      <c r="CK333" s="25"/>
      <c r="CL333" s="25"/>
      <c r="CM333" s="25"/>
      <c r="CN333" s="25"/>
      <c r="CO333" s="25"/>
      <c r="CP333" s="25"/>
      <c r="CQ333" s="25"/>
      <c r="CR333" s="25"/>
      <c r="CS333" s="25"/>
    </row>
    <row r="334" spans="2:97">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c r="AV334" s="25"/>
      <c r="AW334" s="25"/>
      <c r="AX334" s="25"/>
      <c r="AY334" s="25"/>
      <c r="AZ334" s="25"/>
      <c r="BA334" s="25"/>
      <c r="BB334" s="25"/>
      <c r="BC334" s="25"/>
      <c r="BD334" s="25"/>
      <c r="BE334" s="25"/>
      <c r="BF334" s="25"/>
      <c r="BG334" s="25"/>
      <c r="BH334" s="25"/>
      <c r="BI334" s="25"/>
      <c r="BJ334" s="25"/>
      <c r="BK334" s="25"/>
      <c r="BL334" s="25"/>
      <c r="BM334" s="25"/>
      <c r="BN334" s="25"/>
      <c r="BO334" s="25"/>
      <c r="BP334" s="25"/>
      <c r="BQ334" s="25"/>
      <c r="BR334" s="25"/>
      <c r="BS334" s="25"/>
      <c r="BT334" s="25"/>
      <c r="BU334" s="25"/>
      <c r="BV334" s="25"/>
      <c r="BW334" s="25"/>
      <c r="BX334" s="25"/>
      <c r="BY334" s="25"/>
      <c r="BZ334" s="25"/>
      <c r="CA334" s="25"/>
      <c r="CB334" s="25"/>
      <c r="CC334" s="25"/>
      <c r="CD334" s="25"/>
      <c r="CE334" s="25"/>
      <c r="CF334" s="25"/>
      <c r="CG334" s="25"/>
      <c r="CH334" s="25"/>
      <c r="CI334" s="25"/>
      <c r="CJ334" s="25"/>
      <c r="CK334" s="25"/>
      <c r="CL334" s="25"/>
      <c r="CM334" s="25"/>
      <c r="CN334" s="25"/>
      <c r="CO334" s="25"/>
      <c r="CP334" s="25"/>
      <c r="CQ334" s="25"/>
      <c r="CR334" s="25"/>
      <c r="CS334" s="25"/>
    </row>
    <row r="335" spans="2:97">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c r="AV335" s="25"/>
      <c r="AW335" s="25"/>
      <c r="AX335" s="25"/>
      <c r="AY335" s="25"/>
      <c r="AZ335" s="25"/>
      <c r="BA335" s="25"/>
      <c r="BB335" s="25"/>
      <c r="BC335" s="25"/>
      <c r="BD335" s="25"/>
      <c r="BE335" s="25"/>
      <c r="BF335" s="25"/>
      <c r="BG335" s="25"/>
      <c r="BH335" s="25"/>
      <c r="BI335" s="25"/>
      <c r="BJ335" s="25"/>
      <c r="BK335" s="25"/>
      <c r="BL335" s="25"/>
      <c r="BM335" s="25"/>
      <c r="BN335" s="25"/>
      <c r="BO335" s="25"/>
      <c r="BP335" s="25"/>
      <c r="BQ335" s="25"/>
      <c r="BR335" s="25"/>
      <c r="BS335" s="25"/>
      <c r="BT335" s="25"/>
      <c r="BU335" s="25"/>
      <c r="BV335" s="25"/>
      <c r="BW335" s="25"/>
      <c r="BX335" s="25"/>
      <c r="BY335" s="25"/>
      <c r="BZ335" s="25"/>
      <c r="CA335" s="25"/>
      <c r="CB335" s="25"/>
      <c r="CC335" s="25"/>
      <c r="CD335" s="25"/>
      <c r="CE335" s="25"/>
      <c r="CF335" s="25"/>
      <c r="CG335" s="25"/>
      <c r="CH335" s="25"/>
      <c r="CI335" s="25"/>
      <c r="CJ335" s="25"/>
      <c r="CK335" s="25"/>
      <c r="CL335" s="25"/>
      <c r="CM335" s="25"/>
      <c r="CN335" s="25"/>
      <c r="CO335" s="25"/>
      <c r="CP335" s="25"/>
      <c r="CQ335" s="25"/>
      <c r="CR335" s="25"/>
      <c r="CS335" s="25"/>
    </row>
    <row r="336" spans="2:97">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c r="AV336" s="25"/>
      <c r="AW336" s="25"/>
      <c r="AX336" s="25"/>
      <c r="AY336" s="25"/>
      <c r="AZ336" s="25"/>
      <c r="BA336" s="25"/>
      <c r="BB336" s="25"/>
      <c r="BC336" s="25"/>
      <c r="BD336" s="25"/>
      <c r="BE336" s="25"/>
      <c r="BF336" s="25"/>
      <c r="BG336" s="25"/>
      <c r="BH336" s="25"/>
      <c r="BI336" s="25"/>
      <c r="BJ336" s="25"/>
      <c r="BK336" s="25"/>
      <c r="BL336" s="25"/>
      <c r="BM336" s="25"/>
      <c r="BN336" s="25"/>
      <c r="BO336" s="25"/>
      <c r="BP336" s="25"/>
      <c r="BQ336" s="25"/>
      <c r="BR336" s="25"/>
      <c r="BS336" s="25"/>
      <c r="BT336" s="25"/>
      <c r="BU336" s="25"/>
      <c r="BV336" s="25"/>
      <c r="BW336" s="25"/>
      <c r="BX336" s="25"/>
      <c r="BY336" s="25"/>
      <c r="BZ336" s="25"/>
      <c r="CA336" s="25"/>
      <c r="CB336" s="25"/>
      <c r="CC336" s="25"/>
      <c r="CD336" s="25"/>
      <c r="CE336" s="25"/>
      <c r="CF336" s="25"/>
      <c r="CG336" s="25"/>
      <c r="CH336" s="25"/>
      <c r="CI336" s="25"/>
      <c r="CJ336" s="25"/>
      <c r="CK336" s="25"/>
      <c r="CL336" s="25"/>
      <c r="CM336" s="25"/>
      <c r="CN336" s="25"/>
      <c r="CO336" s="25"/>
      <c r="CP336" s="25"/>
      <c r="CQ336" s="25"/>
      <c r="CR336" s="25"/>
      <c r="CS336" s="25"/>
    </row>
    <row r="337" spans="2:97">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c r="AV337" s="25"/>
      <c r="AW337" s="25"/>
      <c r="AX337" s="25"/>
      <c r="AY337" s="25"/>
      <c r="AZ337" s="25"/>
      <c r="BA337" s="25"/>
      <c r="BB337" s="25"/>
      <c r="BC337" s="25"/>
      <c r="BD337" s="25"/>
      <c r="BE337" s="25"/>
      <c r="BF337" s="25"/>
      <c r="BG337" s="25"/>
      <c r="BH337" s="25"/>
      <c r="BI337" s="25"/>
      <c r="BJ337" s="25"/>
      <c r="BK337" s="25"/>
      <c r="BL337" s="25"/>
      <c r="BM337" s="25"/>
      <c r="BN337" s="25"/>
      <c r="BO337" s="25"/>
      <c r="BP337" s="25"/>
      <c r="BQ337" s="25"/>
      <c r="BR337" s="25"/>
      <c r="BS337" s="25"/>
      <c r="BT337" s="25"/>
      <c r="BU337" s="25"/>
      <c r="BV337" s="25"/>
      <c r="BW337" s="25"/>
      <c r="BX337" s="25"/>
      <c r="BY337" s="25"/>
      <c r="BZ337" s="25"/>
      <c r="CA337" s="25"/>
      <c r="CB337" s="25"/>
      <c r="CC337" s="25"/>
      <c r="CD337" s="25"/>
      <c r="CE337" s="25"/>
      <c r="CF337" s="25"/>
      <c r="CG337" s="25"/>
      <c r="CH337" s="25"/>
      <c r="CI337" s="25"/>
      <c r="CJ337" s="25"/>
      <c r="CK337" s="25"/>
      <c r="CL337" s="25"/>
      <c r="CM337" s="25"/>
      <c r="CN337" s="25"/>
      <c r="CO337" s="25"/>
      <c r="CP337" s="25"/>
      <c r="CQ337" s="25"/>
      <c r="CR337" s="25"/>
      <c r="CS337" s="25"/>
    </row>
    <row r="338" spans="2:97">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c r="AV338" s="25"/>
      <c r="AW338" s="25"/>
      <c r="AX338" s="25"/>
      <c r="AY338" s="25"/>
      <c r="AZ338" s="25"/>
      <c r="BA338" s="25"/>
      <c r="BB338" s="25"/>
      <c r="BC338" s="25"/>
      <c r="BD338" s="25"/>
      <c r="BE338" s="25"/>
      <c r="BF338" s="25"/>
      <c r="BG338" s="25"/>
      <c r="BH338" s="25"/>
      <c r="BI338" s="25"/>
      <c r="BJ338" s="25"/>
      <c r="BK338" s="25"/>
      <c r="BL338" s="25"/>
      <c r="BM338" s="25"/>
      <c r="BN338" s="25"/>
      <c r="BO338" s="25"/>
      <c r="BP338" s="25"/>
      <c r="BQ338" s="25"/>
      <c r="BR338" s="25"/>
      <c r="BS338" s="25"/>
      <c r="BT338" s="25"/>
      <c r="BU338" s="25"/>
      <c r="BV338" s="25"/>
      <c r="BW338" s="25"/>
      <c r="BX338" s="25"/>
      <c r="BY338" s="25"/>
      <c r="BZ338" s="25"/>
      <c r="CA338" s="25"/>
      <c r="CB338" s="25"/>
      <c r="CC338" s="25"/>
      <c r="CD338" s="25"/>
      <c r="CE338" s="25"/>
      <c r="CF338" s="25"/>
      <c r="CG338" s="25"/>
      <c r="CH338" s="25"/>
      <c r="CI338" s="25"/>
      <c r="CJ338" s="25"/>
      <c r="CK338" s="25"/>
      <c r="CL338" s="25"/>
      <c r="CM338" s="25"/>
      <c r="CN338" s="25"/>
      <c r="CO338" s="25"/>
      <c r="CP338" s="25"/>
      <c r="CQ338" s="25"/>
      <c r="CR338" s="25"/>
      <c r="CS338" s="25"/>
    </row>
    <row r="339" spans="2:97">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c r="AV339" s="25"/>
      <c r="AW339" s="25"/>
      <c r="AX339" s="25"/>
      <c r="AY339" s="25"/>
      <c r="AZ339" s="25"/>
      <c r="BA339" s="25"/>
      <c r="BB339" s="25"/>
      <c r="BC339" s="25"/>
      <c r="BD339" s="25"/>
      <c r="BE339" s="25"/>
      <c r="BF339" s="25"/>
      <c r="BG339" s="25"/>
      <c r="BH339" s="25"/>
      <c r="BI339" s="25"/>
      <c r="BJ339" s="25"/>
      <c r="BK339" s="25"/>
      <c r="BL339" s="25"/>
      <c r="BM339" s="25"/>
      <c r="BN339" s="25"/>
      <c r="BO339" s="25"/>
      <c r="BP339" s="25"/>
      <c r="BQ339" s="25"/>
      <c r="BR339" s="25"/>
      <c r="BS339" s="25"/>
      <c r="BT339" s="25"/>
      <c r="BU339" s="25"/>
      <c r="BV339" s="25"/>
      <c r="BW339" s="25"/>
      <c r="BX339" s="25"/>
      <c r="BY339" s="25"/>
      <c r="BZ339" s="25"/>
      <c r="CA339" s="25"/>
      <c r="CB339" s="25"/>
      <c r="CC339" s="25"/>
      <c r="CD339" s="25"/>
      <c r="CE339" s="25"/>
      <c r="CF339" s="25"/>
      <c r="CG339" s="25"/>
      <c r="CH339" s="25"/>
      <c r="CI339" s="25"/>
      <c r="CJ339" s="25"/>
      <c r="CK339" s="25"/>
      <c r="CL339" s="25"/>
      <c r="CM339" s="25"/>
      <c r="CN339" s="25"/>
      <c r="CO339" s="25"/>
      <c r="CP339" s="25"/>
      <c r="CQ339" s="25"/>
      <c r="CR339" s="25"/>
      <c r="CS339" s="25"/>
    </row>
    <row r="340" spans="2:97">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c r="AV340" s="25"/>
      <c r="AW340" s="25"/>
      <c r="AX340" s="25"/>
      <c r="AY340" s="25"/>
      <c r="AZ340" s="25"/>
      <c r="BA340" s="25"/>
      <c r="BB340" s="25"/>
      <c r="BC340" s="25"/>
      <c r="BD340" s="25"/>
      <c r="BE340" s="25"/>
      <c r="BF340" s="25"/>
      <c r="BG340" s="25"/>
      <c r="BH340" s="25"/>
      <c r="BI340" s="25"/>
      <c r="BJ340" s="25"/>
      <c r="BK340" s="25"/>
      <c r="BL340" s="25"/>
      <c r="BM340" s="25"/>
      <c r="BN340" s="25"/>
      <c r="BO340" s="25"/>
      <c r="BP340" s="25"/>
      <c r="BQ340" s="25"/>
      <c r="BR340" s="25"/>
      <c r="BS340" s="25"/>
      <c r="BT340" s="25"/>
      <c r="BU340" s="25"/>
      <c r="BV340" s="25"/>
      <c r="BW340" s="25"/>
      <c r="BX340" s="25"/>
      <c r="BY340" s="25"/>
      <c r="BZ340" s="25"/>
      <c r="CA340" s="25"/>
      <c r="CB340" s="25"/>
      <c r="CC340" s="25"/>
      <c r="CD340" s="25"/>
      <c r="CE340" s="25"/>
      <c r="CF340" s="25"/>
      <c r="CG340" s="25"/>
      <c r="CH340" s="25"/>
      <c r="CI340" s="25"/>
      <c r="CJ340" s="25"/>
      <c r="CK340" s="25"/>
      <c r="CL340" s="25"/>
      <c r="CM340" s="25"/>
      <c r="CN340" s="25"/>
      <c r="CO340" s="25"/>
      <c r="CP340" s="25"/>
      <c r="CQ340" s="25"/>
      <c r="CR340" s="25"/>
      <c r="CS340" s="25"/>
    </row>
    <row r="341" spans="2:97">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c r="AV341" s="25"/>
      <c r="AW341" s="25"/>
      <c r="AX341" s="25"/>
      <c r="AY341" s="25"/>
      <c r="AZ341" s="25"/>
      <c r="BA341" s="25"/>
      <c r="BB341" s="25"/>
      <c r="BC341" s="25"/>
      <c r="BD341" s="25"/>
      <c r="BE341" s="25"/>
      <c r="BF341" s="25"/>
      <c r="BG341" s="25"/>
      <c r="BH341" s="25"/>
      <c r="BI341" s="25"/>
      <c r="BJ341" s="25"/>
      <c r="BK341" s="25"/>
      <c r="BL341" s="25"/>
      <c r="BM341" s="25"/>
      <c r="BN341" s="25"/>
      <c r="BO341" s="25"/>
      <c r="BP341" s="25"/>
      <c r="BQ341" s="25"/>
      <c r="BR341" s="25"/>
      <c r="BS341" s="25"/>
      <c r="BT341" s="25"/>
      <c r="BU341" s="25"/>
      <c r="BV341" s="25"/>
      <c r="BW341" s="25"/>
      <c r="BX341" s="25"/>
      <c r="BY341" s="25"/>
      <c r="BZ341" s="25"/>
      <c r="CA341" s="25"/>
      <c r="CB341" s="25"/>
      <c r="CC341" s="25"/>
      <c r="CD341" s="25"/>
      <c r="CE341" s="25"/>
      <c r="CF341" s="25"/>
      <c r="CG341" s="25"/>
      <c r="CH341" s="25"/>
      <c r="CI341" s="25"/>
      <c r="CJ341" s="25"/>
      <c r="CK341" s="25"/>
      <c r="CL341" s="25"/>
      <c r="CM341" s="25"/>
      <c r="CN341" s="25"/>
      <c r="CO341" s="25"/>
      <c r="CP341" s="25"/>
      <c r="CQ341" s="25"/>
      <c r="CR341" s="25"/>
      <c r="CS341" s="25"/>
    </row>
    <row r="342" spans="2:97">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c r="AV342" s="25"/>
      <c r="AW342" s="25"/>
      <c r="AX342" s="25"/>
      <c r="AY342" s="25"/>
      <c r="AZ342" s="25"/>
      <c r="BA342" s="25"/>
      <c r="BB342" s="25"/>
      <c r="BC342" s="25"/>
      <c r="BD342" s="25"/>
      <c r="BE342" s="25"/>
      <c r="BF342" s="25"/>
      <c r="BG342" s="25"/>
      <c r="BH342" s="25"/>
      <c r="BI342" s="25"/>
      <c r="BJ342" s="25"/>
      <c r="BK342" s="25"/>
      <c r="BL342" s="25"/>
      <c r="BM342" s="25"/>
      <c r="BN342" s="25"/>
      <c r="BO342" s="25"/>
      <c r="BP342" s="25"/>
      <c r="BQ342" s="25"/>
      <c r="BR342" s="25"/>
      <c r="BS342" s="25"/>
      <c r="BT342" s="25"/>
      <c r="BU342" s="25"/>
      <c r="BV342" s="25"/>
      <c r="BW342" s="25"/>
      <c r="BX342" s="25"/>
      <c r="BY342" s="25"/>
      <c r="BZ342" s="25"/>
      <c r="CA342" s="25"/>
      <c r="CB342" s="25"/>
      <c r="CC342" s="25"/>
      <c r="CD342" s="25"/>
      <c r="CE342" s="25"/>
      <c r="CF342" s="25"/>
      <c r="CG342" s="25"/>
      <c r="CH342" s="25"/>
      <c r="CI342" s="25"/>
      <c r="CJ342" s="25"/>
      <c r="CK342" s="25"/>
      <c r="CL342" s="25"/>
      <c r="CM342" s="25"/>
      <c r="CN342" s="25"/>
      <c r="CO342" s="25"/>
      <c r="CP342" s="25"/>
      <c r="CQ342" s="25"/>
      <c r="CR342" s="25"/>
      <c r="CS342" s="25"/>
    </row>
    <row r="343" spans="2:97">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c r="AV343" s="25"/>
      <c r="AW343" s="25"/>
      <c r="AX343" s="25"/>
      <c r="AY343" s="25"/>
      <c r="AZ343" s="25"/>
      <c r="BA343" s="25"/>
      <c r="BB343" s="25"/>
      <c r="BC343" s="25"/>
      <c r="BD343" s="25"/>
      <c r="BE343" s="25"/>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c r="CB343" s="25"/>
      <c r="CC343" s="25"/>
      <c r="CD343" s="25"/>
      <c r="CE343" s="25"/>
      <c r="CF343" s="25"/>
      <c r="CG343" s="25"/>
      <c r="CH343" s="25"/>
      <c r="CI343" s="25"/>
      <c r="CJ343" s="25"/>
      <c r="CK343" s="25"/>
      <c r="CL343" s="25"/>
      <c r="CM343" s="25"/>
      <c r="CN343" s="25"/>
      <c r="CO343" s="25"/>
      <c r="CP343" s="25"/>
      <c r="CQ343" s="25"/>
      <c r="CR343" s="25"/>
      <c r="CS343" s="25"/>
    </row>
    <row r="344" spans="2:97">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c r="AV344" s="25"/>
      <c r="AW344" s="25"/>
      <c r="AX344" s="25"/>
      <c r="AY344" s="25"/>
      <c r="AZ344" s="25"/>
      <c r="BA344" s="25"/>
      <c r="BB344" s="25"/>
      <c r="BC344" s="25"/>
      <c r="BD344" s="25"/>
      <c r="BE344" s="25"/>
      <c r="BF344" s="25"/>
      <c r="BG344" s="25"/>
      <c r="BH344" s="25"/>
      <c r="BI344" s="25"/>
      <c r="BJ344" s="25"/>
      <c r="BK344" s="25"/>
      <c r="BL344" s="25"/>
      <c r="BM344" s="25"/>
      <c r="BN344" s="25"/>
      <c r="BO344" s="25"/>
      <c r="BP344" s="25"/>
      <c r="BQ344" s="25"/>
      <c r="BR344" s="25"/>
      <c r="BS344" s="25"/>
      <c r="BT344" s="25"/>
      <c r="BU344" s="25"/>
      <c r="BV344" s="25"/>
      <c r="BW344" s="25"/>
      <c r="BX344" s="25"/>
      <c r="BY344" s="25"/>
      <c r="BZ344" s="25"/>
      <c r="CA344" s="25"/>
      <c r="CB344" s="25"/>
      <c r="CC344" s="25"/>
      <c r="CD344" s="25"/>
      <c r="CE344" s="25"/>
      <c r="CF344" s="25"/>
      <c r="CG344" s="25"/>
      <c r="CH344" s="25"/>
      <c r="CI344" s="25"/>
      <c r="CJ344" s="25"/>
      <c r="CK344" s="25"/>
      <c r="CL344" s="25"/>
      <c r="CM344" s="25"/>
      <c r="CN344" s="25"/>
      <c r="CO344" s="25"/>
      <c r="CP344" s="25"/>
      <c r="CQ344" s="25"/>
      <c r="CR344" s="25"/>
      <c r="CS344" s="25"/>
    </row>
    <row r="345" spans="2:97">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c r="AV345" s="25"/>
      <c r="AW345" s="25"/>
      <c r="AX345" s="25"/>
      <c r="AY345" s="25"/>
      <c r="AZ345" s="25"/>
      <c r="BA345" s="25"/>
      <c r="BB345" s="25"/>
      <c r="BC345" s="25"/>
      <c r="BD345" s="25"/>
      <c r="BE345" s="25"/>
      <c r="BF345" s="25"/>
      <c r="BG345" s="25"/>
      <c r="BH345" s="25"/>
      <c r="BI345" s="25"/>
      <c r="BJ345" s="25"/>
      <c r="BK345" s="25"/>
      <c r="BL345" s="25"/>
      <c r="BM345" s="25"/>
      <c r="BN345" s="25"/>
      <c r="BO345" s="25"/>
      <c r="BP345" s="25"/>
      <c r="BQ345" s="25"/>
      <c r="BR345" s="25"/>
      <c r="BS345" s="25"/>
      <c r="BT345" s="25"/>
      <c r="BU345" s="25"/>
      <c r="BV345" s="25"/>
      <c r="BW345" s="25"/>
      <c r="BX345" s="25"/>
      <c r="BY345" s="25"/>
      <c r="BZ345" s="25"/>
      <c r="CA345" s="25"/>
      <c r="CB345" s="25"/>
      <c r="CC345" s="25"/>
      <c r="CD345" s="25"/>
      <c r="CE345" s="25"/>
      <c r="CF345" s="25"/>
      <c r="CG345" s="25"/>
      <c r="CH345" s="25"/>
      <c r="CI345" s="25"/>
      <c r="CJ345" s="25"/>
      <c r="CK345" s="25"/>
      <c r="CL345" s="25"/>
      <c r="CM345" s="25"/>
      <c r="CN345" s="25"/>
      <c r="CO345" s="25"/>
      <c r="CP345" s="25"/>
      <c r="CQ345" s="25"/>
      <c r="CR345" s="25"/>
      <c r="CS345" s="25"/>
    </row>
    <row r="346" spans="2:97">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c r="AV346" s="25"/>
      <c r="AW346" s="25"/>
      <c r="AX346" s="25"/>
      <c r="AY346" s="25"/>
      <c r="AZ346" s="25"/>
      <c r="BA346" s="25"/>
      <c r="BB346" s="25"/>
      <c r="BC346" s="25"/>
      <c r="BD346" s="25"/>
      <c r="BE346" s="25"/>
      <c r="BF346" s="25"/>
      <c r="BG346" s="25"/>
      <c r="BH346" s="25"/>
      <c r="BI346" s="25"/>
      <c r="BJ346" s="25"/>
      <c r="BK346" s="25"/>
      <c r="BL346" s="25"/>
      <c r="BM346" s="25"/>
      <c r="BN346" s="25"/>
      <c r="BO346" s="25"/>
      <c r="BP346" s="25"/>
      <c r="BQ346" s="25"/>
      <c r="BR346" s="25"/>
      <c r="BS346" s="25"/>
      <c r="BT346" s="25"/>
      <c r="BU346" s="25"/>
      <c r="BV346" s="25"/>
      <c r="BW346" s="25"/>
      <c r="BX346" s="25"/>
      <c r="BY346" s="25"/>
      <c r="BZ346" s="25"/>
      <c r="CA346" s="25"/>
      <c r="CB346" s="25"/>
      <c r="CC346" s="25"/>
      <c r="CD346" s="25"/>
      <c r="CE346" s="25"/>
      <c r="CF346" s="25"/>
      <c r="CG346" s="25"/>
      <c r="CH346" s="25"/>
      <c r="CI346" s="25"/>
      <c r="CJ346" s="25"/>
      <c r="CK346" s="25"/>
      <c r="CL346" s="25"/>
      <c r="CM346" s="25"/>
      <c r="CN346" s="25"/>
      <c r="CO346" s="25"/>
      <c r="CP346" s="25"/>
      <c r="CQ346" s="25"/>
      <c r="CR346" s="25"/>
      <c r="CS346" s="25"/>
    </row>
    <row r="347" spans="2:97">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c r="AV347" s="25"/>
      <c r="AW347" s="25"/>
      <c r="AX347" s="25"/>
      <c r="AY347" s="25"/>
      <c r="AZ347" s="25"/>
      <c r="BA347" s="25"/>
      <c r="BB347" s="25"/>
      <c r="BC347" s="25"/>
      <c r="BD347" s="25"/>
      <c r="BE347" s="25"/>
      <c r="BF347" s="25"/>
      <c r="BG347" s="25"/>
      <c r="BH347" s="25"/>
      <c r="BI347" s="25"/>
      <c r="BJ347" s="25"/>
      <c r="BK347" s="25"/>
      <c r="BL347" s="25"/>
      <c r="BM347" s="25"/>
      <c r="BN347" s="25"/>
      <c r="BO347" s="25"/>
      <c r="BP347" s="25"/>
      <c r="BQ347" s="25"/>
      <c r="BR347" s="25"/>
      <c r="BS347" s="25"/>
      <c r="BT347" s="25"/>
      <c r="BU347" s="25"/>
      <c r="BV347" s="25"/>
      <c r="BW347" s="25"/>
      <c r="BX347" s="25"/>
      <c r="BY347" s="25"/>
      <c r="BZ347" s="25"/>
      <c r="CA347" s="25"/>
      <c r="CB347" s="25"/>
      <c r="CC347" s="25"/>
      <c r="CD347" s="25"/>
      <c r="CE347" s="25"/>
      <c r="CF347" s="25"/>
      <c r="CG347" s="25"/>
      <c r="CH347" s="25"/>
      <c r="CI347" s="25"/>
      <c r="CJ347" s="25"/>
      <c r="CK347" s="25"/>
      <c r="CL347" s="25"/>
      <c r="CM347" s="25"/>
      <c r="CN347" s="25"/>
      <c r="CO347" s="25"/>
      <c r="CP347" s="25"/>
      <c r="CQ347" s="25"/>
      <c r="CR347" s="25"/>
      <c r="CS347" s="25"/>
    </row>
    <row r="348" spans="2:97">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c r="AV348" s="25"/>
      <c r="AW348" s="25"/>
      <c r="AX348" s="25"/>
      <c r="AY348" s="25"/>
      <c r="AZ348" s="25"/>
      <c r="BA348" s="25"/>
      <c r="BB348" s="25"/>
      <c r="BC348" s="25"/>
      <c r="BD348" s="25"/>
      <c r="BE348" s="25"/>
      <c r="BF348" s="25"/>
      <c r="BG348" s="25"/>
      <c r="BH348" s="25"/>
      <c r="BI348" s="25"/>
      <c r="BJ348" s="25"/>
      <c r="BK348" s="25"/>
      <c r="BL348" s="25"/>
      <c r="BM348" s="25"/>
      <c r="BN348" s="25"/>
      <c r="BO348" s="25"/>
      <c r="BP348" s="25"/>
      <c r="BQ348" s="25"/>
      <c r="BR348" s="25"/>
      <c r="BS348" s="25"/>
      <c r="BT348" s="25"/>
      <c r="BU348" s="25"/>
      <c r="BV348" s="25"/>
      <c r="BW348" s="25"/>
      <c r="BX348" s="25"/>
      <c r="BY348" s="25"/>
      <c r="BZ348" s="25"/>
      <c r="CA348" s="25"/>
      <c r="CB348" s="25"/>
      <c r="CC348" s="25"/>
      <c r="CD348" s="25"/>
      <c r="CE348" s="25"/>
      <c r="CF348" s="25"/>
      <c r="CG348" s="25"/>
      <c r="CH348" s="25"/>
      <c r="CI348" s="25"/>
      <c r="CJ348" s="25"/>
      <c r="CK348" s="25"/>
      <c r="CL348" s="25"/>
      <c r="CM348" s="25"/>
      <c r="CN348" s="25"/>
      <c r="CO348" s="25"/>
      <c r="CP348" s="25"/>
      <c r="CQ348" s="25"/>
      <c r="CR348" s="25"/>
      <c r="CS348" s="25"/>
    </row>
    <row r="349" spans="2:97">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c r="AV349" s="25"/>
      <c r="AW349" s="25"/>
      <c r="AX349" s="25"/>
      <c r="AY349" s="25"/>
      <c r="AZ349" s="25"/>
      <c r="BA349" s="25"/>
      <c r="BB349" s="25"/>
      <c r="BC349" s="25"/>
      <c r="BD349" s="25"/>
      <c r="BE349" s="25"/>
      <c r="BF349" s="25"/>
      <c r="BG349" s="25"/>
      <c r="BH349" s="25"/>
      <c r="BI349" s="25"/>
      <c r="BJ349" s="25"/>
      <c r="BK349" s="25"/>
      <c r="BL349" s="25"/>
      <c r="BM349" s="25"/>
      <c r="BN349" s="25"/>
      <c r="BO349" s="25"/>
      <c r="BP349" s="25"/>
      <c r="BQ349" s="25"/>
      <c r="BR349" s="25"/>
      <c r="BS349" s="25"/>
      <c r="BT349" s="25"/>
      <c r="BU349" s="25"/>
      <c r="BV349" s="25"/>
      <c r="BW349" s="25"/>
      <c r="BX349" s="25"/>
      <c r="BY349" s="25"/>
      <c r="BZ349" s="25"/>
      <c r="CA349" s="25"/>
      <c r="CB349" s="25"/>
      <c r="CC349" s="25"/>
      <c r="CD349" s="25"/>
      <c r="CE349" s="25"/>
      <c r="CF349" s="25"/>
      <c r="CG349" s="25"/>
      <c r="CH349" s="25"/>
      <c r="CI349" s="25"/>
      <c r="CJ349" s="25"/>
      <c r="CK349" s="25"/>
      <c r="CL349" s="25"/>
      <c r="CM349" s="25"/>
      <c r="CN349" s="25"/>
      <c r="CO349" s="25"/>
      <c r="CP349" s="25"/>
      <c r="CQ349" s="25"/>
      <c r="CR349" s="25"/>
      <c r="CS349" s="25"/>
    </row>
    <row r="350" spans="2:97">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c r="AV350" s="25"/>
      <c r="AW350" s="25"/>
      <c r="AX350" s="25"/>
      <c r="AY350" s="25"/>
      <c r="AZ350" s="25"/>
      <c r="BA350" s="25"/>
      <c r="BB350" s="25"/>
      <c r="BC350" s="25"/>
      <c r="BD350" s="25"/>
      <c r="BE350" s="25"/>
      <c r="BF350" s="25"/>
      <c r="BG350" s="25"/>
      <c r="BH350" s="25"/>
      <c r="BI350" s="25"/>
      <c r="BJ350" s="25"/>
      <c r="BK350" s="25"/>
      <c r="BL350" s="25"/>
      <c r="BM350" s="25"/>
      <c r="BN350" s="25"/>
      <c r="BO350" s="25"/>
      <c r="BP350" s="25"/>
      <c r="BQ350" s="25"/>
      <c r="BR350" s="25"/>
      <c r="BS350" s="25"/>
      <c r="BT350" s="25"/>
      <c r="BU350" s="25"/>
      <c r="BV350" s="25"/>
      <c r="BW350" s="25"/>
      <c r="BX350" s="25"/>
      <c r="BY350" s="25"/>
      <c r="BZ350" s="25"/>
      <c r="CA350" s="25"/>
      <c r="CB350" s="25"/>
      <c r="CC350" s="25"/>
      <c r="CD350" s="25"/>
      <c r="CE350" s="25"/>
      <c r="CF350" s="25"/>
      <c r="CG350" s="25"/>
      <c r="CH350" s="25"/>
      <c r="CI350" s="25"/>
      <c r="CJ350" s="25"/>
      <c r="CK350" s="25"/>
      <c r="CL350" s="25"/>
      <c r="CM350" s="25"/>
      <c r="CN350" s="25"/>
      <c r="CO350" s="25"/>
      <c r="CP350" s="25"/>
      <c r="CQ350" s="25"/>
      <c r="CR350" s="25"/>
      <c r="CS350" s="25"/>
    </row>
    <row r="351" spans="2:97">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c r="AV351" s="25"/>
      <c r="AW351" s="25"/>
      <c r="AX351" s="25"/>
      <c r="AY351" s="25"/>
      <c r="AZ351" s="25"/>
      <c r="BA351" s="25"/>
      <c r="BB351" s="25"/>
      <c r="BC351" s="25"/>
      <c r="BD351" s="25"/>
      <c r="BE351" s="25"/>
      <c r="BF351" s="25"/>
      <c r="BG351" s="25"/>
      <c r="BH351" s="25"/>
      <c r="BI351" s="25"/>
      <c r="BJ351" s="25"/>
      <c r="BK351" s="25"/>
      <c r="BL351" s="25"/>
      <c r="BM351" s="25"/>
      <c r="BN351" s="25"/>
      <c r="BO351" s="25"/>
      <c r="BP351" s="25"/>
      <c r="BQ351" s="25"/>
      <c r="BR351" s="25"/>
      <c r="BS351" s="25"/>
      <c r="BT351" s="25"/>
      <c r="BU351" s="25"/>
      <c r="BV351" s="25"/>
      <c r="BW351" s="25"/>
      <c r="BX351" s="25"/>
      <c r="BY351" s="25"/>
      <c r="BZ351" s="25"/>
      <c r="CA351" s="25"/>
      <c r="CB351" s="25"/>
      <c r="CC351" s="25"/>
      <c r="CD351" s="25"/>
      <c r="CE351" s="25"/>
      <c r="CF351" s="25"/>
      <c r="CG351" s="25"/>
      <c r="CH351" s="25"/>
      <c r="CI351" s="25"/>
      <c r="CJ351" s="25"/>
      <c r="CK351" s="25"/>
      <c r="CL351" s="25"/>
      <c r="CM351" s="25"/>
      <c r="CN351" s="25"/>
      <c r="CO351" s="25"/>
      <c r="CP351" s="25"/>
      <c r="CQ351" s="25"/>
      <c r="CR351" s="25"/>
      <c r="CS351" s="25"/>
    </row>
    <row r="352" spans="2:97">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c r="AV352" s="25"/>
      <c r="AW352" s="25"/>
      <c r="AX352" s="25"/>
      <c r="AY352" s="25"/>
      <c r="AZ352" s="25"/>
      <c r="BA352" s="25"/>
      <c r="BB352" s="25"/>
      <c r="BC352" s="25"/>
      <c r="BD352" s="25"/>
      <c r="BE352" s="25"/>
      <c r="BF352" s="25"/>
      <c r="BG352" s="25"/>
      <c r="BH352" s="25"/>
      <c r="BI352" s="25"/>
      <c r="BJ352" s="25"/>
      <c r="BK352" s="25"/>
      <c r="BL352" s="25"/>
      <c r="BM352" s="25"/>
      <c r="BN352" s="25"/>
      <c r="BO352" s="25"/>
      <c r="BP352" s="25"/>
      <c r="BQ352" s="25"/>
      <c r="BR352" s="25"/>
      <c r="BS352" s="25"/>
      <c r="BT352" s="25"/>
      <c r="BU352" s="25"/>
      <c r="BV352" s="25"/>
      <c r="BW352" s="25"/>
      <c r="BX352" s="25"/>
      <c r="BY352" s="25"/>
      <c r="BZ352" s="25"/>
      <c r="CA352" s="25"/>
      <c r="CB352" s="25"/>
      <c r="CC352" s="25"/>
      <c r="CD352" s="25"/>
      <c r="CE352" s="25"/>
      <c r="CF352" s="25"/>
      <c r="CG352" s="25"/>
      <c r="CH352" s="25"/>
      <c r="CI352" s="25"/>
      <c r="CJ352" s="25"/>
      <c r="CK352" s="25"/>
      <c r="CL352" s="25"/>
      <c r="CM352" s="25"/>
      <c r="CN352" s="25"/>
      <c r="CO352" s="25"/>
      <c r="CP352" s="25"/>
      <c r="CQ352" s="25"/>
      <c r="CR352" s="25"/>
      <c r="CS352" s="25"/>
    </row>
    <row r="353" spans="2:97">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c r="AV353" s="25"/>
      <c r="AW353" s="25"/>
      <c r="AX353" s="25"/>
      <c r="AY353" s="25"/>
      <c r="AZ353" s="25"/>
      <c r="BA353" s="25"/>
      <c r="BB353" s="25"/>
      <c r="BC353" s="25"/>
      <c r="BD353" s="25"/>
      <c r="BE353" s="25"/>
      <c r="BF353" s="25"/>
      <c r="BG353" s="25"/>
      <c r="BH353" s="25"/>
      <c r="BI353" s="25"/>
      <c r="BJ353" s="25"/>
      <c r="BK353" s="25"/>
      <c r="BL353" s="25"/>
      <c r="BM353" s="25"/>
      <c r="BN353" s="25"/>
      <c r="BO353" s="25"/>
      <c r="BP353" s="25"/>
      <c r="BQ353" s="25"/>
      <c r="BR353" s="25"/>
      <c r="BS353" s="25"/>
      <c r="BT353" s="25"/>
      <c r="BU353" s="25"/>
      <c r="BV353" s="25"/>
      <c r="BW353" s="25"/>
      <c r="BX353" s="25"/>
      <c r="BY353" s="25"/>
      <c r="BZ353" s="25"/>
      <c r="CA353" s="25"/>
      <c r="CB353" s="25"/>
      <c r="CC353" s="25"/>
      <c r="CD353" s="25"/>
      <c r="CE353" s="25"/>
      <c r="CF353" s="25"/>
      <c r="CG353" s="25"/>
      <c r="CH353" s="25"/>
      <c r="CI353" s="25"/>
      <c r="CJ353" s="25"/>
      <c r="CK353" s="25"/>
      <c r="CL353" s="25"/>
      <c r="CM353" s="25"/>
      <c r="CN353" s="25"/>
      <c r="CO353" s="25"/>
      <c r="CP353" s="25"/>
      <c r="CQ353" s="25"/>
      <c r="CR353" s="25"/>
      <c r="CS353" s="25"/>
    </row>
    <row r="354" spans="2:97">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c r="AV354" s="25"/>
      <c r="AW354" s="25"/>
      <c r="AX354" s="25"/>
      <c r="AY354" s="25"/>
      <c r="AZ354" s="25"/>
      <c r="BA354" s="25"/>
      <c r="BB354" s="25"/>
      <c r="BC354" s="25"/>
      <c r="BD354" s="25"/>
      <c r="BE354" s="25"/>
      <c r="BF354" s="25"/>
      <c r="BG354" s="25"/>
      <c r="BH354" s="25"/>
      <c r="BI354" s="25"/>
      <c r="BJ354" s="25"/>
      <c r="BK354" s="25"/>
      <c r="BL354" s="25"/>
      <c r="BM354" s="25"/>
      <c r="BN354" s="25"/>
      <c r="BO354" s="25"/>
      <c r="BP354" s="25"/>
      <c r="BQ354" s="25"/>
      <c r="BR354" s="25"/>
      <c r="BS354" s="25"/>
      <c r="BT354" s="25"/>
      <c r="BU354" s="25"/>
      <c r="BV354" s="25"/>
      <c r="BW354" s="25"/>
      <c r="BX354" s="25"/>
      <c r="BY354" s="25"/>
      <c r="BZ354" s="25"/>
      <c r="CA354" s="25"/>
      <c r="CB354" s="25"/>
      <c r="CC354" s="25"/>
      <c r="CD354" s="25"/>
      <c r="CE354" s="25"/>
      <c r="CF354" s="25"/>
      <c r="CG354" s="25"/>
      <c r="CH354" s="25"/>
      <c r="CI354" s="25"/>
      <c r="CJ354" s="25"/>
      <c r="CK354" s="25"/>
      <c r="CL354" s="25"/>
      <c r="CM354" s="25"/>
      <c r="CN354" s="25"/>
      <c r="CO354" s="25"/>
      <c r="CP354" s="25"/>
      <c r="CQ354" s="25"/>
      <c r="CR354" s="25"/>
      <c r="CS354" s="25"/>
    </row>
    <row r="355" spans="2:97">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c r="AV355" s="25"/>
      <c r="AW355" s="25"/>
      <c r="AX355" s="25"/>
      <c r="AY355" s="25"/>
      <c r="AZ355" s="25"/>
      <c r="BA355" s="25"/>
      <c r="BB355" s="25"/>
      <c r="BC355" s="25"/>
      <c r="BD355" s="25"/>
      <c r="BE355" s="25"/>
      <c r="BF355" s="25"/>
      <c r="BG355" s="25"/>
      <c r="BH355" s="25"/>
      <c r="BI355" s="25"/>
      <c r="BJ355" s="25"/>
      <c r="BK355" s="25"/>
      <c r="BL355" s="25"/>
      <c r="BM355" s="25"/>
      <c r="BN355" s="25"/>
      <c r="BO355" s="25"/>
      <c r="BP355" s="25"/>
      <c r="BQ355" s="25"/>
      <c r="BR355" s="25"/>
      <c r="BS355" s="25"/>
      <c r="BT355" s="25"/>
      <c r="BU355" s="25"/>
      <c r="BV355" s="25"/>
      <c r="BW355" s="25"/>
      <c r="BX355" s="25"/>
      <c r="BY355" s="25"/>
      <c r="BZ355" s="25"/>
      <c r="CA355" s="25"/>
      <c r="CB355" s="25"/>
      <c r="CC355" s="25"/>
      <c r="CD355" s="25"/>
      <c r="CE355" s="25"/>
      <c r="CF355" s="25"/>
      <c r="CG355" s="25"/>
      <c r="CH355" s="25"/>
      <c r="CI355" s="25"/>
      <c r="CJ355" s="25"/>
      <c r="CK355" s="25"/>
      <c r="CL355" s="25"/>
      <c r="CM355" s="25"/>
      <c r="CN355" s="25"/>
      <c r="CO355" s="25"/>
      <c r="CP355" s="25"/>
      <c r="CQ355" s="25"/>
      <c r="CR355" s="25"/>
      <c r="CS355" s="25"/>
    </row>
    <row r="356" spans="2:97">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c r="AV356" s="25"/>
      <c r="AW356" s="25"/>
      <c r="AX356" s="25"/>
      <c r="AY356" s="25"/>
      <c r="AZ356" s="25"/>
      <c r="BA356" s="25"/>
      <c r="BB356" s="25"/>
      <c r="BC356" s="25"/>
      <c r="BD356" s="25"/>
      <c r="BE356" s="25"/>
      <c r="BF356" s="25"/>
      <c r="BG356" s="25"/>
      <c r="BH356" s="25"/>
      <c r="BI356" s="25"/>
      <c r="BJ356" s="25"/>
      <c r="BK356" s="25"/>
      <c r="BL356" s="25"/>
      <c r="BM356" s="25"/>
      <c r="BN356" s="25"/>
      <c r="BO356" s="25"/>
      <c r="BP356" s="25"/>
      <c r="BQ356" s="25"/>
      <c r="BR356" s="25"/>
      <c r="BS356" s="25"/>
      <c r="BT356" s="25"/>
      <c r="BU356" s="25"/>
      <c r="BV356" s="25"/>
      <c r="BW356" s="25"/>
      <c r="BX356" s="25"/>
      <c r="BY356" s="25"/>
      <c r="BZ356" s="25"/>
      <c r="CA356" s="25"/>
      <c r="CB356" s="25"/>
      <c r="CC356" s="25"/>
      <c r="CD356" s="25"/>
      <c r="CE356" s="25"/>
      <c r="CF356" s="25"/>
      <c r="CG356" s="25"/>
      <c r="CH356" s="25"/>
      <c r="CI356" s="25"/>
      <c r="CJ356" s="25"/>
      <c r="CK356" s="25"/>
      <c r="CL356" s="25"/>
      <c r="CM356" s="25"/>
      <c r="CN356" s="25"/>
      <c r="CO356" s="25"/>
      <c r="CP356" s="25"/>
      <c r="CQ356" s="25"/>
      <c r="CR356" s="25"/>
      <c r="CS356" s="25"/>
    </row>
    <row r="357" spans="2:97">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c r="AV357" s="25"/>
      <c r="AW357" s="25"/>
      <c r="AX357" s="25"/>
      <c r="AY357" s="25"/>
      <c r="AZ357" s="25"/>
      <c r="BA357" s="25"/>
      <c r="BB357" s="25"/>
      <c r="BC357" s="25"/>
      <c r="BD357" s="25"/>
      <c r="BE357" s="25"/>
      <c r="BF357" s="25"/>
      <c r="BG357" s="25"/>
      <c r="BH357" s="25"/>
      <c r="BI357" s="25"/>
      <c r="BJ357" s="25"/>
      <c r="BK357" s="25"/>
      <c r="BL357" s="25"/>
      <c r="BM357" s="25"/>
      <c r="BN357" s="25"/>
      <c r="BO357" s="25"/>
      <c r="BP357" s="25"/>
      <c r="BQ357" s="25"/>
      <c r="BR357" s="25"/>
      <c r="BS357" s="25"/>
      <c r="BT357" s="25"/>
      <c r="BU357" s="25"/>
      <c r="BV357" s="25"/>
      <c r="BW357" s="25"/>
      <c r="BX357" s="25"/>
      <c r="BY357" s="25"/>
      <c r="BZ357" s="25"/>
      <c r="CA357" s="25"/>
      <c r="CB357" s="25"/>
      <c r="CC357" s="25"/>
      <c r="CD357" s="25"/>
      <c r="CE357" s="25"/>
      <c r="CF357" s="25"/>
      <c r="CG357" s="25"/>
      <c r="CH357" s="25"/>
      <c r="CI357" s="25"/>
      <c r="CJ357" s="25"/>
      <c r="CK357" s="25"/>
      <c r="CL357" s="25"/>
      <c r="CM357" s="25"/>
      <c r="CN357" s="25"/>
      <c r="CO357" s="25"/>
      <c r="CP357" s="25"/>
      <c r="CQ357" s="25"/>
      <c r="CR357" s="25"/>
      <c r="CS357" s="25"/>
    </row>
    <row r="358" spans="2:97">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c r="AV358" s="25"/>
      <c r="AW358" s="25"/>
      <c r="AX358" s="25"/>
      <c r="AY358" s="25"/>
      <c r="AZ358" s="25"/>
      <c r="BA358" s="25"/>
      <c r="BB358" s="25"/>
      <c r="BC358" s="25"/>
      <c r="BD358" s="25"/>
      <c r="BE358" s="25"/>
      <c r="BF358" s="25"/>
      <c r="BG358" s="25"/>
      <c r="BH358" s="25"/>
      <c r="BI358" s="25"/>
      <c r="BJ358" s="25"/>
      <c r="BK358" s="25"/>
      <c r="BL358" s="25"/>
      <c r="BM358" s="25"/>
      <c r="BN358" s="25"/>
      <c r="BO358" s="25"/>
      <c r="BP358" s="25"/>
      <c r="BQ358" s="25"/>
      <c r="BR358" s="25"/>
      <c r="BS358" s="25"/>
      <c r="BT358" s="25"/>
      <c r="BU358" s="25"/>
      <c r="BV358" s="25"/>
      <c r="BW358" s="25"/>
      <c r="BX358" s="25"/>
      <c r="BY358" s="25"/>
      <c r="BZ358" s="25"/>
      <c r="CA358" s="25"/>
      <c r="CB358" s="25"/>
      <c r="CC358" s="25"/>
      <c r="CD358" s="25"/>
      <c r="CE358" s="25"/>
      <c r="CF358" s="25"/>
      <c r="CG358" s="25"/>
      <c r="CH358" s="25"/>
      <c r="CI358" s="25"/>
      <c r="CJ358" s="25"/>
      <c r="CK358" s="25"/>
      <c r="CL358" s="25"/>
      <c r="CM358" s="25"/>
      <c r="CN358" s="25"/>
      <c r="CO358" s="25"/>
      <c r="CP358" s="25"/>
      <c r="CQ358" s="25"/>
      <c r="CR358" s="25"/>
      <c r="CS358" s="25"/>
    </row>
    <row r="359" spans="2:97">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c r="AV359" s="25"/>
      <c r="AW359" s="25"/>
      <c r="AX359" s="25"/>
      <c r="AY359" s="25"/>
      <c r="AZ359" s="25"/>
      <c r="BA359" s="25"/>
      <c r="BB359" s="25"/>
      <c r="BC359" s="25"/>
      <c r="BD359" s="25"/>
      <c r="BE359" s="25"/>
      <c r="BF359" s="25"/>
      <c r="BG359" s="25"/>
      <c r="BH359" s="25"/>
      <c r="BI359" s="25"/>
      <c r="BJ359" s="25"/>
      <c r="BK359" s="25"/>
      <c r="BL359" s="25"/>
      <c r="BM359" s="25"/>
      <c r="BN359" s="25"/>
      <c r="BO359" s="25"/>
      <c r="BP359" s="25"/>
      <c r="BQ359" s="25"/>
      <c r="BR359" s="25"/>
      <c r="BS359" s="25"/>
      <c r="BT359" s="25"/>
      <c r="BU359" s="25"/>
      <c r="BV359" s="25"/>
      <c r="BW359" s="25"/>
      <c r="BX359" s="25"/>
      <c r="BY359" s="25"/>
      <c r="BZ359" s="25"/>
      <c r="CA359" s="25"/>
      <c r="CB359" s="25"/>
      <c r="CC359" s="25"/>
      <c r="CD359" s="25"/>
      <c r="CE359" s="25"/>
      <c r="CF359" s="25"/>
      <c r="CG359" s="25"/>
      <c r="CH359" s="25"/>
      <c r="CI359" s="25"/>
      <c r="CJ359" s="25"/>
      <c r="CK359" s="25"/>
      <c r="CL359" s="25"/>
      <c r="CM359" s="25"/>
      <c r="CN359" s="25"/>
      <c r="CO359" s="25"/>
      <c r="CP359" s="25"/>
      <c r="CQ359" s="25"/>
      <c r="CR359" s="25"/>
      <c r="CS359" s="25"/>
    </row>
    <row r="360" spans="2:97">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c r="AV360" s="25"/>
      <c r="AW360" s="25"/>
      <c r="AX360" s="25"/>
      <c r="AY360" s="25"/>
      <c r="AZ360" s="25"/>
      <c r="BA360" s="25"/>
      <c r="BB360" s="25"/>
      <c r="BC360" s="25"/>
      <c r="BD360" s="25"/>
      <c r="BE360" s="25"/>
      <c r="BF360" s="25"/>
      <c r="BG360" s="25"/>
      <c r="BH360" s="25"/>
      <c r="BI360" s="25"/>
      <c r="BJ360" s="25"/>
      <c r="BK360" s="25"/>
      <c r="BL360" s="25"/>
      <c r="BM360" s="25"/>
      <c r="BN360" s="25"/>
      <c r="BO360" s="25"/>
      <c r="BP360" s="25"/>
      <c r="BQ360" s="25"/>
      <c r="BR360" s="25"/>
      <c r="BS360" s="25"/>
      <c r="BT360" s="25"/>
      <c r="BU360" s="25"/>
      <c r="BV360" s="25"/>
      <c r="BW360" s="25"/>
      <c r="BX360" s="25"/>
      <c r="BY360" s="25"/>
      <c r="BZ360" s="25"/>
      <c r="CA360" s="25"/>
      <c r="CB360" s="25"/>
      <c r="CC360" s="25"/>
      <c r="CD360" s="25"/>
      <c r="CE360" s="25"/>
      <c r="CF360" s="25"/>
      <c r="CG360" s="25"/>
      <c r="CH360" s="25"/>
      <c r="CI360" s="25"/>
      <c r="CJ360" s="25"/>
      <c r="CK360" s="25"/>
      <c r="CL360" s="25"/>
      <c r="CM360" s="25"/>
      <c r="CN360" s="25"/>
      <c r="CO360" s="25"/>
      <c r="CP360" s="25"/>
      <c r="CQ360" s="25"/>
      <c r="CR360" s="25"/>
      <c r="CS360" s="25"/>
    </row>
    <row r="361" spans="2:97">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c r="AV361" s="25"/>
      <c r="AW361" s="25"/>
      <c r="AX361" s="25"/>
      <c r="AY361" s="25"/>
      <c r="AZ361" s="25"/>
      <c r="BA361" s="25"/>
      <c r="BB361" s="25"/>
      <c r="BC361" s="25"/>
      <c r="BD361" s="25"/>
      <c r="BE361" s="25"/>
      <c r="BF361" s="25"/>
      <c r="BG361" s="25"/>
      <c r="BH361" s="25"/>
      <c r="BI361" s="25"/>
      <c r="BJ361" s="25"/>
      <c r="BK361" s="25"/>
      <c r="BL361" s="25"/>
      <c r="BM361" s="25"/>
      <c r="BN361" s="25"/>
      <c r="BO361" s="25"/>
      <c r="BP361" s="25"/>
      <c r="BQ361" s="25"/>
      <c r="BR361" s="25"/>
      <c r="BS361" s="25"/>
      <c r="BT361" s="25"/>
      <c r="BU361" s="25"/>
      <c r="BV361" s="25"/>
      <c r="BW361" s="25"/>
      <c r="BX361" s="25"/>
      <c r="BY361" s="25"/>
      <c r="BZ361" s="25"/>
      <c r="CA361" s="25"/>
      <c r="CB361" s="25"/>
      <c r="CC361" s="25"/>
      <c r="CD361" s="25"/>
      <c r="CE361" s="25"/>
      <c r="CF361" s="25"/>
      <c r="CG361" s="25"/>
      <c r="CH361" s="25"/>
      <c r="CI361" s="25"/>
      <c r="CJ361" s="25"/>
      <c r="CK361" s="25"/>
      <c r="CL361" s="25"/>
      <c r="CM361" s="25"/>
      <c r="CN361" s="25"/>
      <c r="CO361" s="25"/>
      <c r="CP361" s="25"/>
      <c r="CQ361" s="25"/>
      <c r="CR361" s="25"/>
      <c r="CS361" s="25"/>
    </row>
    <row r="362" spans="2:97">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c r="AV362" s="25"/>
      <c r="AW362" s="25"/>
      <c r="AX362" s="25"/>
      <c r="AY362" s="25"/>
      <c r="AZ362" s="25"/>
      <c r="BA362" s="25"/>
      <c r="BB362" s="25"/>
      <c r="BC362" s="25"/>
      <c r="BD362" s="25"/>
      <c r="BE362" s="25"/>
      <c r="BF362" s="25"/>
      <c r="BG362" s="25"/>
      <c r="BH362" s="25"/>
      <c r="BI362" s="25"/>
      <c r="BJ362" s="25"/>
      <c r="BK362" s="25"/>
      <c r="BL362" s="25"/>
      <c r="BM362" s="25"/>
      <c r="BN362" s="25"/>
      <c r="BO362" s="25"/>
      <c r="BP362" s="25"/>
      <c r="BQ362" s="25"/>
      <c r="BR362" s="25"/>
      <c r="BS362" s="25"/>
      <c r="BT362" s="25"/>
      <c r="BU362" s="25"/>
      <c r="BV362" s="25"/>
      <c r="BW362" s="25"/>
      <c r="BX362" s="25"/>
      <c r="BY362" s="25"/>
      <c r="BZ362" s="25"/>
      <c r="CA362" s="25"/>
      <c r="CB362" s="25"/>
      <c r="CC362" s="25"/>
      <c r="CD362" s="25"/>
      <c r="CE362" s="25"/>
      <c r="CF362" s="25"/>
      <c r="CG362" s="25"/>
      <c r="CH362" s="25"/>
      <c r="CI362" s="25"/>
      <c r="CJ362" s="25"/>
      <c r="CK362" s="25"/>
      <c r="CL362" s="25"/>
      <c r="CM362" s="25"/>
      <c r="CN362" s="25"/>
      <c r="CO362" s="25"/>
      <c r="CP362" s="25"/>
      <c r="CQ362" s="25"/>
      <c r="CR362" s="25"/>
      <c r="CS362" s="25"/>
    </row>
    <row r="363" spans="2:97">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c r="AV363" s="25"/>
      <c r="AW363" s="25"/>
      <c r="AX363" s="25"/>
      <c r="AY363" s="25"/>
      <c r="AZ363" s="25"/>
      <c r="BA363" s="25"/>
      <c r="BB363" s="25"/>
      <c r="BC363" s="25"/>
      <c r="BD363" s="25"/>
      <c r="BE363" s="25"/>
      <c r="BF363" s="25"/>
      <c r="BG363" s="25"/>
      <c r="BH363" s="25"/>
      <c r="BI363" s="25"/>
      <c r="BJ363" s="25"/>
      <c r="BK363" s="25"/>
      <c r="BL363" s="25"/>
      <c r="BM363" s="25"/>
      <c r="BN363" s="25"/>
      <c r="BO363" s="25"/>
      <c r="BP363" s="25"/>
      <c r="BQ363" s="25"/>
      <c r="BR363" s="25"/>
      <c r="BS363" s="25"/>
      <c r="BT363" s="25"/>
      <c r="BU363" s="25"/>
      <c r="BV363" s="25"/>
      <c r="BW363" s="25"/>
      <c r="BX363" s="25"/>
      <c r="BY363" s="25"/>
      <c r="BZ363" s="25"/>
      <c r="CA363" s="25"/>
      <c r="CB363" s="25"/>
      <c r="CC363" s="25"/>
      <c r="CD363" s="25"/>
      <c r="CE363" s="25"/>
      <c r="CF363" s="25"/>
      <c r="CG363" s="25"/>
      <c r="CH363" s="25"/>
      <c r="CI363" s="25"/>
      <c r="CJ363" s="25"/>
      <c r="CK363" s="25"/>
      <c r="CL363" s="25"/>
      <c r="CM363" s="25"/>
      <c r="CN363" s="25"/>
      <c r="CO363" s="25"/>
      <c r="CP363" s="25"/>
      <c r="CQ363" s="25"/>
      <c r="CR363" s="25"/>
      <c r="CS363" s="25"/>
    </row>
    <row r="364" spans="2:97">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c r="AV364" s="25"/>
      <c r="AW364" s="25"/>
      <c r="AX364" s="25"/>
      <c r="AY364" s="25"/>
      <c r="AZ364" s="25"/>
      <c r="BA364" s="25"/>
      <c r="BB364" s="25"/>
      <c r="BC364" s="25"/>
      <c r="BD364" s="25"/>
      <c r="BE364" s="25"/>
      <c r="BF364" s="25"/>
      <c r="BG364" s="25"/>
      <c r="BH364" s="25"/>
      <c r="BI364" s="25"/>
      <c r="BJ364" s="25"/>
      <c r="BK364" s="25"/>
      <c r="BL364" s="25"/>
      <c r="BM364" s="25"/>
      <c r="BN364" s="25"/>
      <c r="BO364" s="25"/>
      <c r="BP364" s="25"/>
      <c r="BQ364" s="25"/>
      <c r="BR364" s="25"/>
      <c r="BS364" s="25"/>
      <c r="BT364" s="25"/>
      <c r="BU364" s="25"/>
      <c r="BV364" s="25"/>
      <c r="BW364" s="25"/>
      <c r="BX364" s="25"/>
      <c r="BY364" s="25"/>
      <c r="BZ364" s="25"/>
      <c r="CA364" s="25"/>
      <c r="CB364" s="25"/>
      <c r="CC364" s="25"/>
      <c r="CD364" s="25"/>
      <c r="CE364" s="25"/>
      <c r="CF364" s="25"/>
      <c r="CG364" s="25"/>
      <c r="CH364" s="25"/>
      <c r="CI364" s="25"/>
      <c r="CJ364" s="25"/>
      <c r="CK364" s="25"/>
      <c r="CL364" s="25"/>
      <c r="CM364" s="25"/>
      <c r="CN364" s="25"/>
      <c r="CO364" s="25"/>
      <c r="CP364" s="25"/>
      <c r="CQ364" s="25"/>
      <c r="CR364" s="25"/>
      <c r="CS364" s="25"/>
    </row>
    <row r="365" spans="2:97">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c r="AV365" s="25"/>
      <c r="AW365" s="25"/>
      <c r="AX365" s="25"/>
      <c r="AY365" s="25"/>
      <c r="AZ365" s="25"/>
      <c r="BA365" s="25"/>
      <c r="BB365" s="25"/>
      <c r="BC365" s="25"/>
      <c r="BD365" s="25"/>
      <c r="BE365" s="25"/>
      <c r="BF365" s="25"/>
      <c r="BG365" s="25"/>
      <c r="BH365" s="25"/>
      <c r="BI365" s="25"/>
      <c r="BJ365" s="25"/>
      <c r="BK365" s="25"/>
      <c r="BL365" s="25"/>
      <c r="BM365" s="25"/>
      <c r="BN365" s="25"/>
      <c r="BO365" s="25"/>
      <c r="BP365" s="25"/>
      <c r="BQ365" s="25"/>
      <c r="BR365" s="25"/>
      <c r="BS365" s="25"/>
      <c r="BT365" s="25"/>
      <c r="BU365" s="25"/>
      <c r="BV365" s="25"/>
      <c r="BW365" s="25"/>
      <c r="BX365" s="25"/>
      <c r="BY365" s="25"/>
      <c r="BZ365" s="25"/>
      <c r="CA365" s="25"/>
      <c r="CB365" s="25"/>
      <c r="CC365" s="25"/>
      <c r="CD365" s="25"/>
      <c r="CE365" s="25"/>
      <c r="CF365" s="25"/>
      <c r="CG365" s="25"/>
      <c r="CH365" s="25"/>
      <c r="CI365" s="25"/>
      <c r="CJ365" s="25"/>
      <c r="CK365" s="25"/>
      <c r="CL365" s="25"/>
      <c r="CM365" s="25"/>
      <c r="CN365" s="25"/>
      <c r="CO365" s="25"/>
      <c r="CP365" s="25"/>
      <c r="CQ365" s="25"/>
      <c r="CR365" s="25"/>
      <c r="CS365" s="25"/>
    </row>
    <row r="366" spans="2:97">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c r="AV366" s="25"/>
      <c r="AW366" s="25"/>
      <c r="AX366" s="25"/>
      <c r="AY366" s="25"/>
      <c r="AZ366" s="25"/>
      <c r="BA366" s="25"/>
      <c r="BB366" s="25"/>
      <c r="BC366" s="25"/>
      <c r="BD366" s="25"/>
      <c r="BE366" s="25"/>
      <c r="BF366" s="25"/>
      <c r="BG366" s="25"/>
      <c r="BH366" s="25"/>
      <c r="BI366" s="25"/>
      <c r="BJ366" s="25"/>
      <c r="BK366" s="25"/>
      <c r="BL366" s="25"/>
      <c r="BM366" s="25"/>
      <c r="BN366" s="25"/>
      <c r="BO366" s="25"/>
      <c r="BP366" s="25"/>
      <c r="BQ366" s="25"/>
      <c r="BR366" s="25"/>
      <c r="BS366" s="25"/>
      <c r="BT366" s="25"/>
      <c r="BU366" s="25"/>
      <c r="BV366" s="25"/>
      <c r="BW366" s="25"/>
      <c r="BX366" s="25"/>
      <c r="BY366" s="25"/>
      <c r="BZ366" s="25"/>
      <c r="CA366" s="25"/>
      <c r="CB366" s="25"/>
      <c r="CC366" s="25"/>
      <c r="CD366" s="25"/>
      <c r="CE366" s="25"/>
      <c r="CF366" s="25"/>
      <c r="CG366" s="25"/>
      <c r="CH366" s="25"/>
      <c r="CI366" s="25"/>
      <c r="CJ366" s="25"/>
      <c r="CK366" s="25"/>
      <c r="CL366" s="25"/>
      <c r="CM366" s="25"/>
      <c r="CN366" s="25"/>
      <c r="CO366" s="25"/>
      <c r="CP366" s="25"/>
      <c r="CQ366" s="25"/>
      <c r="CR366" s="25"/>
      <c r="CS366" s="25"/>
    </row>
    <row r="367" spans="2:97">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c r="AV367" s="25"/>
      <c r="AW367" s="25"/>
      <c r="AX367" s="25"/>
      <c r="AY367" s="25"/>
      <c r="AZ367" s="25"/>
      <c r="BA367" s="25"/>
      <c r="BB367" s="25"/>
      <c r="BC367" s="25"/>
      <c r="BD367" s="25"/>
      <c r="BE367" s="25"/>
      <c r="BF367" s="25"/>
      <c r="BG367" s="25"/>
      <c r="BH367" s="25"/>
      <c r="BI367" s="25"/>
      <c r="BJ367" s="25"/>
      <c r="BK367" s="25"/>
      <c r="BL367" s="25"/>
      <c r="BM367" s="25"/>
      <c r="BN367" s="25"/>
      <c r="BO367" s="25"/>
      <c r="BP367" s="25"/>
      <c r="BQ367" s="25"/>
      <c r="BR367" s="25"/>
      <c r="BS367" s="25"/>
      <c r="BT367" s="25"/>
      <c r="BU367" s="25"/>
      <c r="BV367" s="25"/>
      <c r="BW367" s="25"/>
      <c r="BX367" s="25"/>
      <c r="BY367" s="25"/>
      <c r="BZ367" s="25"/>
      <c r="CA367" s="25"/>
      <c r="CB367" s="25"/>
      <c r="CC367" s="25"/>
      <c r="CD367" s="25"/>
      <c r="CE367" s="25"/>
      <c r="CF367" s="25"/>
      <c r="CG367" s="25"/>
      <c r="CH367" s="25"/>
      <c r="CI367" s="25"/>
      <c r="CJ367" s="25"/>
      <c r="CK367" s="25"/>
      <c r="CL367" s="25"/>
      <c r="CM367" s="25"/>
      <c r="CN367" s="25"/>
      <c r="CO367" s="25"/>
      <c r="CP367" s="25"/>
      <c r="CQ367" s="25"/>
      <c r="CR367" s="25"/>
      <c r="CS367" s="25"/>
    </row>
    <row r="368" spans="2:97">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c r="AV368" s="25"/>
      <c r="AW368" s="25"/>
      <c r="AX368" s="25"/>
      <c r="AY368" s="25"/>
      <c r="AZ368" s="25"/>
      <c r="BA368" s="25"/>
      <c r="BB368" s="25"/>
      <c r="BC368" s="25"/>
      <c r="BD368" s="25"/>
      <c r="BE368" s="25"/>
      <c r="BF368" s="25"/>
      <c r="BG368" s="25"/>
      <c r="BH368" s="25"/>
      <c r="BI368" s="25"/>
      <c r="BJ368" s="25"/>
      <c r="BK368" s="25"/>
      <c r="BL368" s="25"/>
      <c r="BM368" s="25"/>
      <c r="BN368" s="25"/>
      <c r="BO368" s="25"/>
      <c r="BP368" s="25"/>
      <c r="BQ368" s="25"/>
      <c r="BR368" s="25"/>
      <c r="BS368" s="25"/>
      <c r="BT368" s="25"/>
      <c r="BU368" s="25"/>
      <c r="BV368" s="25"/>
      <c r="BW368" s="25"/>
      <c r="BX368" s="25"/>
      <c r="BY368" s="25"/>
      <c r="BZ368" s="25"/>
      <c r="CA368" s="25"/>
      <c r="CB368" s="25"/>
      <c r="CC368" s="25"/>
      <c r="CD368" s="25"/>
      <c r="CE368" s="25"/>
      <c r="CF368" s="25"/>
      <c r="CG368" s="25"/>
      <c r="CH368" s="25"/>
      <c r="CI368" s="25"/>
      <c r="CJ368" s="25"/>
      <c r="CK368" s="25"/>
      <c r="CL368" s="25"/>
      <c r="CM368" s="25"/>
      <c r="CN368" s="25"/>
      <c r="CO368" s="25"/>
      <c r="CP368" s="25"/>
      <c r="CQ368" s="25"/>
      <c r="CR368" s="25"/>
      <c r="CS368" s="25"/>
    </row>
    <row r="369" spans="2:97">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c r="AV369" s="25"/>
      <c r="AW369" s="25"/>
      <c r="AX369" s="25"/>
      <c r="AY369" s="25"/>
      <c r="AZ369" s="25"/>
      <c r="BA369" s="25"/>
      <c r="BB369" s="25"/>
      <c r="BC369" s="25"/>
      <c r="BD369" s="25"/>
      <c r="BE369" s="25"/>
      <c r="BF369" s="25"/>
      <c r="BG369" s="25"/>
      <c r="BH369" s="25"/>
      <c r="BI369" s="25"/>
      <c r="BJ369" s="25"/>
      <c r="BK369" s="25"/>
      <c r="BL369" s="25"/>
      <c r="BM369" s="25"/>
      <c r="BN369" s="25"/>
      <c r="BO369" s="25"/>
      <c r="BP369" s="25"/>
      <c r="BQ369" s="25"/>
      <c r="BR369" s="25"/>
      <c r="BS369" s="25"/>
      <c r="BT369" s="25"/>
      <c r="BU369" s="25"/>
      <c r="BV369" s="25"/>
      <c r="BW369" s="25"/>
      <c r="BX369" s="25"/>
      <c r="BY369" s="25"/>
      <c r="BZ369" s="25"/>
      <c r="CA369" s="25"/>
      <c r="CB369" s="25"/>
      <c r="CC369" s="25"/>
      <c r="CD369" s="25"/>
      <c r="CE369" s="25"/>
      <c r="CF369" s="25"/>
      <c r="CG369" s="25"/>
      <c r="CH369" s="25"/>
      <c r="CI369" s="25"/>
      <c r="CJ369" s="25"/>
      <c r="CK369" s="25"/>
      <c r="CL369" s="25"/>
      <c r="CM369" s="25"/>
      <c r="CN369" s="25"/>
      <c r="CO369" s="25"/>
      <c r="CP369" s="25"/>
      <c r="CQ369" s="25"/>
      <c r="CR369" s="25"/>
      <c r="CS369" s="25"/>
    </row>
    <row r="370" spans="2:97">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c r="AV370" s="25"/>
      <c r="AW370" s="25"/>
      <c r="AX370" s="25"/>
      <c r="AY370" s="25"/>
      <c r="AZ370" s="25"/>
      <c r="BA370" s="25"/>
      <c r="BB370" s="25"/>
      <c r="BC370" s="25"/>
      <c r="BD370" s="25"/>
      <c r="BE370" s="25"/>
      <c r="BF370" s="25"/>
      <c r="BG370" s="25"/>
      <c r="BH370" s="25"/>
      <c r="BI370" s="25"/>
      <c r="BJ370" s="25"/>
      <c r="BK370" s="25"/>
      <c r="BL370" s="25"/>
      <c r="BM370" s="25"/>
      <c r="BN370" s="25"/>
      <c r="BO370" s="25"/>
      <c r="BP370" s="25"/>
      <c r="BQ370" s="25"/>
      <c r="BR370" s="25"/>
      <c r="BS370" s="25"/>
      <c r="BT370" s="25"/>
      <c r="BU370" s="25"/>
      <c r="BV370" s="25"/>
      <c r="BW370" s="25"/>
      <c r="BX370" s="25"/>
      <c r="BY370" s="25"/>
      <c r="BZ370" s="25"/>
      <c r="CA370" s="25"/>
      <c r="CB370" s="25"/>
      <c r="CC370" s="25"/>
      <c r="CD370" s="25"/>
      <c r="CE370" s="25"/>
      <c r="CF370" s="25"/>
      <c r="CG370" s="25"/>
      <c r="CH370" s="25"/>
      <c r="CI370" s="25"/>
      <c r="CJ370" s="25"/>
      <c r="CK370" s="25"/>
      <c r="CL370" s="25"/>
      <c r="CM370" s="25"/>
      <c r="CN370" s="25"/>
      <c r="CO370" s="25"/>
      <c r="CP370" s="25"/>
      <c r="CQ370" s="25"/>
      <c r="CR370" s="25"/>
      <c r="CS370" s="25"/>
    </row>
    <row r="371" spans="2:97">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c r="AV371" s="25"/>
      <c r="AW371" s="25"/>
      <c r="AX371" s="25"/>
      <c r="AY371" s="25"/>
      <c r="AZ371" s="25"/>
      <c r="BA371" s="25"/>
      <c r="BB371" s="25"/>
      <c r="BC371" s="25"/>
      <c r="BD371" s="25"/>
      <c r="BE371" s="25"/>
      <c r="BF371" s="25"/>
      <c r="BG371" s="25"/>
      <c r="BH371" s="25"/>
      <c r="BI371" s="25"/>
      <c r="BJ371" s="25"/>
      <c r="BK371" s="25"/>
      <c r="BL371" s="25"/>
      <c r="BM371" s="25"/>
      <c r="BN371" s="25"/>
      <c r="BO371" s="25"/>
      <c r="BP371" s="25"/>
      <c r="BQ371" s="25"/>
      <c r="BR371" s="25"/>
      <c r="BS371" s="25"/>
      <c r="BT371" s="25"/>
      <c r="BU371" s="25"/>
      <c r="BV371" s="25"/>
      <c r="BW371" s="25"/>
      <c r="BX371" s="25"/>
      <c r="BY371" s="25"/>
      <c r="BZ371" s="25"/>
      <c r="CA371" s="25"/>
      <c r="CB371" s="25"/>
      <c r="CC371" s="25"/>
      <c r="CD371" s="25"/>
      <c r="CE371" s="25"/>
      <c r="CF371" s="25"/>
      <c r="CG371" s="25"/>
      <c r="CH371" s="25"/>
      <c r="CI371" s="25"/>
      <c r="CJ371" s="25"/>
      <c r="CK371" s="25"/>
      <c r="CL371" s="25"/>
      <c r="CM371" s="25"/>
      <c r="CN371" s="25"/>
      <c r="CO371" s="25"/>
      <c r="CP371" s="25"/>
      <c r="CQ371" s="25"/>
      <c r="CR371" s="25"/>
      <c r="CS371" s="25"/>
    </row>
    <row r="372" spans="2:97">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c r="AV372" s="25"/>
      <c r="AW372" s="25"/>
      <c r="AX372" s="25"/>
      <c r="AY372" s="25"/>
      <c r="AZ372" s="25"/>
      <c r="BA372" s="25"/>
      <c r="BB372" s="25"/>
      <c r="BC372" s="25"/>
      <c r="BD372" s="25"/>
      <c r="BE372" s="25"/>
      <c r="BF372" s="25"/>
      <c r="BG372" s="25"/>
      <c r="BH372" s="25"/>
      <c r="BI372" s="25"/>
      <c r="BJ372" s="25"/>
      <c r="BK372" s="25"/>
      <c r="BL372" s="25"/>
      <c r="BM372" s="25"/>
      <c r="BN372" s="25"/>
      <c r="BO372" s="25"/>
      <c r="BP372" s="25"/>
      <c r="BQ372" s="25"/>
      <c r="BR372" s="25"/>
      <c r="BS372" s="25"/>
      <c r="BT372" s="25"/>
      <c r="BU372" s="25"/>
      <c r="BV372" s="25"/>
      <c r="BW372" s="25"/>
      <c r="BX372" s="25"/>
      <c r="BY372" s="25"/>
      <c r="BZ372" s="25"/>
      <c r="CA372" s="25"/>
      <c r="CB372" s="25"/>
      <c r="CC372" s="25"/>
      <c r="CD372" s="25"/>
      <c r="CE372" s="25"/>
      <c r="CF372" s="25"/>
      <c r="CG372" s="25"/>
      <c r="CH372" s="25"/>
      <c r="CI372" s="25"/>
      <c r="CJ372" s="25"/>
      <c r="CK372" s="25"/>
      <c r="CL372" s="25"/>
      <c r="CM372" s="25"/>
      <c r="CN372" s="25"/>
      <c r="CO372" s="25"/>
      <c r="CP372" s="25"/>
      <c r="CQ372" s="25"/>
      <c r="CR372" s="25"/>
      <c r="CS372" s="25"/>
    </row>
    <row r="373" spans="2:97">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c r="AV373" s="25"/>
      <c r="AW373" s="25"/>
      <c r="AX373" s="25"/>
      <c r="AY373" s="25"/>
      <c r="AZ373" s="25"/>
      <c r="BA373" s="25"/>
      <c r="BB373" s="25"/>
      <c r="BC373" s="25"/>
      <c r="BD373" s="25"/>
      <c r="BE373" s="25"/>
      <c r="BF373" s="25"/>
      <c r="BG373" s="25"/>
      <c r="BH373" s="25"/>
      <c r="BI373" s="25"/>
      <c r="BJ373" s="25"/>
      <c r="BK373" s="25"/>
      <c r="BL373" s="25"/>
      <c r="BM373" s="25"/>
      <c r="BN373" s="25"/>
      <c r="BO373" s="25"/>
      <c r="BP373" s="25"/>
      <c r="BQ373" s="25"/>
      <c r="BR373" s="25"/>
      <c r="BS373" s="25"/>
      <c r="BT373" s="25"/>
      <c r="BU373" s="25"/>
      <c r="BV373" s="25"/>
      <c r="BW373" s="25"/>
      <c r="BX373" s="25"/>
      <c r="BY373" s="25"/>
      <c r="BZ373" s="25"/>
      <c r="CA373" s="25"/>
      <c r="CB373" s="25"/>
      <c r="CC373" s="25"/>
      <c r="CD373" s="25"/>
      <c r="CE373" s="25"/>
      <c r="CF373" s="25"/>
      <c r="CG373" s="25"/>
      <c r="CH373" s="25"/>
      <c r="CI373" s="25"/>
      <c r="CJ373" s="25"/>
      <c r="CK373" s="25"/>
      <c r="CL373" s="25"/>
      <c r="CM373" s="25"/>
      <c r="CN373" s="25"/>
      <c r="CO373" s="25"/>
      <c r="CP373" s="25"/>
      <c r="CQ373" s="25"/>
      <c r="CR373" s="25"/>
      <c r="CS373" s="25"/>
    </row>
    <row r="374" spans="2:97">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c r="AV374" s="25"/>
      <c r="AW374" s="25"/>
      <c r="AX374" s="25"/>
      <c r="AY374" s="25"/>
      <c r="AZ374" s="25"/>
      <c r="BA374" s="25"/>
      <c r="BB374" s="25"/>
      <c r="BC374" s="25"/>
      <c r="BD374" s="25"/>
      <c r="BE374" s="25"/>
      <c r="BF374" s="25"/>
      <c r="BG374" s="25"/>
      <c r="BH374" s="25"/>
      <c r="BI374" s="25"/>
      <c r="BJ374" s="25"/>
      <c r="BK374" s="25"/>
      <c r="BL374" s="25"/>
      <c r="BM374" s="25"/>
      <c r="BN374" s="25"/>
      <c r="BO374" s="25"/>
      <c r="BP374" s="25"/>
      <c r="BQ374" s="25"/>
      <c r="BR374" s="25"/>
      <c r="BS374" s="25"/>
      <c r="BT374" s="25"/>
      <c r="BU374" s="25"/>
      <c r="BV374" s="25"/>
      <c r="BW374" s="25"/>
      <c r="BX374" s="25"/>
      <c r="BY374" s="25"/>
      <c r="BZ374" s="25"/>
      <c r="CA374" s="25"/>
      <c r="CB374" s="25"/>
      <c r="CC374" s="25"/>
      <c r="CD374" s="25"/>
      <c r="CE374" s="25"/>
      <c r="CF374" s="25"/>
      <c r="CG374" s="25"/>
      <c r="CH374" s="25"/>
      <c r="CI374" s="25"/>
      <c r="CJ374" s="25"/>
      <c r="CK374" s="25"/>
      <c r="CL374" s="25"/>
      <c r="CM374" s="25"/>
      <c r="CN374" s="25"/>
      <c r="CO374" s="25"/>
      <c r="CP374" s="25"/>
      <c r="CQ374" s="25"/>
      <c r="CR374" s="25"/>
      <c r="CS374" s="25"/>
    </row>
    <row r="375" spans="2:97">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c r="AV375" s="25"/>
      <c r="AW375" s="25"/>
      <c r="AX375" s="25"/>
      <c r="AY375" s="25"/>
      <c r="AZ375" s="25"/>
      <c r="BA375" s="25"/>
      <c r="BB375" s="25"/>
      <c r="BC375" s="25"/>
      <c r="BD375" s="25"/>
      <c r="BE375" s="25"/>
      <c r="BF375" s="25"/>
      <c r="BG375" s="25"/>
      <c r="BH375" s="25"/>
      <c r="BI375" s="25"/>
      <c r="BJ375" s="25"/>
      <c r="BK375" s="25"/>
      <c r="BL375" s="25"/>
      <c r="BM375" s="25"/>
      <c r="BN375" s="25"/>
      <c r="BO375" s="25"/>
      <c r="BP375" s="25"/>
      <c r="BQ375" s="25"/>
      <c r="BR375" s="25"/>
      <c r="BS375" s="25"/>
      <c r="BT375" s="25"/>
      <c r="BU375" s="25"/>
      <c r="BV375" s="25"/>
      <c r="BW375" s="25"/>
      <c r="BX375" s="25"/>
      <c r="BY375" s="25"/>
      <c r="BZ375" s="25"/>
      <c r="CA375" s="25"/>
      <c r="CB375" s="25"/>
      <c r="CC375" s="25"/>
      <c r="CD375" s="25"/>
      <c r="CE375" s="25"/>
      <c r="CF375" s="25"/>
      <c r="CG375" s="25"/>
      <c r="CH375" s="25"/>
      <c r="CI375" s="25"/>
      <c r="CJ375" s="25"/>
      <c r="CK375" s="25"/>
      <c r="CL375" s="25"/>
      <c r="CM375" s="25"/>
      <c r="CN375" s="25"/>
      <c r="CO375" s="25"/>
      <c r="CP375" s="25"/>
      <c r="CQ375" s="25"/>
      <c r="CR375" s="25"/>
      <c r="CS375" s="25"/>
    </row>
    <row r="376" spans="2:97">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c r="AV376" s="25"/>
      <c r="AW376" s="25"/>
      <c r="AX376" s="25"/>
      <c r="AY376" s="25"/>
      <c r="AZ376" s="25"/>
      <c r="BA376" s="25"/>
      <c r="BB376" s="25"/>
      <c r="BC376" s="25"/>
      <c r="BD376" s="25"/>
      <c r="BE376" s="25"/>
      <c r="BF376" s="25"/>
      <c r="BG376" s="25"/>
      <c r="BH376" s="25"/>
      <c r="BI376" s="25"/>
      <c r="BJ376" s="25"/>
      <c r="BK376" s="25"/>
      <c r="BL376" s="25"/>
      <c r="BM376" s="25"/>
      <c r="BN376" s="25"/>
      <c r="BO376" s="25"/>
      <c r="BP376" s="25"/>
      <c r="BQ376" s="25"/>
      <c r="BR376" s="25"/>
      <c r="BS376" s="25"/>
      <c r="BT376" s="25"/>
      <c r="BU376" s="25"/>
      <c r="BV376" s="25"/>
      <c r="BW376" s="25"/>
      <c r="BX376" s="25"/>
      <c r="BY376" s="25"/>
      <c r="BZ376" s="25"/>
      <c r="CA376" s="25"/>
      <c r="CB376" s="25"/>
      <c r="CC376" s="25"/>
      <c r="CD376" s="25"/>
      <c r="CE376" s="25"/>
      <c r="CF376" s="25"/>
      <c r="CG376" s="25"/>
      <c r="CH376" s="25"/>
      <c r="CI376" s="25"/>
      <c r="CJ376" s="25"/>
      <c r="CK376" s="25"/>
      <c r="CL376" s="25"/>
      <c r="CM376" s="25"/>
      <c r="CN376" s="25"/>
      <c r="CO376" s="25"/>
      <c r="CP376" s="25"/>
      <c r="CQ376" s="25"/>
      <c r="CR376" s="25"/>
      <c r="CS376" s="25"/>
    </row>
    <row r="377" spans="2:97">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c r="AV377" s="25"/>
      <c r="AW377" s="25"/>
      <c r="AX377" s="25"/>
      <c r="AY377" s="25"/>
      <c r="AZ377" s="25"/>
      <c r="BA377" s="25"/>
      <c r="BB377" s="25"/>
      <c r="BC377" s="25"/>
      <c r="BD377" s="25"/>
      <c r="BE377" s="25"/>
      <c r="BF377" s="25"/>
      <c r="BG377" s="25"/>
      <c r="BH377" s="25"/>
      <c r="BI377" s="25"/>
      <c r="BJ377" s="25"/>
      <c r="BK377" s="25"/>
      <c r="BL377" s="25"/>
      <c r="BM377" s="25"/>
      <c r="BN377" s="25"/>
      <c r="BO377" s="25"/>
      <c r="BP377" s="25"/>
      <c r="BQ377" s="25"/>
      <c r="BR377" s="25"/>
      <c r="BS377" s="25"/>
      <c r="BT377" s="25"/>
      <c r="BU377" s="25"/>
      <c r="BV377" s="25"/>
      <c r="BW377" s="25"/>
      <c r="BX377" s="25"/>
      <c r="BY377" s="25"/>
      <c r="BZ377" s="25"/>
      <c r="CA377" s="25"/>
      <c r="CB377" s="25"/>
      <c r="CC377" s="25"/>
      <c r="CD377" s="25"/>
      <c r="CE377" s="25"/>
      <c r="CF377" s="25"/>
      <c r="CG377" s="25"/>
      <c r="CH377" s="25"/>
      <c r="CI377" s="25"/>
      <c r="CJ377" s="25"/>
      <c r="CK377" s="25"/>
      <c r="CL377" s="25"/>
      <c r="CM377" s="25"/>
      <c r="CN377" s="25"/>
      <c r="CO377" s="25"/>
      <c r="CP377" s="25"/>
      <c r="CQ377" s="25"/>
      <c r="CR377" s="25"/>
      <c r="CS377" s="25"/>
    </row>
    <row r="378" spans="2:97">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c r="AV378" s="25"/>
      <c r="AW378" s="25"/>
      <c r="AX378" s="25"/>
      <c r="AY378" s="25"/>
      <c r="AZ378" s="25"/>
      <c r="BA378" s="25"/>
      <c r="BB378" s="25"/>
      <c r="BC378" s="25"/>
      <c r="BD378" s="25"/>
      <c r="BE378" s="25"/>
      <c r="BF378" s="25"/>
      <c r="BG378" s="25"/>
      <c r="BH378" s="25"/>
      <c r="BI378" s="25"/>
      <c r="BJ378" s="25"/>
      <c r="BK378" s="25"/>
      <c r="BL378" s="25"/>
      <c r="BM378" s="25"/>
      <c r="BN378" s="25"/>
      <c r="BO378" s="25"/>
      <c r="BP378" s="25"/>
      <c r="BQ378" s="25"/>
      <c r="BR378" s="25"/>
      <c r="BS378" s="25"/>
      <c r="BT378" s="25"/>
      <c r="BU378" s="25"/>
      <c r="BV378" s="25"/>
      <c r="BW378" s="25"/>
      <c r="BX378" s="25"/>
      <c r="BY378" s="25"/>
      <c r="BZ378" s="25"/>
      <c r="CA378" s="25"/>
      <c r="CB378" s="25"/>
      <c r="CC378" s="25"/>
      <c r="CD378" s="25"/>
      <c r="CE378" s="25"/>
      <c r="CF378" s="25"/>
      <c r="CG378" s="25"/>
      <c r="CH378" s="25"/>
      <c r="CI378" s="25"/>
      <c r="CJ378" s="25"/>
      <c r="CK378" s="25"/>
      <c r="CL378" s="25"/>
      <c r="CM378" s="25"/>
      <c r="CN378" s="25"/>
      <c r="CO378" s="25"/>
      <c r="CP378" s="25"/>
      <c r="CQ378" s="25"/>
      <c r="CR378" s="25"/>
      <c r="CS378" s="25"/>
    </row>
    <row r="379" spans="2:97">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c r="AV379" s="25"/>
      <c r="AW379" s="25"/>
      <c r="AX379" s="25"/>
      <c r="AY379" s="25"/>
      <c r="AZ379" s="25"/>
      <c r="BA379" s="25"/>
      <c r="BB379" s="25"/>
      <c r="BC379" s="25"/>
      <c r="BD379" s="25"/>
      <c r="BE379" s="25"/>
      <c r="BF379" s="25"/>
      <c r="BG379" s="25"/>
      <c r="BH379" s="25"/>
      <c r="BI379" s="25"/>
      <c r="BJ379" s="25"/>
      <c r="BK379" s="25"/>
      <c r="BL379" s="25"/>
      <c r="BM379" s="25"/>
      <c r="BN379" s="25"/>
      <c r="BO379" s="25"/>
      <c r="BP379" s="25"/>
      <c r="BQ379" s="25"/>
      <c r="BR379" s="25"/>
      <c r="BS379" s="25"/>
      <c r="BT379" s="25"/>
      <c r="BU379" s="25"/>
      <c r="BV379" s="25"/>
      <c r="BW379" s="25"/>
      <c r="BX379" s="25"/>
      <c r="BY379" s="25"/>
      <c r="BZ379" s="25"/>
      <c r="CA379" s="25"/>
      <c r="CB379" s="25"/>
      <c r="CC379" s="25"/>
      <c r="CD379" s="25"/>
      <c r="CE379" s="25"/>
      <c r="CF379" s="25"/>
      <c r="CG379" s="25"/>
      <c r="CH379" s="25"/>
      <c r="CI379" s="25"/>
      <c r="CJ379" s="25"/>
      <c r="CK379" s="25"/>
      <c r="CL379" s="25"/>
      <c r="CM379" s="25"/>
      <c r="CN379" s="25"/>
      <c r="CO379" s="25"/>
      <c r="CP379" s="25"/>
      <c r="CQ379" s="25"/>
      <c r="CR379" s="25"/>
      <c r="CS379" s="25"/>
    </row>
    <row r="380" spans="2:97">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c r="AV380" s="25"/>
      <c r="AW380" s="25"/>
      <c r="AX380" s="25"/>
      <c r="AY380" s="25"/>
      <c r="AZ380" s="25"/>
      <c r="BA380" s="25"/>
      <c r="BB380" s="25"/>
      <c r="BC380" s="25"/>
      <c r="BD380" s="25"/>
      <c r="BE380" s="25"/>
      <c r="BF380" s="25"/>
      <c r="BG380" s="25"/>
      <c r="BH380" s="25"/>
      <c r="BI380" s="25"/>
      <c r="BJ380" s="25"/>
      <c r="BK380" s="25"/>
      <c r="BL380" s="25"/>
      <c r="BM380" s="25"/>
      <c r="BN380" s="25"/>
      <c r="BO380" s="25"/>
      <c r="BP380" s="25"/>
      <c r="BQ380" s="25"/>
      <c r="BR380" s="25"/>
      <c r="BS380" s="25"/>
      <c r="BT380" s="25"/>
      <c r="BU380" s="25"/>
      <c r="BV380" s="25"/>
      <c r="BW380" s="25"/>
      <c r="BX380" s="25"/>
      <c r="BY380" s="25"/>
      <c r="BZ380" s="25"/>
      <c r="CA380" s="25"/>
      <c r="CB380" s="25"/>
      <c r="CC380" s="25"/>
      <c r="CD380" s="25"/>
      <c r="CE380" s="25"/>
      <c r="CF380" s="25"/>
      <c r="CG380" s="25"/>
      <c r="CH380" s="25"/>
      <c r="CI380" s="25"/>
      <c r="CJ380" s="25"/>
      <c r="CK380" s="25"/>
      <c r="CL380" s="25"/>
      <c r="CM380" s="25"/>
      <c r="CN380" s="25"/>
      <c r="CO380" s="25"/>
      <c r="CP380" s="25"/>
      <c r="CQ380" s="25"/>
      <c r="CR380" s="25"/>
      <c r="CS380" s="25"/>
    </row>
    <row r="381" spans="2:97">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c r="AV381" s="25"/>
      <c r="AW381" s="25"/>
      <c r="AX381" s="25"/>
      <c r="AY381" s="25"/>
      <c r="AZ381" s="25"/>
      <c r="BA381" s="25"/>
      <c r="BB381" s="25"/>
      <c r="BC381" s="25"/>
      <c r="BD381" s="25"/>
      <c r="BE381" s="25"/>
      <c r="BF381" s="25"/>
      <c r="BG381" s="25"/>
      <c r="BH381" s="25"/>
      <c r="BI381" s="25"/>
      <c r="BJ381" s="25"/>
      <c r="BK381" s="25"/>
      <c r="BL381" s="25"/>
      <c r="BM381" s="25"/>
      <c r="BN381" s="25"/>
      <c r="BO381" s="25"/>
      <c r="BP381" s="25"/>
      <c r="BQ381" s="25"/>
      <c r="BR381" s="25"/>
      <c r="BS381" s="25"/>
      <c r="BT381" s="25"/>
      <c r="BU381" s="25"/>
      <c r="BV381" s="25"/>
      <c r="BW381" s="25"/>
      <c r="BX381" s="25"/>
      <c r="BY381" s="25"/>
      <c r="BZ381" s="25"/>
      <c r="CA381" s="25"/>
      <c r="CB381" s="25"/>
      <c r="CC381" s="25"/>
      <c r="CD381" s="25"/>
      <c r="CE381" s="25"/>
      <c r="CF381" s="25"/>
      <c r="CG381" s="25"/>
      <c r="CH381" s="25"/>
      <c r="CI381" s="25"/>
      <c r="CJ381" s="25"/>
      <c r="CK381" s="25"/>
      <c r="CL381" s="25"/>
      <c r="CM381" s="25"/>
      <c r="CN381" s="25"/>
      <c r="CO381" s="25"/>
      <c r="CP381" s="25"/>
      <c r="CQ381" s="25"/>
      <c r="CR381" s="25"/>
      <c r="CS381" s="25"/>
    </row>
    <row r="382" spans="2:97">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c r="AV382" s="25"/>
      <c r="AW382" s="25"/>
      <c r="AX382" s="25"/>
      <c r="AY382" s="25"/>
      <c r="AZ382" s="25"/>
      <c r="BA382" s="25"/>
      <c r="BB382" s="25"/>
      <c r="BC382" s="25"/>
      <c r="BD382" s="25"/>
      <c r="BE382" s="25"/>
      <c r="BF382" s="25"/>
      <c r="BG382" s="25"/>
      <c r="BH382" s="25"/>
      <c r="BI382" s="25"/>
      <c r="BJ382" s="25"/>
      <c r="BK382" s="25"/>
      <c r="BL382" s="25"/>
      <c r="BM382" s="25"/>
      <c r="BN382" s="25"/>
      <c r="BO382" s="25"/>
      <c r="BP382" s="25"/>
      <c r="BQ382" s="25"/>
      <c r="BR382" s="25"/>
      <c r="BS382" s="25"/>
      <c r="BT382" s="25"/>
      <c r="BU382" s="25"/>
      <c r="BV382" s="25"/>
      <c r="BW382" s="25"/>
      <c r="BX382" s="25"/>
      <c r="BY382" s="25"/>
      <c r="BZ382" s="25"/>
      <c r="CA382" s="25"/>
      <c r="CB382" s="25"/>
      <c r="CC382" s="25"/>
      <c r="CD382" s="25"/>
      <c r="CE382" s="25"/>
      <c r="CF382" s="25"/>
      <c r="CG382" s="25"/>
      <c r="CH382" s="25"/>
      <c r="CI382" s="25"/>
      <c r="CJ382" s="25"/>
      <c r="CK382" s="25"/>
      <c r="CL382" s="25"/>
      <c r="CM382" s="25"/>
      <c r="CN382" s="25"/>
      <c r="CO382" s="25"/>
      <c r="CP382" s="25"/>
      <c r="CQ382" s="25"/>
      <c r="CR382" s="25"/>
      <c r="CS382" s="25"/>
    </row>
    <row r="383" spans="2:97">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c r="AV383" s="25"/>
      <c r="AW383" s="25"/>
      <c r="AX383" s="25"/>
      <c r="AY383" s="25"/>
      <c r="AZ383" s="25"/>
      <c r="BA383" s="25"/>
      <c r="BB383" s="25"/>
      <c r="BC383" s="25"/>
      <c r="BD383" s="25"/>
      <c r="BE383" s="25"/>
      <c r="BF383" s="25"/>
      <c r="BG383" s="25"/>
      <c r="BH383" s="25"/>
      <c r="BI383" s="25"/>
      <c r="BJ383" s="25"/>
      <c r="BK383" s="25"/>
      <c r="BL383" s="25"/>
      <c r="BM383" s="25"/>
      <c r="BN383" s="25"/>
      <c r="BO383" s="25"/>
      <c r="BP383" s="25"/>
      <c r="BQ383" s="25"/>
      <c r="BR383" s="25"/>
      <c r="BS383" s="25"/>
      <c r="BT383" s="25"/>
      <c r="BU383" s="25"/>
      <c r="BV383" s="25"/>
      <c r="BW383" s="25"/>
      <c r="BX383" s="25"/>
      <c r="BY383" s="25"/>
      <c r="BZ383" s="25"/>
      <c r="CA383" s="25"/>
      <c r="CB383" s="25"/>
      <c r="CC383" s="25"/>
      <c r="CD383" s="25"/>
      <c r="CE383" s="25"/>
      <c r="CF383" s="25"/>
      <c r="CG383" s="25"/>
      <c r="CH383" s="25"/>
      <c r="CI383" s="25"/>
      <c r="CJ383" s="25"/>
      <c r="CK383" s="25"/>
      <c r="CL383" s="25"/>
      <c r="CM383" s="25"/>
      <c r="CN383" s="25"/>
      <c r="CO383" s="25"/>
      <c r="CP383" s="25"/>
      <c r="CQ383" s="25"/>
      <c r="CR383" s="25"/>
      <c r="CS383" s="25"/>
    </row>
    <row r="384" spans="2:97">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c r="AV384" s="25"/>
      <c r="AW384" s="25"/>
      <c r="AX384" s="25"/>
      <c r="AY384" s="25"/>
      <c r="AZ384" s="25"/>
      <c r="BA384" s="25"/>
      <c r="BB384" s="25"/>
      <c r="BC384" s="25"/>
      <c r="BD384" s="25"/>
      <c r="BE384" s="25"/>
      <c r="BF384" s="25"/>
      <c r="BG384" s="25"/>
      <c r="BH384" s="25"/>
      <c r="BI384" s="25"/>
      <c r="BJ384" s="25"/>
      <c r="BK384" s="25"/>
      <c r="BL384" s="25"/>
      <c r="BM384" s="25"/>
      <c r="BN384" s="25"/>
      <c r="BO384" s="25"/>
      <c r="BP384" s="25"/>
      <c r="BQ384" s="25"/>
      <c r="BR384" s="25"/>
      <c r="BS384" s="25"/>
      <c r="BT384" s="25"/>
      <c r="BU384" s="25"/>
      <c r="BV384" s="25"/>
      <c r="BW384" s="25"/>
      <c r="BX384" s="25"/>
      <c r="BY384" s="25"/>
      <c r="BZ384" s="25"/>
      <c r="CA384" s="25"/>
      <c r="CB384" s="25"/>
      <c r="CC384" s="25"/>
      <c r="CD384" s="25"/>
      <c r="CE384" s="25"/>
      <c r="CF384" s="25"/>
      <c r="CG384" s="25"/>
      <c r="CH384" s="25"/>
      <c r="CI384" s="25"/>
      <c r="CJ384" s="25"/>
      <c r="CK384" s="25"/>
      <c r="CL384" s="25"/>
      <c r="CM384" s="25"/>
      <c r="CN384" s="25"/>
      <c r="CO384" s="25"/>
      <c r="CP384" s="25"/>
      <c r="CQ384" s="25"/>
      <c r="CR384" s="25"/>
      <c r="CS384" s="25"/>
    </row>
    <row r="385" spans="2:97">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c r="AV385" s="25"/>
      <c r="AW385" s="25"/>
      <c r="AX385" s="25"/>
      <c r="AY385" s="25"/>
      <c r="AZ385" s="25"/>
      <c r="BA385" s="25"/>
      <c r="BB385" s="25"/>
      <c r="BC385" s="25"/>
      <c r="BD385" s="25"/>
      <c r="BE385" s="25"/>
      <c r="BF385" s="25"/>
      <c r="BG385" s="25"/>
      <c r="BH385" s="25"/>
      <c r="BI385" s="25"/>
      <c r="BJ385" s="25"/>
      <c r="BK385" s="25"/>
      <c r="BL385" s="25"/>
      <c r="BM385" s="25"/>
      <c r="BN385" s="25"/>
      <c r="BO385" s="25"/>
      <c r="BP385" s="25"/>
      <c r="BQ385" s="25"/>
      <c r="BR385" s="25"/>
      <c r="BS385" s="25"/>
      <c r="BT385" s="25"/>
      <c r="BU385" s="25"/>
      <c r="BV385" s="25"/>
      <c r="BW385" s="25"/>
      <c r="BX385" s="25"/>
      <c r="BY385" s="25"/>
      <c r="BZ385" s="25"/>
      <c r="CA385" s="25"/>
      <c r="CB385" s="25"/>
      <c r="CC385" s="25"/>
      <c r="CD385" s="25"/>
      <c r="CE385" s="25"/>
      <c r="CF385" s="25"/>
      <c r="CG385" s="25"/>
      <c r="CH385" s="25"/>
      <c r="CI385" s="25"/>
      <c r="CJ385" s="25"/>
      <c r="CK385" s="25"/>
      <c r="CL385" s="25"/>
      <c r="CM385" s="25"/>
      <c r="CN385" s="25"/>
      <c r="CO385" s="25"/>
      <c r="CP385" s="25"/>
      <c r="CQ385" s="25"/>
      <c r="CR385" s="25"/>
      <c r="CS385" s="25"/>
    </row>
    <row r="386" spans="2:97">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c r="AV386" s="25"/>
      <c r="AW386" s="25"/>
      <c r="AX386" s="25"/>
      <c r="AY386" s="25"/>
      <c r="AZ386" s="25"/>
      <c r="BA386" s="25"/>
      <c r="BB386" s="25"/>
      <c r="BC386" s="25"/>
      <c r="BD386" s="25"/>
      <c r="BE386" s="25"/>
      <c r="BF386" s="25"/>
      <c r="BG386" s="25"/>
      <c r="BH386" s="25"/>
      <c r="BI386" s="25"/>
      <c r="BJ386" s="25"/>
      <c r="BK386" s="25"/>
      <c r="BL386" s="25"/>
      <c r="BM386" s="25"/>
      <c r="BN386" s="25"/>
      <c r="BO386" s="25"/>
      <c r="BP386" s="25"/>
      <c r="BQ386" s="25"/>
      <c r="BR386" s="25"/>
      <c r="BS386" s="25"/>
      <c r="BT386" s="25"/>
      <c r="BU386" s="25"/>
      <c r="BV386" s="25"/>
      <c r="BW386" s="25"/>
      <c r="BX386" s="25"/>
      <c r="BY386" s="25"/>
      <c r="BZ386" s="25"/>
      <c r="CA386" s="25"/>
      <c r="CB386" s="25"/>
      <c r="CC386" s="25"/>
      <c r="CD386" s="25"/>
      <c r="CE386" s="25"/>
      <c r="CF386" s="25"/>
      <c r="CG386" s="25"/>
      <c r="CH386" s="25"/>
      <c r="CI386" s="25"/>
      <c r="CJ386" s="25"/>
      <c r="CK386" s="25"/>
      <c r="CL386" s="25"/>
      <c r="CM386" s="25"/>
      <c r="CN386" s="25"/>
      <c r="CO386" s="25"/>
      <c r="CP386" s="25"/>
      <c r="CQ386" s="25"/>
      <c r="CR386" s="25"/>
      <c r="CS386" s="25"/>
    </row>
    <row r="387" spans="2:97">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c r="AV387" s="25"/>
      <c r="AW387" s="25"/>
      <c r="AX387" s="25"/>
      <c r="AY387" s="25"/>
      <c r="AZ387" s="25"/>
      <c r="BA387" s="25"/>
      <c r="BB387" s="25"/>
      <c r="BC387" s="25"/>
      <c r="BD387" s="25"/>
      <c r="BE387" s="25"/>
      <c r="BF387" s="25"/>
      <c r="BG387" s="25"/>
      <c r="BH387" s="25"/>
      <c r="BI387" s="25"/>
      <c r="BJ387" s="25"/>
      <c r="BK387" s="25"/>
      <c r="BL387" s="25"/>
      <c r="BM387" s="25"/>
      <c r="BN387" s="25"/>
      <c r="BO387" s="25"/>
      <c r="BP387" s="25"/>
      <c r="BQ387" s="25"/>
      <c r="BR387" s="25"/>
      <c r="BS387" s="25"/>
      <c r="BT387" s="25"/>
      <c r="BU387" s="25"/>
      <c r="BV387" s="25"/>
      <c r="BW387" s="25"/>
      <c r="BX387" s="25"/>
      <c r="BY387" s="25"/>
      <c r="BZ387" s="25"/>
      <c r="CA387" s="25"/>
      <c r="CB387" s="25"/>
      <c r="CC387" s="25"/>
      <c r="CD387" s="25"/>
      <c r="CE387" s="25"/>
      <c r="CF387" s="25"/>
      <c r="CG387" s="25"/>
      <c r="CH387" s="25"/>
      <c r="CI387" s="25"/>
      <c r="CJ387" s="25"/>
      <c r="CK387" s="25"/>
      <c r="CL387" s="25"/>
      <c r="CM387" s="25"/>
      <c r="CN387" s="25"/>
      <c r="CO387" s="25"/>
      <c r="CP387" s="25"/>
      <c r="CQ387" s="25"/>
      <c r="CR387" s="25"/>
      <c r="CS387" s="25"/>
    </row>
    <row r="388" spans="2:97">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c r="AV388" s="25"/>
      <c r="AW388" s="25"/>
      <c r="AX388" s="25"/>
      <c r="AY388" s="25"/>
      <c r="AZ388" s="25"/>
      <c r="BA388" s="25"/>
      <c r="BB388" s="25"/>
      <c r="BC388" s="25"/>
      <c r="BD388" s="25"/>
      <c r="BE388" s="25"/>
      <c r="BF388" s="25"/>
      <c r="BG388" s="25"/>
      <c r="BH388" s="25"/>
      <c r="BI388" s="25"/>
      <c r="BJ388" s="25"/>
      <c r="BK388" s="25"/>
      <c r="BL388" s="25"/>
      <c r="BM388" s="25"/>
      <c r="BN388" s="25"/>
      <c r="BO388" s="25"/>
      <c r="BP388" s="25"/>
      <c r="BQ388" s="25"/>
      <c r="BR388" s="25"/>
      <c r="BS388" s="25"/>
      <c r="BT388" s="25"/>
      <c r="BU388" s="25"/>
      <c r="BV388" s="25"/>
      <c r="BW388" s="25"/>
      <c r="BX388" s="25"/>
      <c r="BY388" s="25"/>
      <c r="BZ388" s="25"/>
      <c r="CA388" s="25"/>
      <c r="CB388" s="25"/>
      <c r="CC388" s="25"/>
      <c r="CD388" s="25"/>
      <c r="CE388" s="25"/>
      <c r="CF388" s="25"/>
      <c r="CG388" s="25"/>
      <c r="CH388" s="25"/>
      <c r="CI388" s="25"/>
      <c r="CJ388" s="25"/>
      <c r="CK388" s="25"/>
      <c r="CL388" s="25"/>
      <c r="CM388" s="25"/>
      <c r="CN388" s="25"/>
      <c r="CO388" s="25"/>
      <c r="CP388" s="25"/>
      <c r="CQ388" s="25"/>
      <c r="CR388" s="25"/>
      <c r="CS388" s="25"/>
    </row>
    <row r="389" spans="2:97">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c r="AV389" s="25"/>
      <c r="AW389" s="25"/>
      <c r="AX389" s="25"/>
      <c r="AY389" s="25"/>
      <c r="AZ389" s="25"/>
      <c r="BA389" s="25"/>
      <c r="BB389" s="25"/>
      <c r="BC389" s="25"/>
      <c r="BD389" s="25"/>
      <c r="BE389" s="25"/>
      <c r="BF389" s="25"/>
      <c r="BG389" s="25"/>
      <c r="BH389" s="25"/>
      <c r="BI389" s="25"/>
      <c r="BJ389" s="25"/>
      <c r="BK389" s="25"/>
      <c r="BL389" s="25"/>
      <c r="BM389" s="25"/>
      <c r="BN389" s="25"/>
      <c r="BO389" s="25"/>
      <c r="BP389" s="25"/>
      <c r="BQ389" s="25"/>
      <c r="BR389" s="25"/>
      <c r="BS389" s="25"/>
      <c r="BT389" s="25"/>
      <c r="BU389" s="25"/>
      <c r="BV389" s="25"/>
      <c r="BW389" s="25"/>
      <c r="BX389" s="25"/>
      <c r="BY389" s="25"/>
      <c r="BZ389" s="25"/>
      <c r="CA389" s="25"/>
      <c r="CB389" s="25"/>
      <c r="CC389" s="25"/>
      <c r="CD389" s="25"/>
      <c r="CE389" s="25"/>
      <c r="CF389" s="25"/>
      <c r="CG389" s="25"/>
      <c r="CH389" s="25"/>
      <c r="CI389" s="25"/>
      <c r="CJ389" s="25"/>
      <c r="CK389" s="25"/>
      <c r="CL389" s="25"/>
      <c r="CM389" s="25"/>
      <c r="CN389" s="25"/>
      <c r="CO389" s="25"/>
      <c r="CP389" s="25"/>
      <c r="CQ389" s="25"/>
      <c r="CR389" s="25"/>
      <c r="CS389" s="25"/>
    </row>
    <row r="390" spans="2:97">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c r="AV390" s="25"/>
      <c r="AW390" s="25"/>
      <c r="AX390" s="25"/>
      <c r="AY390" s="25"/>
      <c r="AZ390" s="25"/>
      <c r="BA390" s="25"/>
      <c r="BB390" s="25"/>
      <c r="BC390" s="25"/>
      <c r="BD390" s="25"/>
      <c r="BE390" s="25"/>
      <c r="BF390" s="25"/>
      <c r="BG390" s="25"/>
      <c r="BH390" s="25"/>
      <c r="BI390" s="25"/>
      <c r="BJ390" s="25"/>
      <c r="BK390" s="25"/>
      <c r="BL390" s="25"/>
      <c r="BM390" s="25"/>
      <c r="BN390" s="25"/>
      <c r="BO390" s="25"/>
      <c r="BP390" s="25"/>
      <c r="BQ390" s="25"/>
      <c r="BR390" s="25"/>
      <c r="BS390" s="25"/>
      <c r="BT390" s="25"/>
      <c r="BU390" s="25"/>
      <c r="BV390" s="25"/>
      <c r="BW390" s="25"/>
      <c r="BX390" s="25"/>
      <c r="BY390" s="25"/>
      <c r="BZ390" s="25"/>
      <c r="CA390" s="25"/>
      <c r="CB390" s="25"/>
      <c r="CC390" s="25"/>
      <c r="CD390" s="25"/>
      <c r="CE390" s="25"/>
      <c r="CF390" s="25"/>
      <c r="CG390" s="25"/>
      <c r="CH390" s="25"/>
      <c r="CI390" s="25"/>
      <c r="CJ390" s="25"/>
      <c r="CK390" s="25"/>
      <c r="CL390" s="25"/>
      <c r="CM390" s="25"/>
      <c r="CN390" s="25"/>
      <c r="CO390" s="25"/>
      <c r="CP390" s="25"/>
      <c r="CQ390" s="25"/>
      <c r="CR390" s="25"/>
      <c r="CS390" s="25"/>
    </row>
    <row r="391" spans="2:97">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c r="AV391" s="25"/>
      <c r="AW391" s="25"/>
      <c r="AX391" s="25"/>
      <c r="AY391" s="25"/>
      <c r="AZ391" s="25"/>
      <c r="BA391" s="25"/>
      <c r="BB391" s="25"/>
      <c r="BC391" s="25"/>
      <c r="BD391" s="25"/>
      <c r="BE391" s="25"/>
      <c r="BF391" s="25"/>
      <c r="BG391" s="25"/>
      <c r="BH391" s="25"/>
      <c r="BI391" s="25"/>
      <c r="BJ391" s="25"/>
      <c r="BK391" s="25"/>
      <c r="BL391" s="25"/>
      <c r="BM391" s="25"/>
      <c r="BN391" s="25"/>
      <c r="BO391" s="25"/>
      <c r="BP391" s="25"/>
      <c r="BQ391" s="25"/>
      <c r="BR391" s="25"/>
      <c r="BS391" s="25"/>
      <c r="BT391" s="25"/>
      <c r="BU391" s="25"/>
      <c r="BV391" s="25"/>
      <c r="BW391" s="25"/>
      <c r="BX391" s="25"/>
      <c r="BY391" s="25"/>
      <c r="BZ391" s="25"/>
      <c r="CA391" s="25"/>
      <c r="CB391" s="25"/>
      <c r="CC391" s="25"/>
      <c r="CD391" s="25"/>
      <c r="CE391" s="25"/>
      <c r="CF391" s="25"/>
      <c r="CG391" s="25"/>
      <c r="CH391" s="25"/>
      <c r="CI391" s="25"/>
      <c r="CJ391" s="25"/>
      <c r="CK391" s="25"/>
      <c r="CL391" s="25"/>
      <c r="CM391" s="25"/>
      <c r="CN391" s="25"/>
      <c r="CO391" s="25"/>
      <c r="CP391" s="25"/>
      <c r="CQ391" s="25"/>
      <c r="CR391" s="25"/>
      <c r="CS391" s="25"/>
    </row>
    <row r="392" spans="2:97">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c r="AV392" s="25"/>
      <c r="AW392" s="25"/>
      <c r="AX392" s="25"/>
      <c r="AY392" s="25"/>
      <c r="AZ392" s="25"/>
      <c r="BA392" s="25"/>
      <c r="BB392" s="25"/>
      <c r="BC392" s="25"/>
      <c r="BD392" s="25"/>
      <c r="BE392" s="25"/>
      <c r="BF392" s="25"/>
      <c r="BG392" s="25"/>
      <c r="BH392" s="25"/>
      <c r="BI392" s="25"/>
      <c r="BJ392" s="25"/>
      <c r="BK392" s="25"/>
      <c r="BL392" s="25"/>
      <c r="BM392" s="25"/>
      <c r="BN392" s="25"/>
      <c r="BO392" s="25"/>
      <c r="BP392" s="25"/>
      <c r="BQ392" s="25"/>
      <c r="BR392" s="25"/>
      <c r="BS392" s="25"/>
      <c r="BT392" s="25"/>
      <c r="BU392" s="25"/>
      <c r="BV392" s="25"/>
      <c r="BW392" s="25"/>
      <c r="BX392" s="25"/>
      <c r="BY392" s="25"/>
      <c r="BZ392" s="25"/>
      <c r="CA392" s="25"/>
      <c r="CB392" s="25"/>
      <c r="CC392" s="25"/>
      <c r="CD392" s="25"/>
      <c r="CE392" s="25"/>
      <c r="CF392" s="25"/>
      <c r="CG392" s="25"/>
      <c r="CH392" s="25"/>
      <c r="CI392" s="25"/>
      <c r="CJ392" s="25"/>
      <c r="CK392" s="25"/>
      <c r="CL392" s="25"/>
      <c r="CM392" s="25"/>
      <c r="CN392" s="25"/>
      <c r="CO392" s="25"/>
      <c r="CP392" s="25"/>
      <c r="CQ392" s="25"/>
      <c r="CR392" s="25"/>
      <c r="CS392" s="25"/>
    </row>
    <row r="393" spans="2:97">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c r="AV393" s="25"/>
      <c r="AW393" s="25"/>
      <c r="AX393" s="25"/>
      <c r="AY393" s="25"/>
      <c r="AZ393" s="25"/>
      <c r="BA393" s="25"/>
      <c r="BB393" s="25"/>
      <c r="BC393" s="25"/>
      <c r="BD393" s="25"/>
      <c r="BE393" s="25"/>
      <c r="BF393" s="25"/>
      <c r="BG393" s="25"/>
      <c r="BH393" s="25"/>
      <c r="BI393" s="25"/>
      <c r="BJ393" s="25"/>
      <c r="BK393" s="25"/>
      <c r="BL393" s="25"/>
      <c r="BM393" s="25"/>
      <c r="BN393" s="25"/>
      <c r="BO393" s="25"/>
      <c r="BP393" s="25"/>
      <c r="BQ393" s="25"/>
      <c r="BR393" s="25"/>
      <c r="BS393" s="25"/>
      <c r="BT393" s="25"/>
      <c r="BU393" s="25"/>
      <c r="BV393" s="25"/>
      <c r="BW393" s="25"/>
      <c r="BX393" s="25"/>
      <c r="BY393" s="25"/>
      <c r="BZ393" s="25"/>
      <c r="CA393" s="25"/>
      <c r="CB393" s="25"/>
      <c r="CC393" s="25"/>
      <c r="CD393" s="25"/>
      <c r="CE393" s="25"/>
      <c r="CF393" s="25"/>
      <c r="CG393" s="25"/>
      <c r="CH393" s="25"/>
      <c r="CI393" s="25"/>
      <c r="CJ393" s="25"/>
      <c r="CK393" s="25"/>
      <c r="CL393" s="25"/>
      <c r="CM393" s="25"/>
      <c r="CN393" s="25"/>
      <c r="CO393" s="25"/>
      <c r="CP393" s="25"/>
      <c r="CQ393" s="25"/>
      <c r="CR393" s="25"/>
      <c r="CS393" s="25"/>
    </row>
    <row r="394" spans="2:97">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c r="AV394" s="25"/>
      <c r="AW394" s="25"/>
      <c r="AX394" s="25"/>
      <c r="AY394" s="25"/>
      <c r="AZ394" s="25"/>
      <c r="BA394" s="25"/>
      <c r="BB394" s="25"/>
      <c r="BC394" s="25"/>
      <c r="BD394" s="25"/>
      <c r="BE394" s="25"/>
      <c r="BF394" s="25"/>
      <c r="BG394" s="25"/>
      <c r="BH394" s="25"/>
      <c r="BI394" s="25"/>
      <c r="BJ394" s="25"/>
      <c r="BK394" s="25"/>
      <c r="BL394" s="25"/>
      <c r="BM394" s="25"/>
      <c r="BN394" s="25"/>
      <c r="BO394" s="25"/>
      <c r="BP394" s="25"/>
      <c r="BQ394" s="25"/>
      <c r="BR394" s="25"/>
      <c r="BS394" s="25"/>
      <c r="BT394" s="25"/>
      <c r="BU394" s="25"/>
      <c r="BV394" s="25"/>
      <c r="BW394" s="25"/>
      <c r="BX394" s="25"/>
      <c r="BY394" s="25"/>
      <c r="BZ394" s="25"/>
      <c r="CA394" s="25"/>
      <c r="CB394" s="25"/>
      <c r="CC394" s="25"/>
      <c r="CD394" s="25"/>
      <c r="CE394" s="25"/>
      <c r="CF394" s="25"/>
      <c r="CG394" s="25"/>
      <c r="CH394" s="25"/>
      <c r="CI394" s="25"/>
      <c r="CJ394" s="25"/>
      <c r="CK394" s="25"/>
      <c r="CL394" s="25"/>
      <c r="CM394" s="25"/>
      <c r="CN394" s="25"/>
      <c r="CO394" s="25"/>
      <c r="CP394" s="25"/>
      <c r="CQ394" s="25"/>
      <c r="CR394" s="25"/>
      <c r="CS394" s="25"/>
    </row>
    <row r="395" spans="2:97">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c r="AV395" s="25"/>
      <c r="AW395" s="25"/>
      <c r="AX395" s="25"/>
      <c r="AY395" s="25"/>
      <c r="AZ395" s="25"/>
      <c r="BA395" s="25"/>
      <c r="BB395" s="25"/>
      <c r="BC395" s="25"/>
      <c r="BD395" s="25"/>
      <c r="BE395" s="25"/>
      <c r="BF395" s="25"/>
      <c r="BG395" s="25"/>
      <c r="BH395" s="25"/>
      <c r="BI395" s="25"/>
      <c r="BJ395" s="25"/>
      <c r="BK395" s="25"/>
      <c r="BL395" s="25"/>
      <c r="BM395" s="25"/>
      <c r="BN395" s="25"/>
      <c r="BO395" s="25"/>
      <c r="BP395" s="25"/>
      <c r="BQ395" s="25"/>
      <c r="BR395" s="25"/>
      <c r="BS395" s="25"/>
      <c r="BT395" s="25"/>
      <c r="BU395" s="25"/>
      <c r="BV395" s="25"/>
      <c r="BW395" s="25"/>
      <c r="BX395" s="25"/>
      <c r="BY395" s="25"/>
      <c r="BZ395" s="25"/>
      <c r="CA395" s="25"/>
      <c r="CB395" s="25"/>
      <c r="CC395" s="25"/>
      <c r="CD395" s="25"/>
      <c r="CE395" s="25"/>
      <c r="CF395" s="25"/>
      <c r="CG395" s="25"/>
      <c r="CH395" s="25"/>
      <c r="CI395" s="25"/>
      <c r="CJ395" s="25"/>
      <c r="CK395" s="25"/>
      <c r="CL395" s="25"/>
      <c r="CM395" s="25"/>
      <c r="CN395" s="25"/>
      <c r="CO395" s="25"/>
      <c r="CP395" s="25"/>
      <c r="CQ395" s="25"/>
      <c r="CR395" s="25"/>
      <c r="CS395" s="25"/>
    </row>
    <row r="396" spans="2:97">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c r="AV396" s="25"/>
      <c r="AW396" s="25"/>
      <c r="AX396" s="25"/>
      <c r="AY396" s="25"/>
      <c r="AZ396" s="25"/>
      <c r="BA396" s="25"/>
      <c r="BB396" s="25"/>
      <c r="BC396" s="25"/>
      <c r="BD396" s="25"/>
      <c r="BE396" s="25"/>
      <c r="BF396" s="25"/>
      <c r="BG396" s="25"/>
      <c r="BH396" s="25"/>
      <c r="BI396" s="25"/>
      <c r="BJ396" s="25"/>
      <c r="BK396" s="25"/>
      <c r="BL396" s="25"/>
      <c r="BM396" s="25"/>
      <c r="BN396" s="25"/>
      <c r="BO396" s="25"/>
      <c r="BP396" s="25"/>
      <c r="BQ396" s="25"/>
      <c r="BR396" s="25"/>
      <c r="BS396" s="25"/>
      <c r="BT396" s="25"/>
      <c r="BU396" s="25"/>
      <c r="BV396" s="25"/>
      <c r="BW396" s="25"/>
      <c r="BX396" s="25"/>
      <c r="BY396" s="25"/>
      <c r="BZ396" s="25"/>
      <c r="CA396" s="25"/>
      <c r="CB396" s="25"/>
      <c r="CC396" s="25"/>
      <c r="CD396" s="25"/>
      <c r="CE396" s="25"/>
      <c r="CF396" s="25"/>
      <c r="CG396" s="25"/>
      <c r="CH396" s="25"/>
      <c r="CI396" s="25"/>
      <c r="CJ396" s="25"/>
      <c r="CK396" s="25"/>
      <c r="CL396" s="25"/>
      <c r="CM396" s="25"/>
      <c r="CN396" s="25"/>
      <c r="CO396" s="25"/>
      <c r="CP396" s="25"/>
      <c r="CQ396" s="25"/>
      <c r="CR396" s="25"/>
      <c r="CS396" s="25"/>
    </row>
    <row r="397" spans="2:97">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c r="AV397" s="25"/>
      <c r="AW397" s="25"/>
      <c r="AX397" s="25"/>
      <c r="AY397" s="25"/>
      <c r="AZ397" s="25"/>
      <c r="BA397" s="25"/>
      <c r="BB397" s="25"/>
      <c r="BC397" s="25"/>
      <c r="BD397" s="25"/>
      <c r="BE397" s="25"/>
      <c r="BF397" s="25"/>
      <c r="BG397" s="25"/>
      <c r="BH397" s="25"/>
      <c r="BI397" s="25"/>
      <c r="BJ397" s="25"/>
      <c r="BK397" s="25"/>
      <c r="BL397" s="25"/>
      <c r="BM397" s="25"/>
      <c r="BN397" s="25"/>
      <c r="BO397" s="25"/>
      <c r="BP397" s="25"/>
      <c r="BQ397" s="25"/>
      <c r="BR397" s="25"/>
      <c r="BS397" s="25"/>
      <c r="BT397" s="25"/>
      <c r="BU397" s="25"/>
      <c r="BV397" s="25"/>
      <c r="BW397" s="25"/>
      <c r="BX397" s="25"/>
      <c r="BY397" s="25"/>
      <c r="BZ397" s="25"/>
      <c r="CA397" s="25"/>
      <c r="CB397" s="25"/>
      <c r="CC397" s="25"/>
      <c r="CD397" s="25"/>
      <c r="CE397" s="25"/>
      <c r="CF397" s="25"/>
      <c r="CG397" s="25"/>
      <c r="CH397" s="25"/>
      <c r="CI397" s="25"/>
      <c r="CJ397" s="25"/>
      <c r="CK397" s="25"/>
      <c r="CL397" s="25"/>
      <c r="CM397" s="25"/>
      <c r="CN397" s="25"/>
      <c r="CO397" s="25"/>
      <c r="CP397" s="25"/>
      <c r="CQ397" s="25"/>
      <c r="CR397" s="25"/>
      <c r="CS397" s="25"/>
    </row>
    <row r="398" spans="2:97">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c r="AV398" s="25"/>
      <c r="AW398" s="25"/>
      <c r="AX398" s="25"/>
      <c r="AY398" s="25"/>
      <c r="AZ398" s="25"/>
      <c r="BA398" s="25"/>
      <c r="BB398" s="25"/>
      <c r="BC398" s="25"/>
      <c r="BD398" s="25"/>
      <c r="BE398" s="25"/>
      <c r="BF398" s="25"/>
      <c r="BG398" s="25"/>
      <c r="BH398" s="25"/>
      <c r="BI398" s="25"/>
      <c r="BJ398" s="25"/>
      <c r="BK398" s="25"/>
      <c r="BL398" s="25"/>
      <c r="BM398" s="25"/>
      <c r="BN398" s="25"/>
      <c r="BO398" s="25"/>
      <c r="BP398" s="25"/>
      <c r="BQ398" s="25"/>
      <c r="BR398" s="25"/>
      <c r="BS398" s="25"/>
      <c r="BT398" s="25"/>
      <c r="BU398" s="25"/>
      <c r="BV398" s="25"/>
      <c r="BW398" s="25"/>
      <c r="BX398" s="25"/>
      <c r="BY398" s="25"/>
      <c r="BZ398" s="25"/>
      <c r="CA398" s="25"/>
      <c r="CB398" s="25"/>
      <c r="CC398" s="25"/>
      <c r="CD398" s="25"/>
      <c r="CE398" s="25"/>
      <c r="CF398" s="25"/>
      <c r="CG398" s="25"/>
      <c r="CH398" s="25"/>
      <c r="CI398" s="25"/>
      <c r="CJ398" s="25"/>
      <c r="CK398" s="25"/>
      <c r="CL398" s="25"/>
      <c r="CM398" s="25"/>
      <c r="CN398" s="25"/>
      <c r="CO398" s="25"/>
      <c r="CP398" s="25"/>
      <c r="CQ398" s="25"/>
      <c r="CR398" s="25"/>
      <c r="CS398" s="25"/>
    </row>
    <row r="399" spans="2:97">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c r="AV399" s="25"/>
      <c r="AW399" s="25"/>
      <c r="AX399" s="25"/>
      <c r="AY399" s="25"/>
      <c r="AZ399" s="25"/>
      <c r="BA399" s="25"/>
      <c r="BB399" s="25"/>
      <c r="BC399" s="25"/>
      <c r="BD399" s="25"/>
      <c r="BE399" s="25"/>
      <c r="BF399" s="25"/>
      <c r="BG399" s="25"/>
      <c r="BH399" s="25"/>
      <c r="BI399" s="25"/>
      <c r="BJ399" s="25"/>
      <c r="BK399" s="25"/>
      <c r="BL399" s="25"/>
      <c r="BM399" s="25"/>
      <c r="BN399" s="25"/>
      <c r="BO399" s="25"/>
      <c r="BP399" s="25"/>
      <c r="BQ399" s="25"/>
      <c r="BR399" s="25"/>
      <c r="BS399" s="25"/>
      <c r="BT399" s="25"/>
      <c r="BU399" s="25"/>
      <c r="BV399" s="25"/>
      <c r="BW399" s="25"/>
      <c r="BX399" s="25"/>
      <c r="BY399" s="25"/>
      <c r="BZ399" s="25"/>
      <c r="CA399" s="25"/>
      <c r="CB399" s="25"/>
      <c r="CC399" s="25"/>
      <c r="CD399" s="25"/>
      <c r="CE399" s="25"/>
      <c r="CF399" s="25"/>
      <c r="CG399" s="25"/>
      <c r="CH399" s="25"/>
      <c r="CI399" s="25"/>
      <c r="CJ399" s="25"/>
      <c r="CK399" s="25"/>
      <c r="CL399" s="25"/>
      <c r="CM399" s="25"/>
      <c r="CN399" s="25"/>
      <c r="CO399" s="25"/>
      <c r="CP399" s="25"/>
      <c r="CQ399" s="25"/>
      <c r="CR399" s="25"/>
      <c r="CS399" s="25"/>
    </row>
    <row r="400" spans="2:97">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c r="AV400" s="25"/>
      <c r="AW400" s="25"/>
      <c r="AX400" s="25"/>
      <c r="AY400" s="25"/>
      <c r="AZ400" s="25"/>
      <c r="BA400" s="25"/>
      <c r="BB400" s="25"/>
      <c r="BC400" s="25"/>
      <c r="BD400" s="25"/>
      <c r="BE400" s="25"/>
      <c r="BF400" s="25"/>
      <c r="BG400" s="25"/>
      <c r="BH400" s="25"/>
      <c r="BI400" s="25"/>
      <c r="BJ400" s="25"/>
      <c r="BK400" s="25"/>
      <c r="BL400" s="25"/>
      <c r="BM400" s="25"/>
      <c r="BN400" s="25"/>
      <c r="BO400" s="25"/>
      <c r="BP400" s="25"/>
      <c r="BQ400" s="25"/>
      <c r="BR400" s="25"/>
      <c r="BS400" s="25"/>
      <c r="BT400" s="25"/>
      <c r="BU400" s="25"/>
      <c r="BV400" s="25"/>
      <c r="BW400" s="25"/>
      <c r="BX400" s="25"/>
      <c r="BY400" s="25"/>
      <c r="BZ400" s="25"/>
      <c r="CA400" s="25"/>
      <c r="CB400" s="25"/>
      <c r="CC400" s="25"/>
      <c r="CD400" s="25"/>
      <c r="CE400" s="25"/>
      <c r="CF400" s="25"/>
      <c r="CG400" s="25"/>
      <c r="CH400" s="25"/>
      <c r="CI400" s="25"/>
      <c r="CJ400" s="25"/>
      <c r="CK400" s="25"/>
      <c r="CL400" s="25"/>
      <c r="CM400" s="25"/>
      <c r="CN400" s="25"/>
      <c r="CO400" s="25"/>
      <c r="CP400" s="25"/>
      <c r="CQ400" s="25"/>
      <c r="CR400" s="25"/>
      <c r="CS400" s="25"/>
    </row>
    <row r="401" spans="2:97">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c r="AV401" s="25"/>
      <c r="AW401" s="25"/>
      <c r="AX401" s="25"/>
      <c r="AY401" s="25"/>
      <c r="AZ401" s="25"/>
      <c r="BA401" s="25"/>
      <c r="BB401" s="25"/>
      <c r="BC401" s="25"/>
      <c r="BD401" s="25"/>
      <c r="BE401" s="25"/>
      <c r="BF401" s="25"/>
      <c r="BG401" s="25"/>
      <c r="BH401" s="25"/>
      <c r="BI401" s="25"/>
      <c r="BJ401" s="25"/>
      <c r="BK401" s="25"/>
      <c r="BL401" s="25"/>
      <c r="BM401" s="25"/>
      <c r="BN401" s="25"/>
      <c r="BO401" s="25"/>
      <c r="BP401" s="25"/>
      <c r="BQ401" s="25"/>
      <c r="BR401" s="25"/>
      <c r="BS401" s="25"/>
      <c r="BT401" s="25"/>
      <c r="BU401" s="25"/>
      <c r="BV401" s="25"/>
      <c r="BW401" s="25"/>
      <c r="BX401" s="25"/>
      <c r="BY401" s="25"/>
      <c r="BZ401" s="25"/>
      <c r="CA401" s="25"/>
      <c r="CB401" s="25"/>
      <c r="CC401" s="25"/>
      <c r="CD401" s="25"/>
      <c r="CE401" s="25"/>
      <c r="CF401" s="25"/>
      <c r="CG401" s="25"/>
      <c r="CH401" s="25"/>
      <c r="CI401" s="25"/>
      <c r="CJ401" s="25"/>
      <c r="CK401" s="25"/>
      <c r="CL401" s="25"/>
      <c r="CM401" s="25"/>
      <c r="CN401" s="25"/>
      <c r="CO401" s="25"/>
      <c r="CP401" s="25"/>
      <c r="CQ401" s="25"/>
      <c r="CR401" s="25"/>
      <c r="CS401" s="25"/>
    </row>
    <row r="402" spans="2:97">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c r="AV402" s="25"/>
      <c r="AW402" s="25"/>
      <c r="AX402" s="25"/>
      <c r="AY402" s="25"/>
      <c r="AZ402" s="25"/>
      <c r="BA402" s="25"/>
      <c r="BB402" s="25"/>
      <c r="BC402" s="25"/>
      <c r="BD402" s="25"/>
      <c r="BE402" s="25"/>
      <c r="BF402" s="25"/>
      <c r="BG402" s="25"/>
      <c r="BH402" s="25"/>
      <c r="BI402" s="25"/>
      <c r="BJ402" s="25"/>
      <c r="BK402" s="25"/>
      <c r="BL402" s="25"/>
      <c r="BM402" s="25"/>
      <c r="BN402" s="25"/>
      <c r="BO402" s="25"/>
      <c r="BP402" s="25"/>
      <c r="BQ402" s="25"/>
      <c r="BR402" s="25"/>
      <c r="BS402" s="25"/>
      <c r="BT402" s="25"/>
      <c r="BU402" s="25"/>
      <c r="BV402" s="25"/>
      <c r="BW402" s="25"/>
      <c r="BX402" s="25"/>
      <c r="BY402" s="25"/>
      <c r="BZ402" s="25"/>
      <c r="CA402" s="25"/>
      <c r="CB402" s="25"/>
      <c r="CC402" s="25"/>
      <c r="CD402" s="25"/>
      <c r="CE402" s="25"/>
      <c r="CF402" s="25"/>
      <c r="CG402" s="25"/>
      <c r="CH402" s="25"/>
      <c r="CI402" s="25"/>
      <c r="CJ402" s="25"/>
      <c r="CK402" s="25"/>
      <c r="CL402" s="25"/>
      <c r="CM402" s="25"/>
      <c r="CN402" s="25"/>
      <c r="CO402" s="25"/>
      <c r="CP402" s="25"/>
      <c r="CQ402" s="25"/>
      <c r="CR402" s="25"/>
      <c r="CS402" s="25"/>
    </row>
    <row r="403" spans="2:97">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c r="AV403" s="25"/>
      <c r="AW403" s="25"/>
      <c r="AX403" s="25"/>
      <c r="AY403" s="25"/>
      <c r="AZ403" s="25"/>
      <c r="BA403" s="25"/>
      <c r="BB403" s="25"/>
      <c r="BC403" s="25"/>
      <c r="BD403" s="25"/>
      <c r="BE403" s="25"/>
      <c r="BF403" s="25"/>
      <c r="BG403" s="25"/>
      <c r="BH403" s="25"/>
      <c r="BI403" s="25"/>
      <c r="BJ403" s="25"/>
      <c r="BK403" s="25"/>
      <c r="BL403" s="25"/>
      <c r="BM403" s="25"/>
      <c r="BN403" s="25"/>
      <c r="BO403" s="25"/>
      <c r="BP403" s="25"/>
      <c r="BQ403" s="25"/>
      <c r="BR403" s="25"/>
      <c r="BS403" s="25"/>
      <c r="BT403" s="25"/>
      <c r="BU403" s="25"/>
      <c r="BV403" s="25"/>
      <c r="BW403" s="25"/>
      <c r="BX403" s="25"/>
      <c r="BY403" s="25"/>
      <c r="BZ403" s="25"/>
      <c r="CA403" s="25"/>
      <c r="CB403" s="25"/>
      <c r="CC403" s="25"/>
      <c r="CD403" s="25"/>
      <c r="CE403" s="25"/>
      <c r="CF403" s="25"/>
      <c r="CG403" s="25"/>
      <c r="CH403" s="25"/>
      <c r="CI403" s="25"/>
      <c r="CJ403" s="25"/>
      <c r="CK403" s="25"/>
      <c r="CL403" s="25"/>
      <c r="CM403" s="25"/>
      <c r="CN403" s="25"/>
      <c r="CO403" s="25"/>
      <c r="CP403" s="25"/>
      <c r="CQ403" s="25"/>
      <c r="CR403" s="25"/>
      <c r="CS403" s="25"/>
    </row>
    <row r="404" spans="2:97">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c r="AV404" s="25"/>
      <c r="AW404" s="25"/>
      <c r="AX404" s="25"/>
      <c r="AY404" s="25"/>
      <c r="AZ404" s="25"/>
      <c r="BA404" s="25"/>
      <c r="BB404" s="25"/>
      <c r="BC404" s="25"/>
      <c r="BD404" s="25"/>
      <c r="BE404" s="25"/>
      <c r="BF404" s="25"/>
      <c r="BG404" s="25"/>
      <c r="BH404" s="25"/>
      <c r="BI404" s="25"/>
      <c r="BJ404" s="25"/>
      <c r="BK404" s="25"/>
      <c r="BL404" s="25"/>
      <c r="BM404" s="25"/>
      <c r="BN404" s="25"/>
      <c r="BO404" s="25"/>
      <c r="BP404" s="25"/>
      <c r="BQ404" s="25"/>
      <c r="BR404" s="25"/>
      <c r="BS404" s="25"/>
      <c r="BT404" s="25"/>
      <c r="BU404" s="25"/>
      <c r="BV404" s="25"/>
      <c r="BW404" s="25"/>
      <c r="BX404" s="25"/>
      <c r="BY404" s="25"/>
      <c r="BZ404" s="25"/>
      <c r="CA404" s="25"/>
      <c r="CB404" s="25"/>
      <c r="CC404" s="25"/>
      <c r="CD404" s="25"/>
      <c r="CE404" s="25"/>
      <c r="CF404" s="25"/>
      <c r="CG404" s="25"/>
      <c r="CH404" s="25"/>
      <c r="CI404" s="25"/>
      <c r="CJ404" s="25"/>
      <c r="CK404" s="25"/>
      <c r="CL404" s="25"/>
      <c r="CM404" s="25"/>
      <c r="CN404" s="25"/>
      <c r="CO404" s="25"/>
      <c r="CP404" s="25"/>
      <c r="CQ404" s="25"/>
      <c r="CR404" s="25"/>
      <c r="CS404" s="25"/>
    </row>
    <row r="405" spans="2:97">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c r="AV405" s="25"/>
      <c r="AW405" s="25"/>
      <c r="AX405" s="25"/>
      <c r="AY405" s="25"/>
      <c r="AZ405" s="25"/>
      <c r="BA405" s="25"/>
      <c r="BB405" s="25"/>
      <c r="BC405" s="25"/>
      <c r="BD405" s="25"/>
      <c r="BE405" s="25"/>
      <c r="BF405" s="25"/>
      <c r="BG405" s="25"/>
      <c r="BH405" s="25"/>
      <c r="BI405" s="25"/>
      <c r="BJ405" s="25"/>
      <c r="BK405" s="25"/>
      <c r="BL405" s="25"/>
      <c r="BM405" s="25"/>
      <c r="BN405" s="25"/>
      <c r="BO405" s="25"/>
      <c r="BP405" s="25"/>
      <c r="BQ405" s="25"/>
      <c r="BR405" s="25"/>
      <c r="BS405" s="25"/>
      <c r="BT405" s="25"/>
      <c r="BU405" s="25"/>
      <c r="BV405" s="25"/>
      <c r="BW405" s="25"/>
      <c r="BX405" s="25"/>
      <c r="BY405" s="25"/>
      <c r="BZ405" s="25"/>
      <c r="CA405" s="25"/>
      <c r="CB405" s="25"/>
      <c r="CC405" s="25"/>
      <c r="CD405" s="25"/>
      <c r="CE405" s="25"/>
      <c r="CF405" s="25"/>
      <c r="CG405" s="25"/>
      <c r="CH405" s="25"/>
      <c r="CI405" s="25"/>
      <c r="CJ405" s="25"/>
      <c r="CK405" s="25"/>
      <c r="CL405" s="25"/>
      <c r="CM405" s="25"/>
      <c r="CN405" s="25"/>
      <c r="CO405" s="25"/>
      <c r="CP405" s="25"/>
      <c r="CQ405" s="25"/>
      <c r="CR405" s="25"/>
      <c r="CS405" s="25"/>
    </row>
    <row r="406" spans="2:97">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c r="AV406" s="25"/>
      <c r="AW406" s="25"/>
      <c r="AX406" s="25"/>
      <c r="AY406" s="25"/>
      <c r="AZ406" s="25"/>
      <c r="BA406" s="25"/>
      <c r="BB406" s="25"/>
      <c r="BC406" s="25"/>
      <c r="BD406" s="25"/>
      <c r="BE406" s="25"/>
      <c r="BF406" s="25"/>
      <c r="BG406" s="25"/>
      <c r="BH406" s="25"/>
      <c r="BI406" s="25"/>
      <c r="BJ406" s="25"/>
      <c r="BK406" s="25"/>
      <c r="BL406" s="25"/>
      <c r="BM406" s="25"/>
      <c r="BN406" s="25"/>
      <c r="BO406" s="25"/>
      <c r="BP406" s="25"/>
      <c r="BQ406" s="25"/>
      <c r="BR406" s="25"/>
      <c r="BS406" s="25"/>
      <c r="BT406" s="25"/>
      <c r="BU406" s="25"/>
      <c r="BV406" s="25"/>
      <c r="BW406" s="25"/>
      <c r="BX406" s="25"/>
      <c r="BY406" s="25"/>
      <c r="BZ406" s="25"/>
      <c r="CA406" s="25"/>
      <c r="CB406" s="25"/>
      <c r="CC406" s="25"/>
      <c r="CD406" s="25"/>
      <c r="CE406" s="25"/>
      <c r="CF406" s="25"/>
      <c r="CG406" s="25"/>
      <c r="CH406" s="25"/>
      <c r="CI406" s="25"/>
      <c r="CJ406" s="25"/>
      <c r="CK406" s="25"/>
      <c r="CL406" s="25"/>
      <c r="CM406" s="25"/>
      <c r="CN406" s="25"/>
      <c r="CO406" s="25"/>
      <c r="CP406" s="25"/>
      <c r="CQ406" s="25"/>
      <c r="CR406" s="25"/>
      <c r="CS406" s="25"/>
    </row>
    <row r="407" spans="2:97">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c r="AV407" s="25"/>
      <c r="AW407" s="25"/>
      <c r="AX407" s="25"/>
      <c r="AY407" s="25"/>
      <c r="AZ407" s="25"/>
      <c r="BA407" s="25"/>
      <c r="BB407" s="25"/>
      <c r="BC407" s="25"/>
      <c r="BD407" s="25"/>
      <c r="BE407" s="25"/>
      <c r="BF407" s="25"/>
      <c r="BG407" s="25"/>
      <c r="BH407" s="25"/>
      <c r="BI407" s="25"/>
      <c r="BJ407" s="25"/>
      <c r="BK407" s="25"/>
      <c r="BL407" s="25"/>
      <c r="BM407" s="25"/>
      <c r="BN407" s="25"/>
      <c r="BO407" s="25"/>
      <c r="BP407" s="25"/>
      <c r="BQ407" s="25"/>
      <c r="BR407" s="25"/>
      <c r="BS407" s="25"/>
      <c r="BT407" s="25"/>
      <c r="BU407" s="25"/>
      <c r="BV407" s="25"/>
      <c r="BW407" s="25"/>
      <c r="BX407" s="25"/>
      <c r="BY407" s="25"/>
      <c r="BZ407" s="25"/>
      <c r="CA407" s="25"/>
      <c r="CB407" s="25"/>
      <c r="CC407" s="25"/>
      <c r="CD407" s="25"/>
      <c r="CE407" s="25"/>
      <c r="CF407" s="25"/>
      <c r="CG407" s="25"/>
      <c r="CH407" s="25"/>
      <c r="CI407" s="25"/>
      <c r="CJ407" s="25"/>
      <c r="CK407" s="25"/>
      <c r="CL407" s="25"/>
      <c r="CM407" s="25"/>
      <c r="CN407" s="25"/>
      <c r="CO407" s="25"/>
      <c r="CP407" s="25"/>
      <c r="CQ407" s="25"/>
      <c r="CR407" s="25"/>
      <c r="CS407" s="25"/>
    </row>
    <row r="408" spans="2:97">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c r="AV408" s="25"/>
      <c r="AW408" s="25"/>
      <c r="AX408" s="25"/>
      <c r="AY408" s="25"/>
      <c r="AZ408" s="25"/>
      <c r="BA408" s="25"/>
      <c r="BB408" s="25"/>
      <c r="BC408" s="25"/>
      <c r="BD408" s="25"/>
      <c r="BE408" s="25"/>
      <c r="BF408" s="25"/>
      <c r="BG408" s="25"/>
      <c r="BH408" s="25"/>
      <c r="BI408" s="25"/>
      <c r="BJ408" s="25"/>
      <c r="BK408" s="25"/>
      <c r="BL408" s="25"/>
      <c r="BM408" s="25"/>
      <c r="BN408" s="25"/>
      <c r="BO408" s="25"/>
      <c r="BP408" s="25"/>
      <c r="BQ408" s="25"/>
      <c r="BR408" s="25"/>
      <c r="BS408" s="25"/>
      <c r="BT408" s="25"/>
      <c r="BU408" s="25"/>
      <c r="BV408" s="25"/>
      <c r="BW408" s="25"/>
      <c r="BX408" s="25"/>
      <c r="BY408" s="25"/>
      <c r="BZ408" s="25"/>
      <c r="CA408" s="25"/>
      <c r="CB408" s="25"/>
      <c r="CC408" s="25"/>
      <c r="CD408" s="25"/>
      <c r="CE408" s="25"/>
      <c r="CF408" s="25"/>
      <c r="CG408" s="25"/>
      <c r="CH408" s="25"/>
      <c r="CI408" s="25"/>
      <c r="CJ408" s="25"/>
      <c r="CK408" s="25"/>
      <c r="CL408" s="25"/>
      <c r="CM408" s="25"/>
      <c r="CN408" s="25"/>
      <c r="CO408" s="25"/>
      <c r="CP408" s="25"/>
      <c r="CQ408" s="25"/>
      <c r="CR408" s="25"/>
      <c r="CS408" s="25"/>
    </row>
    <row r="409" spans="2:97">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c r="AV409" s="25"/>
      <c r="AW409" s="25"/>
      <c r="AX409" s="25"/>
      <c r="AY409" s="25"/>
      <c r="AZ409" s="25"/>
      <c r="BA409" s="25"/>
      <c r="BB409" s="25"/>
      <c r="BC409" s="25"/>
      <c r="BD409" s="25"/>
      <c r="BE409" s="25"/>
      <c r="BF409" s="25"/>
      <c r="BG409" s="25"/>
      <c r="BH409" s="25"/>
      <c r="BI409" s="25"/>
      <c r="BJ409" s="25"/>
      <c r="BK409" s="25"/>
      <c r="BL409" s="25"/>
      <c r="BM409" s="25"/>
      <c r="BN409" s="25"/>
      <c r="BO409" s="25"/>
      <c r="BP409" s="25"/>
      <c r="BQ409" s="25"/>
      <c r="BR409" s="25"/>
      <c r="BS409" s="25"/>
      <c r="BT409" s="25"/>
      <c r="BU409" s="25"/>
      <c r="BV409" s="25"/>
      <c r="BW409" s="25"/>
      <c r="BX409" s="25"/>
      <c r="BY409" s="25"/>
      <c r="BZ409" s="25"/>
      <c r="CA409" s="25"/>
      <c r="CB409" s="25"/>
      <c r="CC409" s="25"/>
      <c r="CD409" s="25"/>
      <c r="CE409" s="25"/>
      <c r="CF409" s="25"/>
      <c r="CG409" s="25"/>
      <c r="CH409" s="25"/>
      <c r="CI409" s="25"/>
      <c r="CJ409" s="25"/>
      <c r="CK409" s="25"/>
      <c r="CL409" s="25"/>
      <c r="CM409" s="25"/>
      <c r="CN409" s="25"/>
      <c r="CO409" s="25"/>
      <c r="CP409" s="25"/>
      <c r="CQ409" s="25"/>
      <c r="CR409" s="25"/>
      <c r="CS409" s="25"/>
    </row>
    <row r="410" spans="2:97">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c r="AV410" s="25"/>
      <c r="AW410" s="25"/>
      <c r="AX410" s="25"/>
      <c r="AY410" s="25"/>
      <c r="AZ410" s="25"/>
      <c r="BA410" s="25"/>
      <c r="BB410" s="25"/>
      <c r="BC410" s="25"/>
      <c r="BD410" s="25"/>
      <c r="BE410" s="25"/>
      <c r="BF410" s="25"/>
      <c r="BG410" s="25"/>
      <c r="BH410" s="25"/>
      <c r="BI410" s="25"/>
      <c r="BJ410" s="25"/>
      <c r="BK410" s="25"/>
      <c r="BL410" s="25"/>
      <c r="BM410" s="25"/>
      <c r="BN410" s="25"/>
      <c r="BO410" s="25"/>
      <c r="BP410" s="25"/>
      <c r="BQ410" s="25"/>
      <c r="BR410" s="25"/>
      <c r="BS410" s="25"/>
      <c r="BT410" s="25"/>
      <c r="BU410" s="25"/>
      <c r="BV410" s="25"/>
      <c r="BW410" s="25"/>
      <c r="BX410" s="25"/>
      <c r="BY410" s="25"/>
      <c r="BZ410" s="25"/>
      <c r="CA410" s="25"/>
      <c r="CB410" s="25"/>
      <c r="CC410" s="25"/>
      <c r="CD410" s="25"/>
      <c r="CE410" s="25"/>
      <c r="CF410" s="25"/>
      <c r="CG410" s="25"/>
      <c r="CH410" s="25"/>
      <c r="CI410" s="25"/>
      <c r="CJ410" s="25"/>
      <c r="CK410" s="25"/>
      <c r="CL410" s="25"/>
      <c r="CM410" s="25"/>
      <c r="CN410" s="25"/>
      <c r="CO410" s="25"/>
      <c r="CP410" s="25"/>
      <c r="CQ410" s="25"/>
      <c r="CR410" s="25"/>
      <c r="CS410" s="25"/>
    </row>
    <row r="411" spans="2:97">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c r="AV411" s="25"/>
      <c r="AW411" s="25"/>
      <c r="AX411" s="25"/>
      <c r="AY411" s="25"/>
      <c r="AZ411" s="25"/>
      <c r="BA411" s="25"/>
      <c r="BB411" s="25"/>
      <c r="BC411" s="25"/>
      <c r="BD411" s="25"/>
      <c r="BE411" s="25"/>
      <c r="BF411" s="25"/>
      <c r="BG411" s="25"/>
      <c r="BH411" s="25"/>
      <c r="BI411" s="25"/>
      <c r="BJ411" s="25"/>
      <c r="BK411" s="25"/>
      <c r="BL411" s="25"/>
      <c r="BM411" s="25"/>
      <c r="BN411" s="25"/>
      <c r="BO411" s="25"/>
      <c r="BP411" s="25"/>
      <c r="BQ411" s="25"/>
      <c r="BR411" s="25"/>
      <c r="BS411" s="25"/>
      <c r="BT411" s="25"/>
      <c r="BU411" s="25"/>
      <c r="BV411" s="25"/>
      <c r="BW411" s="25"/>
      <c r="BX411" s="25"/>
      <c r="BY411" s="25"/>
      <c r="BZ411" s="25"/>
      <c r="CA411" s="25"/>
      <c r="CB411" s="25"/>
      <c r="CC411" s="25"/>
      <c r="CD411" s="25"/>
      <c r="CE411" s="25"/>
      <c r="CF411" s="25"/>
      <c r="CG411" s="25"/>
      <c r="CH411" s="25"/>
      <c r="CI411" s="25"/>
      <c r="CJ411" s="25"/>
      <c r="CK411" s="25"/>
      <c r="CL411" s="25"/>
      <c r="CM411" s="25"/>
      <c r="CN411" s="25"/>
      <c r="CO411" s="25"/>
      <c r="CP411" s="25"/>
      <c r="CQ411" s="25"/>
      <c r="CR411" s="25"/>
      <c r="CS411" s="25"/>
    </row>
    <row r="412" spans="2:97">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c r="AV412" s="25"/>
      <c r="AW412" s="25"/>
      <c r="AX412" s="25"/>
      <c r="AY412" s="25"/>
      <c r="AZ412" s="25"/>
      <c r="BA412" s="25"/>
      <c r="BB412" s="25"/>
      <c r="BC412" s="25"/>
      <c r="BD412" s="25"/>
      <c r="BE412" s="25"/>
      <c r="BF412" s="25"/>
      <c r="BG412" s="25"/>
      <c r="BH412" s="25"/>
      <c r="BI412" s="25"/>
      <c r="BJ412" s="25"/>
      <c r="BK412" s="25"/>
      <c r="BL412" s="25"/>
      <c r="BM412" s="25"/>
      <c r="BN412" s="25"/>
      <c r="BO412" s="25"/>
      <c r="BP412" s="25"/>
      <c r="BQ412" s="25"/>
      <c r="BR412" s="25"/>
      <c r="BS412" s="25"/>
      <c r="BT412" s="25"/>
      <c r="BU412" s="25"/>
      <c r="BV412" s="25"/>
      <c r="BW412" s="25"/>
      <c r="BX412" s="25"/>
      <c r="BY412" s="25"/>
      <c r="BZ412" s="25"/>
      <c r="CA412" s="25"/>
      <c r="CB412" s="25"/>
      <c r="CC412" s="25"/>
      <c r="CD412" s="25"/>
      <c r="CE412" s="25"/>
      <c r="CF412" s="25"/>
      <c r="CG412" s="25"/>
      <c r="CH412" s="25"/>
      <c r="CI412" s="25"/>
      <c r="CJ412" s="25"/>
      <c r="CK412" s="25"/>
      <c r="CL412" s="25"/>
      <c r="CM412" s="25"/>
      <c r="CN412" s="25"/>
      <c r="CO412" s="25"/>
      <c r="CP412" s="25"/>
      <c r="CQ412" s="25"/>
      <c r="CR412" s="25"/>
      <c r="CS412" s="25"/>
    </row>
    <row r="413" spans="2:97">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c r="AV413" s="25"/>
      <c r="AW413" s="25"/>
      <c r="AX413" s="25"/>
      <c r="AY413" s="25"/>
      <c r="AZ413" s="25"/>
      <c r="BA413" s="25"/>
      <c r="BB413" s="25"/>
      <c r="BC413" s="25"/>
      <c r="BD413" s="25"/>
      <c r="BE413" s="25"/>
      <c r="BF413" s="25"/>
      <c r="BG413" s="25"/>
      <c r="BH413" s="25"/>
      <c r="BI413" s="25"/>
      <c r="BJ413" s="25"/>
      <c r="BK413" s="25"/>
      <c r="BL413" s="25"/>
      <c r="BM413" s="25"/>
      <c r="BN413" s="25"/>
      <c r="BO413" s="25"/>
      <c r="BP413" s="25"/>
      <c r="BQ413" s="25"/>
      <c r="BR413" s="25"/>
      <c r="BS413" s="25"/>
      <c r="BT413" s="25"/>
      <c r="BU413" s="25"/>
      <c r="BV413" s="25"/>
      <c r="BW413" s="25"/>
      <c r="BX413" s="25"/>
      <c r="BY413" s="25"/>
      <c r="BZ413" s="25"/>
      <c r="CA413" s="25"/>
      <c r="CB413" s="25"/>
      <c r="CC413" s="25"/>
      <c r="CD413" s="25"/>
      <c r="CE413" s="25"/>
      <c r="CF413" s="25"/>
      <c r="CG413" s="25"/>
      <c r="CH413" s="25"/>
      <c r="CI413" s="25"/>
      <c r="CJ413" s="25"/>
      <c r="CK413" s="25"/>
      <c r="CL413" s="25"/>
      <c r="CM413" s="25"/>
      <c r="CN413" s="25"/>
      <c r="CO413" s="25"/>
      <c r="CP413" s="25"/>
      <c r="CQ413" s="25"/>
      <c r="CR413" s="25"/>
      <c r="CS413" s="25"/>
    </row>
    <row r="414" spans="2:97">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c r="AV414" s="25"/>
      <c r="AW414" s="25"/>
      <c r="AX414" s="25"/>
      <c r="AY414" s="25"/>
      <c r="AZ414" s="25"/>
      <c r="BA414" s="25"/>
      <c r="BB414" s="25"/>
      <c r="BC414" s="25"/>
      <c r="BD414" s="25"/>
      <c r="BE414" s="25"/>
      <c r="BF414" s="25"/>
      <c r="BG414" s="25"/>
      <c r="BH414" s="25"/>
      <c r="BI414" s="25"/>
      <c r="BJ414" s="25"/>
      <c r="BK414" s="25"/>
      <c r="BL414" s="25"/>
      <c r="BM414" s="25"/>
      <c r="BN414" s="25"/>
      <c r="BO414" s="25"/>
      <c r="BP414" s="25"/>
      <c r="BQ414" s="25"/>
      <c r="BR414" s="25"/>
      <c r="BS414" s="25"/>
      <c r="BT414" s="25"/>
      <c r="BU414" s="25"/>
      <c r="BV414" s="25"/>
      <c r="BW414" s="25"/>
      <c r="BX414" s="25"/>
      <c r="BY414" s="25"/>
      <c r="BZ414" s="25"/>
      <c r="CA414" s="25"/>
      <c r="CB414" s="25"/>
      <c r="CC414" s="25"/>
      <c r="CD414" s="25"/>
      <c r="CE414" s="25"/>
      <c r="CF414" s="25"/>
      <c r="CG414" s="25"/>
      <c r="CH414" s="25"/>
      <c r="CI414" s="25"/>
      <c r="CJ414" s="25"/>
      <c r="CK414" s="25"/>
      <c r="CL414" s="25"/>
      <c r="CM414" s="25"/>
      <c r="CN414" s="25"/>
      <c r="CO414" s="25"/>
      <c r="CP414" s="25"/>
      <c r="CQ414" s="25"/>
      <c r="CR414" s="25"/>
      <c r="CS414" s="25"/>
    </row>
    <row r="415" spans="2:97">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c r="AV415" s="25"/>
      <c r="AW415" s="25"/>
      <c r="AX415" s="25"/>
      <c r="AY415" s="25"/>
      <c r="AZ415" s="25"/>
      <c r="BA415" s="25"/>
      <c r="BB415" s="25"/>
      <c r="BC415" s="25"/>
      <c r="BD415" s="25"/>
      <c r="BE415" s="25"/>
      <c r="BF415" s="25"/>
      <c r="BG415" s="25"/>
      <c r="BH415" s="25"/>
      <c r="BI415" s="25"/>
      <c r="BJ415" s="25"/>
      <c r="BK415" s="25"/>
      <c r="BL415" s="25"/>
      <c r="BM415" s="25"/>
      <c r="BN415" s="25"/>
      <c r="BO415" s="25"/>
      <c r="BP415" s="25"/>
      <c r="BQ415" s="25"/>
      <c r="BR415" s="25"/>
      <c r="BS415" s="25"/>
      <c r="BT415" s="25"/>
      <c r="BU415" s="25"/>
      <c r="BV415" s="25"/>
      <c r="BW415" s="25"/>
      <c r="BX415" s="25"/>
      <c r="BY415" s="25"/>
      <c r="BZ415" s="25"/>
      <c r="CA415" s="25"/>
      <c r="CB415" s="25"/>
      <c r="CC415" s="25"/>
      <c r="CD415" s="25"/>
      <c r="CE415" s="25"/>
      <c r="CF415" s="25"/>
      <c r="CG415" s="25"/>
      <c r="CH415" s="25"/>
      <c r="CI415" s="25"/>
      <c r="CJ415" s="25"/>
      <c r="CK415" s="25"/>
      <c r="CL415" s="25"/>
      <c r="CM415" s="25"/>
      <c r="CN415" s="25"/>
      <c r="CO415" s="25"/>
      <c r="CP415" s="25"/>
      <c r="CQ415" s="25"/>
      <c r="CR415" s="25"/>
      <c r="CS415" s="25"/>
    </row>
    <row r="416" spans="2:97">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c r="AV416" s="25"/>
      <c r="AW416" s="25"/>
      <c r="AX416" s="25"/>
      <c r="AY416" s="25"/>
      <c r="AZ416" s="25"/>
      <c r="BA416" s="25"/>
      <c r="BB416" s="25"/>
      <c r="BC416" s="25"/>
      <c r="BD416" s="25"/>
      <c r="BE416" s="25"/>
      <c r="BF416" s="25"/>
      <c r="BG416" s="25"/>
      <c r="BH416" s="25"/>
      <c r="BI416" s="25"/>
      <c r="BJ416" s="25"/>
      <c r="BK416" s="25"/>
      <c r="BL416" s="25"/>
      <c r="BM416" s="25"/>
      <c r="BN416" s="25"/>
      <c r="BO416" s="25"/>
      <c r="BP416" s="25"/>
      <c r="BQ416" s="25"/>
      <c r="BR416" s="25"/>
      <c r="BS416" s="25"/>
      <c r="BT416" s="25"/>
      <c r="BU416" s="25"/>
      <c r="BV416" s="25"/>
      <c r="BW416" s="25"/>
      <c r="BX416" s="25"/>
      <c r="BY416" s="25"/>
      <c r="BZ416" s="25"/>
      <c r="CA416" s="25"/>
      <c r="CB416" s="25"/>
      <c r="CC416" s="25"/>
      <c r="CD416" s="25"/>
      <c r="CE416" s="25"/>
      <c r="CF416" s="25"/>
      <c r="CG416" s="25"/>
      <c r="CH416" s="25"/>
      <c r="CI416" s="25"/>
      <c r="CJ416" s="25"/>
      <c r="CK416" s="25"/>
      <c r="CL416" s="25"/>
      <c r="CM416" s="25"/>
      <c r="CN416" s="25"/>
      <c r="CO416" s="25"/>
      <c r="CP416" s="25"/>
      <c r="CQ416" s="25"/>
      <c r="CR416" s="25"/>
      <c r="CS416" s="25"/>
    </row>
    <row r="417" spans="2:97">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c r="AV417" s="25"/>
      <c r="AW417" s="25"/>
      <c r="AX417" s="25"/>
      <c r="AY417" s="25"/>
      <c r="AZ417" s="25"/>
      <c r="BA417" s="25"/>
      <c r="BB417" s="25"/>
      <c r="BC417" s="25"/>
      <c r="BD417" s="25"/>
      <c r="BE417" s="25"/>
      <c r="BF417" s="25"/>
      <c r="BG417" s="25"/>
      <c r="BH417" s="25"/>
      <c r="BI417" s="25"/>
      <c r="BJ417" s="25"/>
      <c r="BK417" s="25"/>
      <c r="BL417" s="25"/>
      <c r="BM417" s="25"/>
      <c r="BN417" s="25"/>
      <c r="BO417" s="25"/>
      <c r="BP417" s="25"/>
      <c r="BQ417" s="25"/>
      <c r="BR417" s="25"/>
      <c r="BS417" s="25"/>
      <c r="BT417" s="25"/>
      <c r="BU417" s="25"/>
      <c r="BV417" s="25"/>
      <c r="BW417" s="25"/>
      <c r="BX417" s="25"/>
      <c r="BY417" s="25"/>
      <c r="BZ417" s="25"/>
      <c r="CA417" s="25"/>
      <c r="CB417" s="25"/>
      <c r="CC417" s="25"/>
      <c r="CD417" s="25"/>
      <c r="CE417" s="25"/>
      <c r="CF417" s="25"/>
      <c r="CG417" s="25"/>
      <c r="CH417" s="25"/>
      <c r="CI417" s="25"/>
      <c r="CJ417" s="25"/>
      <c r="CK417" s="25"/>
      <c r="CL417" s="25"/>
      <c r="CM417" s="25"/>
      <c r="CN417" s="25"/>
      <c r="CO417" s="25"/>
      <c r="CP417" s="25"/>
      <c r="CQ417" s="25"/>
      <c r="CR417" s="25"/>
      <c r="CS417" s="25"/>
    </row>
    <row r="418" spans="2:97">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c r="AV418" s="25"/>
      <c r="AW418" s="25"/>
      <c r="AX418" s="25"/>
      <c r="AY418" s="25"/>
      <c r="AZ418" s="25"/>
      <c r="BA418" s="25"/>
      <c r="BB418" s="25"/>
      <c r="BC418" s="25"/>
      <c r="BD418" s="25"/>
      <c r="BE418" s="25"/>
      <c r="BF418" s="25"/>
      <c r="BG418" s="25"/>
      <c r="BH418" s="25"/>
      <c r="BI418" s="25"/>
      <c r="BJ418" s="25"/>
      <c r="BK418" s="25"/>
      <c r="BL418" s="25"/>
      <c r="BM418" s="25"/>
      <c r="BN418" s="25"/>
      <c r="BO418" s="25"/>
      <c r="BP418" s="25"/>
      <c r="BQ418" s="25"/>
      <c r="BR418" s="25"/>
      <c r="BS418" s="25"/>
      <c r="BT418" s="25"/>
      <c r="BU418" s="25"/>
      <c r="BV418" s="25"/>
      <c r="BW418" s="25"/>
      <c r="BX418" s="25"/>
      <c r="BY418" s="25"/>
      <c r="BZ418" s="25"/>
      <c r="CA418" s="25"/>
      <c r="CB418" s="25"/>
      <c r="CC418" s="25"/>
      <c r="CD418" s="25"/>
      <c r="CE418" s="25"/>
      <c r="CF418" s="25"/>
      <c r="CG418" s="25"/>
      <c r="CH418" s="25"/>
      <c r="CI418" s="25"/>
      <c r="CJ418" s="25"/>
      <c r="CK418" s="25"/>
      <c r="CL418" s="25"/>
      <c r="CM418" s="25"/>
      <c r="CN418" s="25"/>
      <c r="CO418" s="25"/>
      <c r="CP418" s="25"/>
      <c r="CQ418" s="25"/>
      <c r="CR418" s="25"/>
      <c r="CS418" s="25"/>
    </row>
    <row r="419" spans="2:97">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c r="AV419" s="25"/>
      <c r="AW419" s="25"/>
      <c r="AX419" s="25"/>
      <c r="AY419" s="25"/>
      <c r="AZ419" s="25"/>
      <c r="BA419" s="25"/>
      <c r="BB419" s="25"/>
      <c r="BC419" s="25"/>
      <c r="BD419" s="25"/>
      <c r="BE419" s="25"/>
      <c r="BF419" s="25"/>
      <c r="BG419" s="25"/>
      <c r="BH419" s="25"/>
      <c r="BI419" s="25"/>
      <c r="BJ419" s="25"/>
      <c r="BK419" s="25"/>
      <c r="BL419" s="25"/>
      <c r="BM419" s="25"/>
      <c r="BN419" s="25"/>
      <c r="BO419" s="25"/>
      <c r="BP419" s="25"/>
      <c r="BQ419" s="25"/>
      <c r="BR419" s="25"/>
      <c r="BS419" s="25"/>
      <c r="BT419" s="25"/>
      <c r="BU419" s="25"/>
      <c r="BV419" s="25"/>
      <c r="BW419" s="25"/>
      <c r="BX419" s="25"/>
      <c r="BY419" s="25"/>
      <c r="BZ419" s="25"/>
      <c r="CA419" s="25"/>
      <c r="CB419" s="25"/>
      <c r="CC419" s="25"/>
      <c r="CD419" s="25"/>
      <c r="CE419" s="25"/>
      <c r="CF419" s="25"/>
      <c r="CG419" s="25"/>
      <c r="CH419" s="25"/>
      <c r="CI419" s="25"/>
      <c r="CJ419" s="25"/>
      <c r="CK419" s="25"/>
      <c r="CL419" s="25"/>
      <c r="CM419" s="25"/>
      <c r="CN419" s="25"/>
      <c r="CO419" s="25"/>
      <c r="CP419" s="25"/>
      <c r="CQ419" s="25"/>
      <c r="CR419" s="25"/>
      <c r="CS419" s="25"/>
    </row>
    <row r="420" spans="2:97">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c r="AV420" s="25"/>
      <c r="AW420" s="25"/>
      <c r="AX420" s="25"/>
      <c r="AY420" s="25"/>
      <c r="AZ420" s="25"/>
      <c r="BA420" s="25"/>
      <c r="BB420" s="25"/>
      <c r="BC420" s="25"/>
      <c r="BD420" s="25"/>
      <c r="BE420" s="25"/>
      <c r="BF420" s="25"/>
      <c r="BG420" s="25"/>
      <c r="BH420" s="25"/>
      <c r="BI420" s="25"/>
      <c r="BJ420" s="25"/>
      <c r="BK420" s="25"/>
      <c r="BL420" s="25"/>
      <c r="BM420" s="25"/>
      <c r="BN420" s="25"/>
      <c r="BO420" s="25"/>
      <c r="BP420" s="25"/>
      <c r="BQ420" s="25"/>
      <c r="BR420" s="25"/>
      <c r="BS420" s="25"/>
      <c r="BT420" s="25"/>
      <c r="BU420" s="25"/>
      <c r="BV420" s="25"/>
      <c r="BW420" s="25"/>
      <c r="BX420" s="25"/>
      <c r="BY420" s="25"/>
      <c r="BZ420" s="25"/>
      <c r="CA420" s="25"/>
      <c r="CB420" s="25"/>
      <c r="CC420" s="25"/>
      <c r="CD420" s="25"/>
      <c r="CE420" s="25"/>
      <c r="CF420" s="25"/>
      <c r="CG420" s="25"/>
      <c r="CH420" s="25"/>
      <c r="CI420" s="25"/>
      <c r="CJ420" s="25"/>
      <c r="CK420" s="25"/>
      <c r="CL420" s="25"/>
      <c r="CM420" s="25"/>
      <c r="CN420" s="25"/>
      <c r="CO420" s="25"/>
      <c r="CP420" s="25"/>
      <c r="CQ420" s="25"/>
      <c r="CR420" s="25"/>
      <c r="CS420" s="25"/>
    </row>
    <row r="421" spans="2:97">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c r="AV421" s="25"/>
      <c r="AW421" s="25"/>
      <c r="AX421" s="25"/>
      <c r="AY421" s="25"/>
      <c r="AZ421" s="25"/>
      <c r="BA421" s="25"/>
      <c r="BB421" s="25"/>
      <c r="BC421" s="25"/>
      <c r="BD421" s="25"/>
      <c r="BE421" s="25"/>
      <c r="BF421" s="25"/>
      <c r="BG421" s="25"/>
      <c r="BH421" s="25"/>
      <c r="BI421" s="25"/>
      <c r="BJ421" s="25"/>
      <c r="BK421" s="25"/>
      <c r="BL421" s="25"/>
      <c r="BM421" s="25"/>
      <c r="BN421" s="25"/>
      <c r="BO421" s="25"/>
      <c r="BP421" s="25"/>
      <c r="BQ421" s="25"/>
      <c r="BR421" s="25"/>
      <c r="BS421" s="25"/>
      <c r="BT421" s="25"/>
      <c r="BU421" s="25"/>
      <c r="BV421" s="25"/>
      <c r="BW421" s="25"/>
      <c r="BX421" s="25"/>
      <c r="BY421" s="25"/>
      <c r="BZ421" s="25"/>
      <c r="CA421" s="25"/>
      <c r="CB421" s="25"/>
      <c r="CC421" s="25"/>
      <c r="CD421" s="25"/>
      <c r="CE421" s="25"/>
      <c r="CF421" s="25"/>
      <c r="CG421" s="25"/>
      <c r="CH421" s="25"/>
      <c r="CI421" s="25"/>
      <c r="CJ421" s="25"/>
      <c r="CK421" s="25"/>
      <c r="CL421" s="25"/>
      <c r="CM421" s="25"/>
      <c r="CN421" s="25"/>
      <c r="CO421" s="25"/>
      <c r="CP421" s="25"/>
      <c r="CQ421" s="25"/>
      <c r="CR421" s="25"/>
      <c r="CS421" s="25"/>
    </row>
    <row r="422" spans="2:97">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c r="AV422" s="25"/>
      <c r="AW422" s="25"/>
      <c r="AX422" s="25"/>
      <c r="AY422" s="25"/>
      <c r="AZ422" s="25"/>
      <c r="BA422" s="25"/>
      <c r="BB422" s="25"/>
      <c r="BC422" s="25"/>
      <c r="BD422" s="25"/>
      <c r="BE422" s="25"/>
      <c r="BF422" s="25"/>
      <c r="BG422" s="25"/>
      <c r="BH422" s="25"/>
      <c r="BI422" s="25"/>
      <c r="BJ422" s="25"/>
      <c r="BK422" s="25"/>
      <c r="BL422" s="25"/>
      <c r="BM422" s="25"/>
      <c r="BN422" s="25"/>
      <c r="BO422" s="25"/>
      <c r="BP422" s="25"/>
      <c r="BQ422" s="25"/>
      <c r="BR422" s="25"/>
      <c r="BS422" s="25"/>
      <c r="BT422" s="25"/>
      <c r="BU422" s="25"/>
      <c r="BV422" s="25"/>
      <c r="BW422" s="25"/>
      <c r="BX422" s="25"/>
      <c r="BY422" s="25"/>
      <c r="BZ422" s="25"/>
      <c r="CA422" s="25"/>
      <c r="CB422" s="25"/>
      <c r="CC422" s="25"/>
      <c r="CD422" s="25"/>
      <c r="CE422" s="25"/>
      <c r="CF422" s="25"/>
      <c r="CG422" s="25"/>
      <c r="CH422" s="25"/>
      <c r="CI422" s="25"/>
      <c r="CJ422" s="25"/>
      <c r="CK422" s="25"/>
      <c r="CL422" s="25"/>
      <c r="CM422" s="25"/>
      <c r="CN422" s="25"/>
      <c r="CO422" s="25"/>
      <c r="CP422" s="25"/>
      <c r="CQ422" s="25"/>
      <c r="CR422" s="25"/>
      <c r="CS422" s="25"/>
    </row>
    <row r="423" spans="2:97">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c r="AV423" s="25"/>
      <c r="AW423" s="25"/>
      <c r="AX423" s="25"/>
      <c r="AY423" s="25"/>
      <c r="AZ423" s="25"/>
      <c r="BA423" s="25"/>
      <c r="BB423" s="25"/>
      <c r="BC423" s="25"/>
      <c r="BD423" s="25"/>
      <c r="BE423" s="25"/>
      <c r="BF423" s="25"/>
      <c r="BG423" s="25"/>
      <c r="BH423" s="25"/>
      <c r="BI423" s="25"/>
      <c r="BJ423" s="25"/>
      <c r="BK423" s="25"/>
      <c r="BL423" s="25"/>
      <c r="BM423" s="25"/>
      <c r="BN423" s="25"/>
      <c r="BO423" s="25"/>
      <c r="BP423" s="25"/>
      <c r="BQ423" s="25"/>
      <c r="BR423" s="25"/>
      <c r="BS423" s="25"/>
      <c r="BT423" s="25"/>
      <c r="BU423" s="25"/>
      <c r="BV423" s="25"/>
      <c r="BW423" s="25"/>
      <c r="BX423" s="25"/>
      <c r="BY423" s="25"/>
      <c r="BZ423" s="25"/>
      <c r="CA423" s="25"/>
      <c r="CB423" s="25"/>
      <c r="CC423" s="25"/>
      <c r="CD423" s="25"/>
      <c r="CE423" s="25"/>
      <c r="CF423" s="25"/>
      <c r="CG423" s="25"/>
      <c r="CH423" s="25"/>
      <c r="CI423" s="25"/>
      <c r="CJ423" s="25"/>
      <c r="CK423" s="25"/>
      <c r="CL423" s="25"/>
      <c r="CM423" s="25"/>
      <c r="CN423" s="25"/>
      <c r="CO423" s="25"/>
      <c r="CP423" s="25"/>
      <c r="CQ423" s="25"/>
      <c r="CR423" s="25"/>
      <c r="CS423" s="25"/>
    </row>
    <row r="424" spans="2:97">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c r="AV424" s="25"/>
      <c r="AW424" s="25"/>
      <c r="AX424" s="25"/>
      <c r="AY424" s="25"/>
      <c r="AZ424" s="25"/>
      <c r="BA424" s="25"/>
      <c r="BB424" s="25"/>
      <c r="BC424" s="25"/>
      <c r="BD424" s="25"/>
      <c r="BE424" s="25"/>
      <c r="BF424" s="25"/>
      <c r="BG424" s="25"/>
      <c r="BH424" s="25"/>
      <c r="BI424" s="25"/>
      <c r="BJ424" s="25"/>
      <c r="BK424" s="25"/>
      <c r="BL424" s="25"/>
      <c r="BM424" s="25"/>
      <c r="BN424" s="25"/>
      <c r="BO424" s="25"/>
      <c r="BP424" s="25"/>
      <c r="BQ424" s="25"/>
      <c r="BR424" s="25"/>
      <c r="BS424" s="25"/>
      <c r="BT424" s="25"/>
      <c r="BU424" s="25"/>
      <c r="BV424" s="25"/>
      <c r="BW424" s="25"/>
      <c r="BX424" s="25"/>
      <c r="BY424" s="25"/>
      <c r="BZ424" s="25"/>
      <c r="CA424" s="25"/>
      <c r="CB424" s="25"/>
      <c r="CC424" s="25"/>
      <c r="CD424" s="25"/>
      <c r="CE424" s="25"/>
      <c r="CF424" s="25"/>
      <c r="CG424" s="25"/>
      <c r="CH424" s="25"/>
      <c r="CI424" s="25"/>
      <c r="CJ424" s="25"/>
      <c r="CK424" s="25"/>
      <c r="CL424" s="25"/>
      <c r="CM424" s="25"/>
      <c r="CN424" s="25"/>
      <c r="CO424" s="25"/>
      <c r="CP424" s="25"/>
      <c r="CQ424" s="25"/>
      <c r="CR424" s="25"/>
      <c r="CS424" s="25"/>
    </row>
    <row r="425" spans="2:97">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c r="AV425" s="25"/>
      <c r="AW425" s="25"/>
      <c r="AX425" s="25"/>
      <c r="AY425" s="25"/>
      <c r="AZ425" s="25"/>
      <c r="BA425" s="25"/>
      <c r="BB425" s="25"/>
      <c r="BC425" s="25"/>
      <c r="BD425" s="25"/>
      <c r="BE425" s="25"/>
      <c r="BF425" s="25"/>
      <c r="BG425" s="25"/>
      <c r="BH425" s="25"/>
      <c r="BI425" s="25"/>
      <c r="BJ425" s="25"/>
      <c r="BK425" s="25"/>
      <c r="BL425" s="25"/>
      <c r="BM425" s="25"/>
      <c r="BN425" s="25"/>
      <c r="BO425" s="25"/>
      <c r="BP425" s="25"/>
      <c r="BQ425" s="25"/>
      <c r="BR425" s="25"/>
      <c r="BS425" s="25"/>
      <c r="BT425" s="25"/>
      <c r="BU425" s="25"/>
      <c r="BV425" s="25"/>
      <c r="BW425" s="25"/>
      <c r="BX425" s="25"/>
      <c r="BY425" s="25"/>
      <c r="BZ425" s="25"/>
      <c r="CA425" s="25"/>
      <c r="CB425" s="25"/>
      <c r="CC425" s="25"/>
      <c r="CD425" s="25"/>
      <c r="CE425" s="25"/>
      <c r="CF425" s="25"/>
      <c r="CG425" s="25"/>
      <c r="CH425" s="25"/>
      <c r="CI425" s="25"/>
      <c r="CJ425" s="25"/>
      <c r="CK425" s="25"/>
      <c r="CL425" s="25"/>
      <c r="CM425" s="25"/>
      <c r="CN425" s="25"/>
      <c r="CO425" s="25"/>
      <c r="CP425" s="25"/>
      <c r="CQ425" s="25"/>
      <c r="CR425" s="25"/>
      <c r="CS425" s="25"/>
    </row>
    <row r="426" spans="2:97">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c r="AV426" s="25"/>
      <c r="AW426" s="25"/>
      <c r="AX426" s="25"/>
      <c r="AY426" s="25"/>
      <c r="AZ426" s="25"/>
      <c r="BA426" s="25"/>
      <c r="BB426" s="25"/>
      <c r="BC426" s="25"/>
      <c r="BD426" s="25"/>
      <c r="BE426" s="25"/>
      <c r="BF426" s="25"/>
      <c r="BG426" s="25"/>
      <c r="BH426" s="25"/>
      <c r="BI426" s="25"/>
      <c r="BJ426" s="25"/>
      <c r="BK426" s="25"/>
      <c r="BL426" s="25"/>
      <c r="BM426" s="25"/>
      <c r="BN426" s="25"/>
      <c r="BO426" s="25"/>
      <c r="BP426" s="25"/>
      <c r="BQ426" s="25"/>
      <c r="BR426" s="25"/>
      <c r="BS426" s="25"/>
      <c r="BT426" s="25"/>
      <c r="BU426" s="25"/>
      <c r="BV426" s="25"/>
      <c r="BW426" s="25"/>
      <c r="BX426" s="25"/>
      <c r="BY426" s="25"/>
      <c r="BZ426" s="25"/>
      <c r="CA426" s="25"/>
      <c r="CB426" s="25"/>
      <c r="CC426" s="25"/>
      <c r="CD426" s="25"/>
      <c r="CE426" s="25"/>
      <c r="CF426" s="25"/>
      <c r="CG426" s="25"/>
      <c r="CH426" s="25"/>
      <c r="CI426" s="25"/>
      <c r="CJ426" s="25"/>
      <c r="CK426" s="25"/>
      <c r="CL426" s="25"/>
      <c r="CM426" s="25"/>
      <c r="CN426" s="25"/>
      <c r="CO426" s="25"/>
      <c r="CP426" s="25"/>
      <c r="CQ426" s="25"/>
      <c r="CR426" s="25"/>
      <c r="CS426" s="25"/>
    </row>
    <row r="427" spans="2:97">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c r="AV427" s="25"/>
      <c r="AW427" s="25"/>
      <c r="AX427" s="25"/>
      <c r="AY427" s="25"/>
      <c r="AZ427" s="25"/>
      <c r="BA427" s="25"/>
      <c r="BB427" s="25"/>
      <c r="BC427" s="25"/>
      <c r="BD427" s="25"/>
      <c r="BE427" s="25"/>
      <c r="BF427" s="25"/>
      <c r="BG427" s="25"/>
      <c r="BH427" s="25"/>
      <c r="BI427" s="25"/>
      <c r="BJ427" s="25"/>
      <c r="BK427" s="25"/>
      <c r="BL427" s="25"/>
      <c r="BM427" s="25"/>
      <c r="BN427" s="25"/>
      <c r="BO427" s="25"/>
      <c r="BP427" s="25"/>
      <c r="BQ427" s="25"/>
      <c r="BR427" s="25"/>
      <c r="BS427" s="25"/>
      <c r="BT427" s="25"/>
      <c r="BU427" s="25"/>
      <c r="BV427" s="25"/>
      <c r="BW427" s="25"/>
      <c r="BX427" s="25"/>
      <c r="BY427" s="25"/>
      <c r="BZ427" s="25"/>
      <c r="CA427" s="25"/>
      <c r="CB427" s="25"/>
      <c r="CC427" s="25"/>
      <c r="CD427" s="25"/>
      <c r="CE427" s="25"/>
      <c r="CF427" s="25"/>
      <c r="CG427" s="25"/>
      <c r="CH427" s="25"/>
      <c r="CI427" s="25"/>
      <c r="CJ427" s="25"/>
      <c r="CK427" s="25"/>
      <c r="CL427" s="25"/>
      <c r="CM427" s="25"/>
      <c r="CN427" s="25"/>
      <c r="CO427" s="25"/>
      <c r="CP427" s="25"/>
      <c r="CQ427" s="25"/>
      <c r="CR427" s="25"/>
      <c r="CS427" s="25"/>
    </row>
    <row r="428" spans="2:97">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c r="AV428" s="25"/>
      <c r="AW428" s="25"/>
      <c r="AX428" s="25"/>
      <c r="AY428" s="25"/>
      <c r="AZ428" s="25"/>
      <c r="BA428" s="25"/>
      <c r="BB428" s="25"/>
      <c r="BC428" s="25"/>
      <c r="BD428" s="25"/>
      <c r="BE428" s="25"/>
      <c r="BF428" s="25"/>
      <c r="BG428" s="25"/>
      <c r="BH428" s="25"/>
      <c r="BI428" s="25"/>
      <c r="BJ428" s="25"/>
      <c r="BK428" s="25"/>
      <c r="BL428" s="25"/>
      <c r="BM428" s="25"/>
      <c r="BN428" s="25"/>
      <c r="BO428" s="25"/>
      <c r="BP428" s="25"/>
      <c r="BQ428" s="25"/>
      <c r="BR428" s="25"/>
      <c r="BS428" s="25"/>
      <c r="BT428" s="25"/>
      <c r="BU428" s="25"/>
      <c r="BV428" s="25"/>
      <c r="BW428" s="25"/>
      <c r="BX428" s="25"/>
      <c r="BY428" s="25"/>
      <c r="BZ428" s="25"/>
      <c r="CA428" s="25"/>
      <c r="CB428" s="25"/>
      <c r="CC428" s="25"/>
      <c r="CD428" s="25"/>
      <c r="CE428" s="25"/>
      <c r="CF428" s="25"/>
      <c r="CG428" s="25"/>
      <c r="CH428" s="25"/>
      <c r="CI428" s="25"/>
      <c r="CJ428" s="25"/>
      <c r="CK428" s="25"/>
      <c r="CL428" s="25"/>
      <c r="CM428" s="25"/>
      <c r="CN428" s="25"/>
      <c r="CO428" s="25"/>
      <c r="CP428" s="25"/>
      <c r="CQ428" s="25"/>
      <c r="CR428" s="25"/>
      <c r="CS428" s="25"/>
    </row>
    <row r="429" spans="2:97">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c r="AV429" s="25"/>
      <c r="AW429" s="25"/>
      <c r="AX429" s="25"/>
      <c r="AY429" s="25"/>
      <c r="AZ429" s="25"/>
      <c r="BA429" s="25"/>
      <c r="BB429" s="25"/>
      <c r="BC429" s="25"/>
      <c r="BD429" s="25"/>
      <c r="BE429" s="25"/>
      <c r="BF429" s="25"/>
      <c r="BG429" s="25"/>
      <c r="BH429" s="25"/>
      <c r="BI429" s="25"/>
      <c r="BJ429" s="25"/>
      <c r="BK429" s="25"/>
      <c r="BL429" s="25"/>
      <c r="BM429" s="25"/>
      <c r="BN429" s="25"/>
      <c r="BO429" s="25"/>
      <c r="BP429" s="25"/>
      <c r="BQ429" s="25"/>
      <c r="BR429" s="25"/>
      <c r="BS429" s="25"/>
      <c r="BT429" s="25"/>
      <c r="BU429" s="25"/>
      <c r="BV429" s="25"/>
      <c r="BW429" s="25"/>
      <c r="BX429" s="25"/>
      <c r="BY429" s="25"/>
      <c r="BZ429" s="25"/>
      <c r="CA429" s="25"/>
      <c r="CB429" s="25"/>
      <c r="CC429" s="25"/>
      <c r="CD429" s="25"/>
      <c r="CE429" s="25"/>
      <c r="CF429" s="25"/>
      <c r="CG429" s="25"/>
      <c r="CH429" s="25"/>
      <c r="CI429" s="25"/>
      <c r="CJ429" s="25"/>
      <c r="CK429" s="25"/>
      <c r="CL429" s="25"/>
      <c r="CM429" s="25"/>
      <c r="CN429" s="25"/>
      <c r="CO429" s="25"/>
      <c r="CP429" s="25"/>
      <c r="CQ429" s="25"/>
      <c r="CR429" s="25"/>
      <c r="CS429" s="25"/>
    </row>
    <row r="430" spans="2:97">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c r="AV430" s="25"/>
      <c r="AW430" s="25"/>
      <c r="AX430" s="25"/>
      <c r="AY430" s="25"/>
      <c r="AZ430" s="25"/>
      <c r="BA430" s="25"/>
      <c r="BB430" s="25"/>
      <c r="BC430" s="25"/>
      <c r="BD430" s="25"/>
      <c r="BE430" s="25"/>
      <c r="BF430" s="25"/>
      <c r="BG430" s="25"/>
      <c r="BH430" s="25"/>
      <c r="BI430" s="25"/>
      <c r="BJ430" s="25"/>
      <c r="BK430" s="25"/>
      <c r="BL430" s="25"/>
      <c r="BM430" s="25"/>
      <c r="BN430" s="25"/>
      <c r="BO430" s="25"/>
      <c r="BP430" s="25"/>
      <c r="BQ430" s="25"/>
      <c r="BR430" s="25"/>
      <c r="BS430" s="25"/>
      <c r="BT430" s="25"/>
      <c r="BU430" s="25"/>
      <c r="BV430" s="25"/>
      <c r="BW430" s="25"/>
      <c r="BX430" s="25"/>
      <c r="BY430" s="25"/>
      <c r="BZ430" s="25"/>
      <c r="CA430" s="25"/>
      <c r="CB430" s="25"/>
      <c r="CC430" s="25"/>
      <c r="CD430" s="25"/>
      <c r="CE430" s="25"/>
      <c r="CF430" s="25"/>
      <c r="CG430" s="25"/>
      <c r="CH430" s="25"/>
      <c r="CI430" s="25"/>
      <c r="CJ430" s="25"/>
      <c r="CK430" s="25"/>
      <c r="CL430" s="25"/>
      <c r="CM430" s="25"/>
      <c r="CN430" s="25"/>
      <c r="CO430" s="25"/>
      <c r="CP430" s="25"/>
      <c r="CQ430" s="25"/>
      <c r="CR430" s="25"/>
      <c r="CS430" s="25"/>
    </row>
    <row r="431" spans="2:97">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c r="AV431" s="25"/>
      <c r="AW431" s="25"/>
      <c r="AX431" s="25"/>
      <c r="AY431" s="25"/>
      <c r="AZ431" s="25"/>
      <c r="BA431" s="25"/>
      <c r="BB431" s="25"/>
      <c r="BC431" s="25"/>
      <c r="BD431" s="25"/>
      <c r="BE431" s="25"/>
      <c r="BF431" s="25"/>
      <c r="BG431" s="25"/>
      <c r="BH431" s="25"/>
      <c r="BI431" s="25"/>
      <c r="BJ431" s="25"/>
      <c r="BK431" s="25"/>
      <c r="BL431" s="25"/>
      <c r="BM431" s="25"/>
      <c r="BN431" s="25"/>
      <c r="BO431" s="25"/>
      <c r="BP431" s="25"/>
      <c r="BQ431" s="25"/>
      <c r="BR431" s="25"/>
      <c r="BS431" s="25"/>
      <c r="BT431" s="25"/>
      <c r="BU431" s="25"/>
      <c r="BV431" s="25"/>
      <c r="BW431" s="25"/>
      <c r="BX431" s="25"/>
      <c r="BY431" s="25"/>
      <c r="BZ431" s="25"/>
      <c r="CA431" s="25"/>
      <c r="CB431" s="25"/>
      <c r="CC431" s="25"/>
      <c r="CD431" s="25"/>
      <c r="CE431" s="25"/>
      <c r="CF431" s="25"/>
      <c r="CG431" s="25"/>
      <c r="CH431" s="25"/>
      <c r="CI431" s="25"/>
      <c r="CJ431" s="25"/>
      <c r="CK431" s="25"/>
      <c r="CL431" s="25"/>
      <c r="CM431" s="25"/>
      <c r="CN431" s="25"/>
      <c r="CO431" s="25"/>
      <c r="CP431" s="25"/>
      <c r="CQ431" s="25"/>
      <c r="CR431" s="25"/>
      <c r="CS431" s="25"/>
    </row>
    <row r="432" spans="2:97">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c r="AV432" s="25"/>
      <c r="AW432" s="25"/>
      <c r="AX432" s="25"/>
      <c r="AY432" s="25"/>
      <c r="AZ432" s="25"/>
      <c r="BA432" s="25"/>
      <c r="BB432" s="25"/>
      <c r="BC432" s="25"/>
      <c r="BD432" s="25"/>
      <c r="BE432" s="25"/>
      <c r="BF432" s="25"/>
      <c r="BG432" s="25"/>
      <c r="BH432" s="25"/>
      <c r="BI432" s="25"/>
      <c r="BJ432" s="25"/>
      <c r="BK432" s="25"/>
      <c r="BL432" s="25"/>
      <c r="BM432" s="25"/>
      <c r="BN432" s="25"/>
      <c r="BO432" s="25"/>
      <c r="BP432" s="25"/>
      <c r="BQ432" s="25"/>
      <c r="BR432" s="25"/>
      <c r="BS432" s="25"/>
      <c r="BT432" s="25"/>
      <c r="BU432" s="25"/>
      <c r="BV432" s="25"/>
      <c r="BW432" s="25"/>
      <c r="BX432" s="25"/>
      <c r="BY432" s="25"/>
      <c r="BZ432" s="25"/>
      <c r="CA432" s="25"/>
      <c r="CB432" s="25"/>
      <c r="CC432" s="25"/>
      <c r="CD432" s="25"/>
      <c r="CE432" s="25"/>
      <c r="CF432" s="25"/>
      <c r="CG432" s="25"/>
      <c r="CH432" s="25"/>
      <c r="CI432" s="25"/>
      <c r="CJ432" s="25"/>
      <c r="CK432" s="25"/>
      <c r="CL432" s="25"/>
      <c r="CM432" s="25"/>
      <c r="CN432" s="25"/>
      <c r="CO432" s="25"/>
      <c r="CP432" s="25"/>
      <c r="CQ432" s="25"/>
      <c r="CR432" s="25"/>
      <c r="CS432" s="25"/>
    </row>
    <row r="433" spans="2:97">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c r="AV433" s="25"/>
      <c r="AW433" s="25"/>
      <c r="AX433" s="25"/>
      <c r="AY433" s="25"/>
      <c r="AZ433" s="25"/>
      <c r="BA433" s="25"/>
      <c r="BB433" s="25"/>
      <c r="BC433" s="25"/>
      <c r="BD433" s="25"/>
      <c r="BE433" s="25"/>
      <c r="BF433" s="25"/>
      <c r="BG433" s="25"/>
      <c r="BH433" s="25"/>
      <c r="BI433" s="25"/>
      <c r="BJ433" s="25"/>
      <c r="BK433" s="25"/>
      <c r="BL433" s="25"/>
      <c r="BM433" s="25"/>
      <c r="BN433" s="25"/>
      <c r="BO433" s="25"/>
      <c r="BP433" s="25"/>
      <c r="BQ433" s="25"/>
      <c r="BR433" s="25"/>
      <c r="BS433" s="25"/>
      <c r="BT433" s="25"/>
      <c r="BU433" s="25"/>
      <c r="BV433" s="25"/>
      <c r="BW433" s="25"/>
      <c r="BX433" s="25"/>
      <c r="BY433" s="25"/>
      <c r="BZ433" s="25"/>
      <c r="CA433" s="25"/>
      <c r="CB433" s="25"/>
      <c r="CC433" s="25"/>
      <c r="CD433" s="25"/>
      <c r="CE433" s="25"/>
      <c r="CF433" s="25"/>
      <c r="CG433" s="25"/>
      <c r="CH433" s="25"/>
      <c r="CI433" s="25"/>
      <c r="CJ433" s="25"/>
      <c r="CK433" s="25"/>
      <c r="CL433" s="25"/>
      <c r="CM433" s="25"/>
      <c r="CN433" s="25"/>
      <c r="CO433" s="25"/>
      <c r="CP433" s="25"/>
      <c r="CQ433" s="25"/>
      <c r="CR433" s="25"/>
      <c r="CS433" s="25"/>
    </row>
    <row r="434" spans="2:97">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c r="AV434" s="25"/>
      <c r="AW434" s="25"/>
      <c r="AX434" s="25"/>
      <c r="AY434" s="25"/>
      <c r="AZ434" s="25"/>
      <c r="BA434" s="25"/>
      <c r="BB434" s="25"/>
      <c r="BC434" s="25"/>
      <c r="BD434" s="25"/>
      <c r="BE434" s="25"/>
      <c r="BF434" s="25"/>
      <c r="BG434" s="25"/>
      <c r="BH434" s="25"/>
      <c r="BI434" s="25"/>
      <c r="BJ434" s="25"/>
      <c r="BK434" s="25"/>
      <c r="BL434" s="25"/>
      <c r="BM434" s="25"/>
      <c r="BN434" s="25"/>
      <c r="BO434" s="25"/>
      <c r="BP434" s="25"/>
      <c r="BQ434" s="25"/>
      <c r="BR434" s="25"/>
      <c r="BS434" s="25"/>
      <c r="BT434" s="25"/>
      <c r="BU434" s="25"/>
      <c r="BV434" s="25"/>
      <c r="BW434" s="25"/>
      <c r="BX434" s="25"/>
      <c r="BY434" s="25"/>
      <c r="BZ434" s="25"/>
      <c r="CA434" s="25"/>
      <c r="CB434" s="25"/>
      <c r="CC434" s="25"/>
      <c r="CD434" s="25"/>
      <c r="CE434" s="25"/>
      <c r="CF434" s="25"/>
      <c r="CG434" s="25"/>
      <c r="CH434" s="25"/>
      <c r="CI434" s="25"/>
      <c r="CJ434" s="25"/>
      <c r="CK434" s="25"/>
      <c r="CL434" s="25"/>
      <c r="CM434" s="25"/>
      <c r="CN434" s="25"/>
      <c r="CO434" s="25"/>
      <c r="CP434" s="25"/>
      <c r="CQ434" s="25"/>
      <c r="CR434" s="25"/>
      <c r="CS434" s="25"/>
    </row>
    <row r="435" spans="2:97">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c r="AV435" s="25"/>
      <c r="AW435" s="25"/>
      <c r="AX435" s="25"/>
      <c r="AY435" s="25"/>
      <c r="AZ435" s="25"/>
      <c r="BA435" s="25"/>
      <c r="BB435" s="25"/>
      <c r="BC435" s="25"/>
      <c r="BD435" s="25"/>
      <c r="BE435" s="25"/>
      <c r="BF435" s="25"/>
      <c r="BG435" s="25"/>
      <c r="BH435" s="25"/>
      <c r="BI435" s="25"/>
      <c r="BJ435" s="25"/>
      <c r="BK435" s="25"/>
      <c r="BL435" s="25"/>
      <c r="BM435" s="25"/>
      <c r="BN435" s="25"/>
      <c r="BO435" s="25"/>
      <c r="BP435" s="25"/>
      <c r="BQ435" s="25"/>
      <c r="BR435" s="25"/>
      <c r="BS435" s="25"/>
      <c r="BT435" s="25"/>
      <c r="BU435" s="25"/>
      <c r="BV435" s="25"/>
      <c r="BW435" s="25"/>
      <c r="BX435" s="25"/>
      <c r="BY435" s="25"/>
      <c r="BZ435" s="25"/>
      <c r="CA435" s="25"/>
      <c r="CB435" s="25"/>
      <c r="CC435" s="25"/>
      <c r="CD435" s="25"/>
      <c r="CE435" s="25"/>
      <c r="CF435" s="25"/>
      <c r="CG435" s="25"/>
      <c r="CH435" s="25"/>
      <c r="CI435" s="25"/>
      <c r="CJ435" s="25"/>
      <c r="CK435" s="25"/>
      <c r="CL435" s="25"/>
      <c r="CM435" s="25"/>
      <c r="CN435" s="25"/>
      <c r="CO435" s="25"/>
      <c r="CP435" s="25"/>
      <c r="CQ435" s="25"/>
      <c r="CR435" s="25"/>
      <c r="CS435" s="25"/>
    </row>
    <row r="436" spans="2:97">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c r="AV436" s="25"/>
      <c r="AW436" s="25"/>
      <c r="AX436" s="25"/>
      <c r="AY436" s="25"/>
      <c r="AZ436" s="25"/>
      <c r="BA436" s="25"/>
      <c r="BB436" s="25"/>
      <c r="BC436" s="25"/>
      <c r="BD436" s="25"/>
      <c r="BE436" s="25"/>
      <c r="BF436" s="25"/>
      <c r="BG436" s="25"/>
      <c r="BH436" s="25"/>
      <c r="BI436" s="25"/>
      <c r="BJ436" s="25"/>
      <c r="BK436" s="25"/>
      <c r="BL436" s="25"/>
      <c r="BM436" s="25"/>
      <c r="BN436" s="25"/>
      <c r="BO436" s="25"/>
      <c r="BP436" s="25"/>
      <c r="BQ436" s="25"/>
      <c r="BR436" s="25"/>
      <c r="BS436" s="25"/>
      <c r="BT436" s="25"/>
      <c r="BU436" s="25"/>
      <c r="BV436" s="25"/>
      <c r="BW436" s="25"/>
      <c r="BX436" s="25"/>
      <c r="BY436" s="25"/>
      <c r="BZ436" s="25"/>
      <c r="CA436" s="25"/>
      <c r="CB436" s="25"/>
      <c r="CC436" s="25"/>
      <c r="CD436" s="25"/>
      <c r="CE436" s="25"/>
      <c r="CF436" s="25"/>
      <c r="CG436" s="25"/>
      <c r="CH436" s="25"/>
      <c r="CI436" s="25"/>
      <c r="CJ436" s="25"/>
      <c r="CK436" s="25"/>
      <c r="CL436" s="25"/>
      <c r="CM436" s="25"/>
      <c r="CN436" s="25"/>
      <c r="CO436" s="25"/>
      <c r="CP436" s="25"/>
      <c r="CQ436" s="25"/>
      <c r="CR436" s="25"/>
      <c r="CS436" s="25"/>
    </row>
    <row r="437" spans="2:97">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c r="AV437" s="25"/>
      <c r="AW437" s="25"/>
      <c r="AX437" s="25"/>
      <c r="AY437" s="25"/>
      <c r="AZ437" s="25"/>
      <c r="BA437" s="25"/>
      <c r="BB437" s="25"/>
      <c r="BC437" s="25"/>
      <c r="BD437" s="25"/>
      <c r="BE437" s="25"/>
      <c r="BF437" s="25"/>
      <c r="BG437" s="25"/>
      <c r="BH437" s="25"/>
      <c r="BI437" s="25"/>
      <c r="BJ437" s="25"/>
      <c r="BK437" s="25"/>
      <c r="BL437" s="25"/>
      <c r="BM437" s="25"/>
      <c r="BN437" s="25"/>
      <c r="BO437" s="25"/>
      <c r="BP437" s="25"/>
      <c r="BQ437" s="25"/>
      <c r="BR437" s="25"/>
      <c r="BS437" s="25"/>
      <c r="BT437" s="25"/>
      <c r="BU437" s="25"/>
      <c r="BV437" s="25"/>
      <c r="BW437" s="25"/>
      <c r="BX437" s="25"/>
      <c r="BY437" s="25"/>
      <c r="BZ437" s="25"/>
      <c r="CA437" s="25"/>
      <c r="CB437" s="25"/>
      <c r="CC437" s="25"/>
      <c r="CD437" s="25"/>
      <c r="CE437" s="25"/>
      <c r="CF437" s="25"/>
      <c r="CG437" s="25"/>
      <c r="CH437" s="25"/>
      <c r="CI437" s="25"/>
      <c r="CJ437" s="25"/>
      <c r="CK437" s="25"/>
      <c r="CL437" s="25"/>
      <c r="CM437" s="25"/>
      <c r="CN437" s="25"/>
      <c r="CO437" s="25"/>
      <c r="CP437" s="25"/>
      <c r="CQ437" s="25"/>
      <c r="CR437" s="25"/>
      <c r="CS437" s="25"/>
    </row>
    <row r="438" spans="2:97">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c r="AV438" s="25"/>
      <c r="AW438" s="25"/>
      <c r="AX438" s="25"/>
      <c r="AY438" s="25"/>
      <c r="AZ438" s="25"/>
      <c r="BA438" s="25"/>
      <c r="BB438" s="25"/>
      <c r="BC438" s="25"/>
      <c r="BD438" s="25"/>
      <c r="BE438" s="25"/>
      <c r="BF438" s="25"/>
      <c r="BG438" s="25"/>
      <c r="BH438" s="25"/>
      <c r="BI438" s="25"/>
      <c r="BJ438" s="25"/>
      <c r="BK438" s="25"/>
      <c r="BL438" s="25"/>
      <c r="BM438" s="25"/>
      <c r="BN438" s="25"/>
      <c r="BO438" s="25"/>
      <c r="BP438" s="25"/>
      <c r="BQ438" s="25"/>
      <c r="BR438" s="25"/>
      <c r="BS438" s="25"/>
      <c r="BT438" s="25"/>
      <c r="BU438" s="25"/>
      <c r="BV438" s="25"/>
      <c r="BW438" s="25"/>
      <c r="BX438" s="25"/>
      <c r="BY438" s="25"/>
      <c r="BZ438" s="25"/>
      <c r="CA438" s="25"/>
      <c r="CB438" s="25"/>
      <c r="CC438" s="25"/>
      <c r="CD438" s="25"/>
      <c r="CE438" s="25"/>
      <c r="CF438" s="25"/>
      <c r="CG438" s="25"/>
      <c r="CH438" s="25"/>
      <c r="CI438" s="25"/>
      <c r="CJ438" s="25"/>
      <c r="CK438" s="25"/>
      <c r="CL438" s="25"/>
      <c r="CM438" s="25"/>
      <c r="CN438" s="25"/>
      <c r="CO438" s="25"/>
      <c r="CP438" s="25"/>
      <c r="CQ438" s="25"/>
      <c r="CR438" s="25"/>
      <c r="CS438" s="25"/>
    </row>
    <row r="439" spans="2:97">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c r="AV439" s="25"/>
      <c r="AW439" s="25"/>
      <c r="AX439" s="25"/>
      <c r="AY439" s="25"/>
      <c r="AZ439" s="25"/>
      <c r="BA439" s="25"/>
      <c r="BB439" s="25"/>
      <c r="BC439" s="25"/>
      <c r="BD439" s="25"/>
      <c r="BE439" s="25"/>
      <c r="BF439" s="25"/>
      <c r="BG439" s="25"/>
      <c r="BH439" s="25"/>
      <c r="BI439" s="25"/>
      <c r="BJ439" s="25"/>
      <c r="BK439" s="25"/>
      <c r="BL439" s="25"/>
      <c r="BM439" s="25"/>
      <c r="BN439" s="25"/>
      <c r="BO439" s="25"/>
      <c r="BP439" s="25"/>
      <c r="BQ439" s="25"/>
      <c r="BR439" s="25"/>
      <c r="BS439" s="25"/>
      <c r="BT439" s="25"/>
      <c r="BU439" s="25"/>
      <c r="BV439" s="25"/>
      <c r="BW439" s="25"/>
      <c r="BX439" s="25"/>
      <c r="BY439" s="25"/>
      <c r="BZ439" s="25"/>
      <c r="CA439" s="25"/>
      <c r="CB439" s="25"/>
      <c r="CC439" s="25"/>
      <c r="CD439" s="25"/>
      <c r="CE439" s="25"/>
      <c r="CF439" s="25"/>
      <c r="CG439" s="25"/>
      <c r="CH439" s="25"/>
      <c r="CI439" s="25"/>
      <c r="CJ439" s="25"/>
      <c r="CK439" s="25"/>
      <c r="CL439" s="25"/>
      <c r="CM439" s="25"/>
      <c r="CN439" s="25"/>
      <c r="CO439" s="25"/>
      <c r="CP439" s="25"/>
      <c r="CQ439" s="25"/>
      <c r="CR439" s="25"/>
      <c r="CS439" s="25"/>
    </row>
    <row r="440" spans="2:97">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c r="AV440" s="25"/>
      <c r="AW440" s="25"/>
      <c r="AX440" s="25"/>
      <c r="AY440" s="25"/>
      <c r="AZ440" s="25"/>
      <c r="BA440" s="25"/>
      <c r="BB440" s="25"/>
      <c r="BC440" s="25"/>
      <c r="BD440" s="25"/>
      <c r="BE440" s="25"/>
      <c r="BF440" s="25"/>
      <c r="BG440" s="25"/>
      <c r="BH440" s="25"/>
      <c r="BI440" s="25"/>
      <c r="BJ440" s="25"/>
      <c r="BK440" s="25"/>
      <c r="BL440" s="25"/>
      <c r="BM440" s="25"/>
      <c r="BN440" s="25"/>
      <c r="BO440" s="25"/>
      <c r="BP440" s="25"/>
      <c r="BQ440" s="25"/>
      <c r="BR440" s="25"/>
      <c r="BS440" s="25"/>
      <c r="BT440" s="25"/>
      <c r="BU440" s="25"/>
      <c r="BV440" s="25"/>
      <c r="BW440" s="25"/>
      <c r="BX440" s="25"/>
      <c r="BY440" s="25"/>
      <c r="BZ440" s="25"/>
      <c r="CA440" s="25"/>
      <c r="CB440" s="25"/>
      <c r="CC440" s="25"/>
      <c r="CD440" s="25"/>
      <c r="CE440" s="25"/>
      <c r="CF440" s="25"/>
      <c r="CG440" s="25"/>
      <c r="CH440" s="25"/>
      <c r="CI440" s="25"/>
      <c r="CJ440" s="25"/>
      <c r="CK440" s="25"/>
      <c r="CL440" s="25"/>
      <c r="CM440" s="25"/>
      <c r="CN440" s="25"/>
      <c r="CO440" s="25"/>
      <c r="CP440" s="25"/>
      <c r="CQ440" s="25"/>
      <c r="CR440" s="25"/>
      <c r="CS440" s="25"/>
    </row>
    <row r="441" spans="2:97">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c r="AV441" s="25"/>
      <c r="AW441" s="25"/>
      <c r="AX441" s="25"/>
      <c r="AY441" s="25"/>
      <c r="AZ441" s="25"/>
      <c r="BA441" s="25"/>
      <c r="BB441" s="25"/>
      <c r="BC441" s="25"/>
      <c r="BD441" s="25"/>
      <c r="BE441" s="25"/>
      <c r="BF441" s="25"/>
      <c r="BG441" s="25"/>
      <c r="BH441" s="25"/>
      <c r="BI441" s="25"/>
      <c r="BJ441" s="25"/>
      <c r="BK441" s="25"/>
      <c r="BL441" s="25"/>
      <c r="BM441" s="25"/>
      <c r="BN441" s="25"/>
      <c r="BO441" s="25"/>
      <c r="BP441" s="25"/>
      <c r="BQ441" s="25"/>
      <c r="BR441" s="25"/>
      <c r="BS441" s="25"/>
      <c r="BT441" s="25"/>
      <c r="BU441" s="25"/>
      <c r="BV441" s="25"/>
      <c r="BW441" s="25"/>
      <c r="BX441" s="25"/>
      <c r="BY441" s="25"/>
      <c r="BZ441" s="25"/>
      <c r="CA441" s="25"/>
      <c r="CB441" s="25"/>
      <c r="CC441" s="25"/>
      <c r="CD441" s="25"/>
      <c r="CE441" s="25"/>
      <c r="CF441" s="25"/>
      <c r="CG441" s="25"/>
      <c r="CH441" s="25"/>
      <c r="CI441" s="25"/>
      <c r="CJ441" s="25"/>
      <c r="CK441" s="25"/>
      <c r="CL441" s="25"/>
      <c r="CM441" s="25"/>
      <c r="CN441" s="25"/>
      <c r="CO441" s="25"/>
      <c r="CP441" s="25"/>
      <c r="CQ441" s="25"/>
      <c r="CR441" s="25"/>
      <c r="CS441" s="25"/>
    </row>
    <row r="442" spans="2:97">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c r="AV442" s="25"/>
      <c r="AW442" s="25"/>
      <c r="AX442" s="25"/>
      <c r="AY442" s="25"/>
      <c r="AZ442" s="25"/>
      <c r="BA442" s="25"/>
      <c r="BB442" s="25"/>
      <c r="BC442" s="25"/>
      <c r="BD442" s="25"/>
      <c r="BE442" s="25"/>
      <c r="BF442" s="25"/>
      <c r="BG442" s="25"/>
      <c r="BH442" s="25"/>
      <c r="BI442" s="25"/>
      <c r="BJ442" s="25"/>
      <c r="BK442" s="25"/>
      <c r="BL442" s="25"/>
      <c r="BM442" s="25"/>
      <c r="BN442" s="25"/>
      <c r="BO442" s="25"/>
      <c r="BP442" s="25"/>
      <c r="BQ442" s="25"/>
      <c r="BR442" s="25"/>
      <c r="BS442" s="25"/>
      <c r="BT442" s="25"/>
      <c r="BU442" s="25"/>
      <c r="BV442" s="25"/>
      <c r="BW442" s="25"/>
      <c r="BX442" s="25"/>
      <c r="BY442" s="25"/>
      <c r="BZ442" s="25"/>
      <c r="CA442" s="25"/>
      <c r="CB442" s="25"/>
      <c r="CC442" s="25"/>
      <c r="CD442" s="25"/>
      <c r="CE442" s="25"/>
      <c r="CF442" s="25"/>
      <c r="CG442" s="25"/>
      <c r="CH442" s="25"/>
      <c r="CI442" s="25"/>
      <c r="CJ442" s="25"/>
      <c r="CK442" s="25"/>
      <c r="CL442" s="25"/>
      <c r="CM442" s="25"/>
      <c r="CN442" s="25"/>
      <c r="CO442" s="25"/>
      <c r="CP442" s="25"/>
      <c r="CQ442" s="25"/>
      <c r="CR442" s="25"/>
      <c r="CS442" s="25"/>
    </row>
    <row r="443" spans="2:97">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c r="AV443" s="25"/>
      <c r="AW443" s="25"/>
      <c r="AX443" s="25"/>
      <c r="AY443" s="25"/>
      <c r="AZ443" s="25"/>
      <c r="BA443" s="25"/>
      <c r="BB443" s="25"/>
      <c r="BC443" s="25"/>
      <c r="BD443" s="25"/>
      <c r="BE443" s="25"/>
      <c r="BF443" s="25"/>
      <c r="BG443" s="25"/>
      <c r="BH443" s="25"/>
      <c r="BI443" s="25"/>
      <c r="BJ443" s="25"/>
      <c r="BK443" s="25"/>
      <c r="BL443" s="25"/>
      <c r="BM443" s="25"/>
      <c r="BN443" s="25"/>
      <c r="BO443" s="25"/>
      <c r="BP443" s="25"/>
      <c r="BQ443" s="25"/>
      <c r="BR443" s="25"/>
      <c r="BS443" s="25"/>
      <c r="BT443" s="25"/>
      <c r="BU443" s="25"/>
      <c r="BV443" s="25"/>
      <c r="BW443" s="25"/>
      <c r="BX443" s="25"/>
      <c r="BY443" s="25"/>
      <c r="BZ443" s="25"/>
      <c r="CA443" s="25"/>
      <c r="CB443" s="25"/>
      <c r="CC443" s="25"/>
      <c r="CD443" s="25"/>
      <c r="CE443" s="25"/>
      <c r="CF443" s="25"/>
      <c r="CG443" s="25"/>
      <c r="CH443" s="25"/>
      <c r="CI443" s="25"/>
      <c r="CJ443" s="25"/>
      <c r="CK443" s="25"/>
      <c r="CL443" s="25"/>
      <c r="CM443" s="25"/>
      <c r="CN443" s="25"/>
      <c r="CO443" s="25"/>
      <c r="CP443" s="25"/>
      <c r="CQ443" s="25"/>
      <c r="CR443" s="25"/>
      <c r="CS443" s="25"/>
    </row>
    <row r="444" spans="2:97">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c r="AV444" s="25"/>
      <c r="AW444" s="25"/>
      <c r="AX444" s="25"/>
      <c r="AY444" s="25"/>
      <c r="AZ444" s="25"/>
      <c r="BA444" s="25"/>
      <c r="BB444" s="25"/>
      <c r="BC444" s="25"/>
      <c r="BD444" s="25"/>
      <c r="BE444" s="25"/>
      <c r="BF444" s="25"/>
      <c r="BG444" s="25"/>
      <c r="BH444" s="25"/>
      <c r="BI444" s="25"/>
      <c r="BJ444" s="25"/>
      <c r="BK444" s="25"/>
      <c r="BL444" s="25"/>
      <c r="BM444" s="25"/>
      <c r="BN444" s="25"/>
      <c r="BO444" s="25"/>
      <c r="BP444" s="25"/>
      <c r="BQ444" s="25"/>
      <c r="BR444" s="25"/>
      <c r="BS444" s="25"/>
      <c r="BT444" s="25"/>
      <c r="BU444" s="25"/>
      <c r="BV444" s="25"/>
      <c r="BW444" s="25"/>
      <c r="BX444" s="25"/>
      <c r="BY444" s="25"/>
      <c r="BZ444" s="25"/>
      <c r="CA444" s="25"/>
      <c r="CB444" s="25"/>
      <c r="CC444" s="25"/>
      <c r="CD444" s="25"/>
      <c r="CE444" s="25"/>
      <c r="CF444" s="25"/>
      <c r="CG444" s="25"/>
      <c r="CH444" s="25"/>
      <c r="CI444" s="25"/>
      <c r="CJ444" s="25"/>
      <c r="CK444" s="25"/>
      <c r="CL444" s="25"/>
      <c r="CM444" s="25"/>
      <c r="CN444" s="25"/>
      <c r="CO444" s="25"/>
      <c r="CP444" s="25"/>
      <c r="CQ444" s="25"/>
      <c r="CR444" s="25"/>
      <c r="CS444" s="25"/>
    </row>
    <row r="445" spans="2:97">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c r="AV445" s="25"/>
      <c r="AW445" s="25"/>
      <c r="AX445" s="25"/>
      <c r="AY445" s="25"/>
      <c r="AZ445" s="25"/>
      <c r="BA445" s="25"/>
      <c r="BB445" s="25"/>
      <c r="BC445" s="25"/>
      <c r="BD445" s="25"/>
      <c r="BE445" s="25"/>
      <c r="BF445" s="25"/>
      <c r="BG445" s="25"/>
      <c r="BH445" s="25"/>
      <c r="BI445" s="25"/>
      <c r="BJ445" s="25"/>
      <c r="BK445" s="25"/>
      <c r="BL445" s="25"/>
      <c r="BM445" s="25"/>
      <c r="BN445" s="25"/>
      <c r="BO445" s="25"/>
      <c r="BP445" s="25"/>
      <c r="BQ445" s="25"/>
      <c r="BR445" s="25"/>
      <c r="BS445" s="25"/>
      <c r="BT445" s="25"/>
      <c r="BU445" s="25"/>
      <c r="BV445" s="25"/>
      <c r="BW445" s="25"/>
      <c r="BX445" s="25"/>
      <c r="BY445" s="25"/>
      <c r="BZ445" s="25"/>
      <c r="CA445" s="25"/>
      <c r="CB445" s="25"/>
      <c r="CC445" s="25"/>
      <c r="CD445" s="25"/>
      <c r="CE445" s="25"/>
      <c r="CF445" s="25"/>
      <c r="CG445" s="25"/>
      <c r="CH445" s="25"/>
      <c r="CI445" s="25"/>
      <c r="CJ445" s="25"/>
      <c r="CK445" s="25"/>
      <c r="CL445" s="25"/>
      <c r="CM445" s="25"/>
      <c r="CN445" s="25"/>
      <c r="CO445" s="25"/>
      <c r="CP445" s="25"/>
      <c r="CQ445" s="25"/>
      <c r="CR445" s="25"/>
      <c r="CS445" s="25"/>
    </row>
    <row r="446" spans="2:97">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c r="AV446" s="25"/>
      <c r="AW446" s="25"/>
      <c r="AX446" s="25"/>
      <c r="AY446" s="25"/>
      <c r="AZ446" s="25"/>
      <c r="BA446" s="25"/>
      <c r="BB446" s="25"/>
      <c r="BC446" s="25"/>
      <c r="BD446" s="25"/>
      <c r="BE446" s="25"/>
      <c r="BF446" s="25"/>
      <c r="BG446" s="25"/>
      <c r="BH446" s="25"/>
      <c r="BI446" s="25"/>
      <c r="BJ446" s="25"/>
      <c r="BK446" s="25"/>
      <c r="BL446" s="25"/>
      <c r="BM446" s="25"/>
      <c r="BN446" s="25"/>
      <c r="BO446" s="25"/>
      <c r="BP446" s="25"/>
      <c r="BQ446" s="25"/>
      <c r="BR446" s="25"/>
      <c r="BS446" s="25"/>
      <c r="BT446" s="25"/>
      <c r="BU446" s="25"/>
      <c r="BV446" s="25"/>
      <c r="BW446" s="25"/>
      <c r="BX446" s="25"/>
      <c r="BY446" s="25"/>
      <c r="BZ446" s="25"/>
      <c r="CA446" s="25"/>
      <c r="CB446" s="25"/>
      <c r="CC446" s="25"/>
      <c r="CD446" s="25"/>
      <c r="CE446" s="25"/>
      <c r="CF446" s="25"/>
      <c r="CG446" s="25"/>
      <c r="CH446" s="25"/>
      <c r="CI446" s="25"/>
      <c r="CJ446" s="25"/>
      <c r="CK446" s="25"/>
      <c r="CL446" s="25"/>
      <c r="CM446" s="25"/>
      <c r="CN446" s="25"/>
      <c r="CO446" s="25"/>
      <c r="CP446" s="25"/>
      <c r="CQ446" s="25"/>
      <c r="CR446" s="25"/>
      <c r="CS446" s="25"/>
    </row>
    <row r="447" spans="2:97">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c r="AV447" s="25"/>
      <c r="AW447" s="25"/>
      <c r="AX447" s="25"/>
      <c r="AY447" s="25"/>
      <c r="AZ447" s="25"/>
      <c r="BA447" s="25"/>
      <c r="BB447" s="25"/>
      <c r="BC447" s="25"/>
      <c r="BD447" s="25"/>
      <c r="BE447" s="25"/>
      <c r="BF447" s="25"/>
      <c r="BG447" s="25"/>
      <c r="BH447" s="25"/>
      <c r="BI447" s="25"/>
      <c r="BJ447" s="25"/>
      <c r="BK447" s="25"/>
      <c r="BL447" s="25"/>
      <c r="BM447" s="25"/>
      <c r="BN447" s="25"/>
      <c r="BO447" s="25"/>
      <c r="BP447" s="25"/>
      <c r="BQ447" s="25"/>
      <c r="BR447" s="25"/>
      <c r="BS447" s="25"/>
      <c r="BT447" s="25"/>
      <c r="BU447" s="25"/>
      <c r="BV447" s="25"/>
      <c r="BW447" s="25"/>
      <c r="BX447" s="25"/>
      <c r="BY447" s="25"/>
      <c r="BZ447" s="25"/>
      <c r="CA447" s="25"/>
      <c r="CB447" s="25"/>
      <c r="CC447" s="25"/>
      <c r="CD447" s="25"/>
      <c r="CE447" s="25"/>
      <c r="CF447" s="25"/>
      <c r="CG447" s="25"/>
      <c r="CH447" s="25"/>
      <c r="CI447" s="25"/>
      <c r="CJ447" s="25"/>
      <c r="CK447" s="25"/>
      <c r="CL447" s="25"/>
      <c r="CM447" s="25"/>
      <c r="CN447" s="25"/>
      <c r="CO447" s="25"/>
      <c r="CP447" s="25"/>
      <c r="CQ447" s="25"/>
      <c r="CR447" s="25"/>
      <c r="CS447" s="25"/>
    </row>
    <row r="448" spans="2:97">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c r="AV448" s="25"/>
      <c r="AW448" s="25"/>
      <c r="AX448" s="25"/>
      <c r="AY448" s="25"/>
      <c r="AZ448" s="25"/>
      <c r="BA448" s="25"/>
      <c r="BB448" s="25"/>
      <c r="BC448" s="25"/>
      <c r="BD448" s="25"/>
      <c r="BE448" s="25"/>
      <c r="BF448" s="25"/>
      <c r="BG448" s="25"/>
      <c r="BH448" s="25"/>
      <c r="BI448" s="25"/>
      <c r="BJ448" s="25"/>
      <c r="BK448" s="25"/>
      <c r="BL448" s="25"/>
      <c r="BM448" s="25"/>
      <c r="BN448" s="25"/>
      <c r="BO448" s="25"/>
      <c r="BP448" s="25"/>
      <c r="BQ448" s="25"/>
      <c r="BR448" s="25"/>
      <c r="BS448" s="25"/>
      <c r="BT448" s="25"/>
      <c r="BU448" s="25"/>
      <c r="BV448" s="25"/>
      <c r="BW448" s="25"/>
      <c r="BX448" s="25"/>
      <c r="BY448" s="25"/>
      <c r="BZ448" s="25"/>
      <c r="CA448" s="25"/>
      <c r="CB448" s="25"/>
      <c r="CC448" s="25"/>
      <c r="CD448" s="25"/>
      <c r="CE448" s="25"/>
      <c r="CF448" s="25"/>
      <c r="CG448" s="25"/>
      <c r="CH448" s="25"/>
      <c r="CI448" s="25"/>
      <c r="CJ448" s="25"/>
      <c r="CK448" s="25"/>
      <c r="CL448" s="25"/>
      <c r="CM448" s="25"/>
      <c r="CN448" s="25"/>
      <c r="CO448" s="25"/>
      <c r="CP448" s="25"/>
      <c r="CQ448" s="25"/>
      <c r="CR448" s="25"/>
      <c r="CS448" s="25"/>
    </row>
    <row r="449" spans="2:97">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c r="AV449" s="25"/>
      <c r="AW449" s="25"/>
      <c r="AX449" s="25"/>
      <c r="AY449" s="25"/>
      <c r="AZ449" s="25"/>
      <c r="BA449" s="25"/>
      <c r="BB449" s="25"/>
      <c r="BC449" s="25"/>
      <c r="BD449" s="25"/>
      <c r="BE449" s="25"/>
      <c r="BF449" s="25"/>
      <c r="BG449" s="25"/>
      <c r="BH449" s="25"/>
      <c r="BI449" s="25"/>
      <c r="BJ449" s="25"/>
      <c r="BK449" s="25"/>
      <c r="BL449" s="25"/>
      <c r="BM449" s="25"/>
      <c r="BN449" s="25"/>
      <c r="BO449" s="25"/>
      <c r="BP449" s="25"/>
      <c r="BQ449" s="25"/>
      <c r="BR449" s="25"/>
      <c r="BS449" s="25"/>
      <c r="BT449" s="25"/>
      <c r="BU449" s="25"/>
      <c r="BV449" s="25"/>
      <c r="BW449" s="25"/>
      <c r="BX449" s="25"/>
      <c r="BY449" s="25"/>
      <c r="BZ449" s="25"/>
      <c r="CA449" s="25"/>
      <c r="CB449" s="25"/>
      <c r="CC449" s="25"/>
      <c r="CD449" s="25"/>
      <c r="CE449" s="25"/>
      <c r="CF449" s="25"/>
      <c r="CG449" s="25"/>
      <c r="CH449" s="25"/>
      <c r="CI449" s="25"/>
      <c r="CJ449" s="25"/>
      <c r="CK449" s="25"/>
      <c r="CL449" s="25"/>
      <c r="CM449" s="25"/>
      <c r="CN449" s="25"/>
      <c r="CO449" s="25"/>
      <c r="CP449" s="25"/>
      <c r="CQ449" s="25"/>
      <c r="CR449" s="25"/>
      <c r="CS449" s="25"/>
    </row>
    <row r="450" spans="2:97">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c r="AV450" s="25"/>
      <c r="AW450" s="25"/>
      <c r="AX450" s="25"/>
      <c r="AY450" s="25"/>
      <c r="AZ450" s="25"/>
      <c r="BA450" s="25"/>
      <c r="BB450" s="25"/>
      <c r="BC450" s="25"/>
      <c r="BD450" s="25"/>
      <c r="BE450" s="25"/>
      <c r="BF450" s="25"/>
      <c r="BG450" s="25"/>
      <c r="BH450" s="25"/>
      <c r="BI450" s="25"/>
      <c r="BJ450" s="25"/>
      <c r="BK450" s="25"/>
      <c r="BL450" s="25"/>
      <c r="BM450" s="25"/>
      <c r="BN450" s="25"/>
      <c r="BO450" s="25"/>
      <c r="BP450" s="25"/>
      <c r="BQ450" s="25"/>
      <c r="BR450" s="25"/>
      <c r="BS450" s="25"/>
      <c r="BT450" s="25"/>
      <c r="BU450" s="25"/>
      <c r="BV450" s="25"/>
      <c r="BW450" s="25"/>
      <c r="BX450" s="25"/>
      <c r="BY450" s="25"/>
      <c r="BZ450" s="25"/>
      <c r="CA450" s="25"/>
      <c r="CB450" s="25"/>
      <c r="CC450" s="25"/>
      <c r="CD450" s="25"/>
      <c r="CE450" s="25"/>
      <c r="CF450" s="25"/>
      <c r="CG450" s="25"/>
      <c r="CH450" s="25"/>
      <c r="CI450" s="25"/>
      <c r="CJ450" s="25"/>
      <c r="CK450" s="25"/>
      <c r="CL450" s="25"/>
      <c r="CM450" s="25"/>
      <c r="CN450" s="25"/>
      <c r="CO450" s="25"/>
      <c r="CP450" s="25"/>
      <c r="CQ450" s="25"/>
      <c r="CR450" s="25"/>
      <c r="CS450" s="25"/>
    </row>
    <row r="451" spans="2:97">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c r="AV451" s="25"/>
      <c r="AW451" s="25"/>
      <c r="AX451" s="25"/>
      <c r="AY451" s="25"/>
      <c r="AZ451" s="25"/>
      <c r="BA451" s="25"/>
      <c r="BB451" s="25"/>
      <c r="BC451" s="25"/>
      <c r="BD451" s="25"/>
      <c r="BE451" s="25"/>
      <c r="BF451" s="25"/>
      <c r="BG451" s="25"/>
      <c r="BH451" s="25"/>
      <c r="BI451" s="25"/>
      <c r="BJ451" s="25"/>
      <c r="BK451" s="25"/>
      <c r="BL451" s="25"/>
      <c r="BM451" s="25"/>
      <c r="BN451" s="25"/>
      <c r="BO451" s="25"/>
      <c r="BP451" s="25"/>
      <c r="BQ451" s="25"/>
      <c r="BR451" s="25"/>
      <c r="BS451" s="25"/>
      <c r="BT451" s="25"/>
      <c r="BU451" s="25"/>
      <c r="BV451" s="25"/>
      <c r="BW451" s="25"/>
      <c r="BX451" s="25"/>
      <c r="BY451" s="25"/>
      <c r="BZ451" s="25"/>
      <c r="CA451" s="25"/>
      <c r="CB451" s="25"/>
      <c r="CC451" s="25"/>
      <c r="CD451" s="25"/>
      <c r="CE451" s="25"/>
      <c r="CF451" s="25"/>
      <c r="CG451" s="25"/>
      <c r="CH451" s="25"/>
      <c r="CI451" s="25"/>
      <c r="CJ451" s="25"/>
      <c r="CK451" s="25"/>
      <c r="CL451" s="25"/>
      <c r="CM451" s="25"/>
      <c r="CN451" s="25"/>
      <c r="CO451" s="25"/>
      <c r="CP451" s="25"/>
      <c r="CQ451" s="25"/>
      <c r="CR451" s="25"/>
      <c r="CS451" s="25"/>
    </row>
    <row r="452" spans="2:97">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c r="AV452" s="25"/>
      <c r="AW452" s="25"/>
      <c r="AX452" s="25"/>
      <c r="AY452" s="25"/>
      <c r="AZ452" s="25"/>
      <c r="BA452" s="25"/>
      <c r="BB452" s="25"/>
      <c r="BC452" s="25"/>
      <c r="BD452" s="25"/>
      <c r="BE452" s="25"/>
      <c r="BF452" s="25"/>
      <c r="BG452" s="25"/>
      <c r="BH452" s="25"/>
      <c r="BI452" s="25"/>
      <c r="BJ452" s="25"/>
      <c r="BK452" s="25"/>
      <c r="BL452" s="25"/>
      <c r="BM452" s="25"/>
      <c r="BN452" s="25"/>
      <c r="BO452" s="25"/>
      <c r="BP452" s="25"/>
      <c r="BQ452" s="25"/>
      <c r="BR452" s="25"/>
      <c r="BS452" s="25"/>
      <c r="BT452" s="25"/>
      <c r="BU452" s="25"/>
      <c r="BV452" s="25"/>
      <c r="BW452" s="25"/>
      <c r="BX452" s="25"/>
      <c r="BY452" s="25"/>
      <c r="BZ452" s="25"/>
      <c r="CA452" s="25"/>
      <c r="CB452" s="25"/>
      <c r="CC452" s="25"/>
      <c r="CD452" s="25"/>
      <c r="CE452" s="25"/>
      <c r="CF452" s="25"/>
      <c r="CG452" s="25"/>
      <c r="CH452" s="25"/>
      <c r="CI452" s="25"/>
      <c r="CJ452" s="25"/>
      <c r="CK452" s="25"/>
      <c r="CL452" s="25"/>
      <c r="CM452" s="25"/>
      <c r="CN452" s="25"/>
      <c r="CO452" s="25"/>
      <c r="CP452" s="25"/>
      <c r="CQ452" s="25"/>
      <c r="CR452" s="25"/>
      <c r="CS452" s="25"/>
    </row>
    <row r="453" spans="2:97">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c r="AV453" s="25"/>
      <c r="AW453" s="25"/>
      <c r="AX453" s="25"/>
      <c r="AY453" s="25"/>
      <c r="AZ453" s="25"/>
      <c r="BA453" s="25"/>
      <c r="BB453" s="25"/>
      <c r="BC453" s="25"/>
      <c r="BD453" s="25"/>
      <c r="BE453" s="25"/>
      <c r="BF453" s="25"/>
      <c r="BG453" s="25"/>
      <c r="BH453" s="25"/>
      <c r="BI453" s="25"/>
      <c r="BJ453" s="25"/>
      <c r="BK453" s="25"/>
      <c r="BL453" s="25"/>
      <c r="BM453" s="25"/>
      <c r="BN453" s="25"/>
      <c r="BO453" s="25"/>
      <c r="BP453" s="25"/>
      <c r="BQ453" s="25"/>
      <c r="BR453" s="25"/>
      <c r="BS453" s="25"/>
      <c r="BT453" s="25"/>
      <c r="BU453" s="25"/>
      <c r="BV453" s="25"/>
      <c r="BW453" s="25"/>
      <c r="BX453" s="25"/>
      <c r="BY453" s="25"/>
      <c r="BZ453" s="25"/>
      <c r="CA453" s="25"/>
      <c r="CB453" s="25"/>
      <c r="CC453" s="25"/>
      <c r="CD453" s="25"/>
      <c r="CE453" s="25"/>
      <c r="CF453" s="25"/>
      <c r="CG453" s="25"/>
      <c r="CH453" s="25"/>
      <c r="CI453" s="25"/>
      <c r="CJ453" s="25"/>
      <c r="CK453" s="25"/>
      <c r="CL453" s="25"/>
      <c r="CM453" s="25"/>
      <c r="CN453" s="25"/>
      <c r="CO453" s="25"/>
      <c r="CP453" s="25"/>
      <c r="CQ453" s="25"/>
      <c r="CR453" s="25"/>
      <c r="CS453" s="25"/>
    </row>
    <row r="454" spans="2:97">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c r="AV454" s="25"/>
      <c r="AW454" s="25"/>
      <c r="AX454" s="25"/>
      <c r="AY454" s="25"/>
      <c r="AZ454" s="25"/>
      <c r="BA454" s="25"/>
      <c r="BB454" s="25"/>
      <c r="BC454" s="25"/>
      <c r="BD454" s="25"/>
      <c r="BE454" s="25"/>
      <c r="BF454" s="25"/>
      <c r="BG454" s="25"/>
      <c r="BH454" s="25"/>
      <c r="BI454" s="25"/>
      <c r="BJ454" s="25"/>
      <c r="BK454" s="25"/>
      <c r="BL454" s="25"/>
      <c r="BM454" s="25"/>
      <c r="BN454" s="25"/>
      <c r="BO454" s="25"/>
      <c r="BP454" s="25"/>
      <c r="BQ454" s="25"/>
      <c r="BR454" s="25"/>
      <c r="BS454" s="25"/>
      <c r="BT454" s="25"/>
      <c r="BU454" s="25"/>
      <c r="BV454" s="25"/>
      <c r="BW454" s="25"/>
      <c r="BX454" s="25"/>
      <c r="BY454" s="25"/>
      <c r="BZ454" s="25"/>
      <c r="CA454" s="25"/>
      <c r="CB454" s="25"/>
      <c r="CC454" s="25"/>
      <c r="CD454" s="25"/>
      <c r="CE454" s="25"/>
      <c r="CF454" s="25"/>
      <c r="CG454" s="25"/>
      <c r="CH454" s="25"/>
      <c r="CI454" s="25"/>
      <c r="CJ454" s="25"/>
      <c r="CK454" s="25"/>
      <c r="CL454" s="25"/>
      <c r="CM454" s="25"/>
      <c r="CN454" s="25"/>
      <c r="CO454" s="25"/>
      <c r="CP454" s="25"/>
      <c r="CQ454" s="25"/>
      <c r="CR454" s="25"/>
      <c r="CS454" s="25"/>
    </row>
    <row r="455" spans="2:97">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c r="AV455" s="25"/>
      <c r="AW455" s="25"/>
      <c r="AX455" s="25"/>
      <c r="AY455" s="25"/>
      <c r="AZ455" s="25"/>
      <c r="BA455" s="25"/>
      <c r="BB455" s="25"/>
      <c r="BC455" s="25"/>
      <c r="BD455" s="25"/>
      <c r="BE455" s="25"/>
      <c r="BF455" s="25"/>
      <c r="BG455" s="25"/>
      <c r="BH455" s="25"/>
      <c r="BI455" s="25"/>
      <c r="BJ455" s="25"/>
      <c r="BK455" s="25"/>
      <c r="BL455" s="25"/>
      <c r="BM455" s="25"/>
      <c r="BN455" s="25"/>
      <c r="BO455" s="25"/>
      <c r="BP455" s="25"/>
      <c r="BQ455" s="25"/>
      <c r="BR455" s="25"/>
      <c r="BS455" s="25"/>
      <c r="BT455" s="25"/>
      <c r="BU455" s="25"/>
      <c r="BV455" s="25"/>
      <c r="BW455" s="25"/>
      <c r="BX455" s="25"/>
      <c r="BY455" s="25"/>
      <c r="BZ455" s="25"/>
      <c r="CA455" s="25"/>
      <c r="CB455" s="25"/>
      <c r="CC455" s="25"/>
      <c r="CD455" s="25"/>
      <c r="CE455" s="25"/>
      <c r="CF455" s="25"/>
      <c r="CG455" s="25"/>
      <c r="CH455" s="25"/>
      <c r="CI455" s="25"/>
      <c r="CJ455" s="25"/>
      <c r="CK455" s="25"/>
      <c r="CL455" s="25"/>
      <c r="CM455" s="25"/>
      <c r="CN455" s="25"/>
      <c r="CO455" s="25"/>
      <c r="CP455" s="25"/>
      <c r="CQ455" s="25"/>
      <c r="CR455" s="25"/>
      <c r="CS455" s="25"/>
    </row>
    <row r="456" spans="2:97">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c r="AV456" s="25"/>
      <c r="AW456" s="25"/>
      <c r="AX456" s="25"/>
      <c r="AY456" s="25"/>
      <c r="AZ456" s="25"/>
      <c r="BA456" s="25"/>
      <c r="BB456" s="25"/>
      <c r="BC456" s="25"/>
      <c r="BD456" s="25"/>
      <c r="BE456" s="25"/>
      <c r="BF456" s="25"/>
      <c r="BG456" s="25"/>
      <c r="BH456" s="25"/>
      <c r="BI456" s="25"/>
      <c r="BJ456" s="25"/>
      <c r="BK456" s="25"/>
      <c r="BL456" s="25"/>
      <c r="BM456" s="25"/>
      <c r="BN456" s="25"/>
      <c r="BO456" s="25"/>
      <c r="BP456" s="25"/>
      <c r="BQ456" s="25"/>
      <c r="BR456" s="25"/>
      <c r="BS456" s="25"/>
      <c r="BT456" s="25"/>
      <c r="BU456" s="25"/>
      <c r="BV456" s="25"/>
      <c r="BW456" s="25"/>
      <c r="BX456" s="25"/>
      <c r="BY456" s="25"/>
      <c r="BZ456" s="25"/>
      <c r="CA456" s="25"/>
      <c r="CB456" s="25"/>
      <c r="CC456" s="25"/>
      <c r="CD456" s="25"/>
      <c r="CE456" s="25"/>
      <c r="CF456" s="25"/>
      <c r="CG456" s="25"/>
      <c r="CH456" s="25"/>
      <c r="CI456" s="25"/>
      <c r="CJ456" s="25"/>
      <c r="CK456" s="25"/>
      <c r="CL456" s="25"/>
      <c r="CM456" s="25"/>
      <c r="CN456" s="25"/>
      <c r="CO456" s="25"/>
      <c r="CP456" s="25"/>
      <c r="CQ456" s="25"/>
      <c r="CR456" s="25"/>
      <c r="CS456" s="25"/>
    </row>
    <row r="457" spans="2:97">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c r="AV457" s="25"/>
      <c r="AW457" s="25"/>
      <c r="AX457" s="25"/>
      <c r="AY457" s="25"/>
      <c r="AZ457" s="25"/>
      <c r="BA457" s="25"/>
      <c r="BB457" s="25"/>
      <c r="BC457" s="25"/>
      <c r="BD457" s="25"/>
      <c r="BE457" s="25"/>
      <c r="BF457" s="25"/>
      <c r="BG457" s="25"/>
      <c r="BH457" s="25"/>
      <c r="BI457" s="25"/>
      <c r="BJ457" s="25"/>
      <c r="BK457" s="25"/>
      <c r="BL457" s="25"/>
      <c r="BM457" s="25"/>
      <c r="BN457" s="25"/>
      <c r="BO457" s="25"/>
      <c r="BP457" s="25"/>
      <c r="BQ457" s="25"/>
      <c r="BR457" s="25"/>
      <c r="BS457" s="25"/>
      <c r="BT457" s="25"/>
      <c r="BU457" s="25"/>
      <c r="BV457" s="25"/>
      <c r="BW457" s="25"/>
      <c r="BX457" s="25"/>
      <c r="BY457" s="25"/>
      <c r="BZ457" s="25"/>
      <c r="CA457" s="25"/>
      <c r="CB457" s="25"/>
      <c r="CC457" s="25"/>
      <c r="CD457" s="25"/>
      <c r="CE457" s="25"/>
      <c r="CF457" s="25"/>
      <c r="CG457" s="25"/>
      <c r="CH457" s="25"/>
      <c r="CI457" s="25"/>
      <c r="CJ457" s="25"/>
      <c r="CK457" s="25"/>
      <c r="CL457" s="25"/>
      <c r="CM457" s="25"/>
      <c r="CN457" s="25"/>
      <c r="CO457" s="25"/>
      <c r="CP457" s="25"/>
      <c r="CQ457" s="25"/>
      <c r="CR457" s="25"/>
      <c r="CS457" s="25"/>
    </row>
    <row r="458" spans="2:97">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c r="AV458" s="25"/>
      <c r="AW458" s="25"/>
      <c r="AX458" s="25"/>
      <c r="AY458" s="25"/>
      <c r="AZ458" s="25"/>
      <c r="BA458" s="25"/>
      <c r="BB458" s="25"/>
      <c r="BC458" s="25"/>
      <c r="BD458" s="25"/>
      <c r="BE458" s="25"/>
      <c r="BF458" s="25"/>
      <c r="BG458" s="25"/>
      <c r="BH458" s="25"/>
      <c r="BI458" s="25"/>
      <c r="BJ458" s="25"/>
      <c r="BK458" s="25"/>
      <c r="BL458" s="25"/>
      <c r="BM458" s="25"/>
      <c r="BN458" s="25"/>
      <c r="BO458" s="25"/>
      <c r="BP458" s="25"/>
      <c r="BQ458" s="25"/>
      <c r="BR458" s="25"/>
      <c r="BS458" s="25"/>
      <c r="BT458" s="25"/>
      <c r="BU458" s="25"/>
      <c r="BV458" s="25"/>
      <c r="BW458" s="25"/>
      <c r="BX458" s="25"/>
      <c r="BY458" s="25"/>
      <c r="BZ458" s="25"/>
      <c r="CA458" s="25"/>
      <c r="CB458" s="25"/>
      <c r="CC458" s="25"/>
      <c r="CD458" s="25"/>
      <c r="CE458" s="25"/>
      <c r="CF458" s="25"/>
      <c r="CG458" s="25"/>
      <c r="CH458" s="25"/>
      <c r="CI458" s="25"/>
      <c r="CJ458" s="25"/>
      <c r="CK458" s="25"/>
      <c r="CL458" s="25"/>
      <c r="CM458" s="25"/>
      <c r="CN458" s="25"/>
      <c r="CO458" s="25"/>
      <c r="CP458" s="25"/>
      <c r="CQ458" s="25"/>
      <c r="CR458" s="25"/>
      <c r="CS458" s="25"/>
    </row>
    <row r="459" spans="2:97">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c r="AV459" s="25"/>
      <c r="AW459" s="25"/>
      <c r="AX459" s="25"/>
      <c r="AY459" s="25"/>
      <c r="AZ459" s="25"/>
      <c r="BA459" s="25"/>
      <c r="BB459" s="25"/>
      <c r="BC459" s="25"/>
      <c r="BD459" s="25"/>
      <c r="BE459" s="25"/>
      <c r="BF459" s="25"/>
      <c r="BG459" s="25"/>
      <c r="BH459" s="25"/>
      <c r="BI459" s="25"/>
      <c r="BJ459" s="25"/>
      <c r="BK459" s="25"/>
      <c r="BL459" s="25"/>
      <c r="BM459" s="25"/>
      <c r="BN459" s="25"/>
      <c r="BO459" s="25"/>
      <c r="BP459" s="25"/>
      <c r="BQ459" s="25"/>
      <c r="BR459" s="25"/>
      <c r="BS459" s="25"/>
      <c r="BT459" s="25"/>
      <c r="BU459" s="25"/>
      <c r="BV459" s="25"/>
      <c r="BW459" s="25"/>
      <c r="BX459" s="25"/>
      <c r="BY459" s="25"/>
      <c r="BZ459" s="25"/>
      <c r="CA459" s="25"/>
      <c r="CB459" s="25"/>
      <c r="CC459" s="25"/>
      <c r="CD459" s="25"/>
      <c r="CE459" s="25"/>
      <c r="CF459" s="25"/>
      <c r="CG459" s="25"/>
      <c r="CH459" s="25"/>
      <c r="CI459" s="25"/>
      <c r="CJ459" s="25"/>
      <c r="CK459" s="25"/>
      <c r="CL459" s="25"/>
      <c r="CM459" s="25"/>
      <c r="CN459" s="25"/>
      <c r="CO459" s="25"/>
      <c r="CP459" s="25"/>
      <c r="CQ459" s="25"/>
      <c r="CR459" s="25"/>
      <c r="CS459" s="25"/>
    </row>
    <row r="460" spans="2:97">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c r="AV460" s="25"/>
      <c r="AW460" s="25"/>
      <c r="AX460" s="25"/>
      <c r="AY460" s="25"/>
      <c r="AZ460" s="25"/>
      <c r="BA460" s="25"/>
      <c r="BB460" s="25"/>
      <c r="BC460" s="25"/>
      <c r="BD460" s="25"/>
      <c r="BE460" s="25"/>
      <c r="BF460" s="25"/>
      <c r="BG460" s="25"/>
      <c r="BH460" s="25"/>
      <c r="BI460" s="25"/>
      <c r="BJ460" s="25"/>
      <c r="BK460" s="25"/>
      <c r="BL460" s="25"/>
      <c r="BM460" s="25"/>
      <c r="BN460" s="25"/>
      <c r="BO460" s="25"/>
      <c r="BP460" s="25"/>
      <c r="BQ460" s="25"/>
      <c r="BR460" s="25"/>
      <c r="BS460" s="25"/>
      <c r="BT460" s="25"/>
      <c r="BU460" s="25"/>
      <c r="BV460" s="25"/>
      <c r="BW460" s="25"/>
      <c r="BX460" s="25"/>
      <c r="BY460" s="25"/>
      <c r="BZ460" s="25"/>
      <c r="CA460" s="25"/>
      <c r="CB460" s="25"/>
      <c r="CC460" s="25"/>
      <c r="CD460" s="25"/>
      <c r="CE460" s="25"/>
      <c r="CF460" s="25"/>
      <c r="CG460" s="25"/>
      <c r="CH460" s="25"/>
      <c r="CI460" s="25"/>
      <c r="CJ460" s="25"/>
      <c r="CK460" s="25"/>
      <c r="CL460" s="25"/>
      <c r="CM460" s="25"/>
      <c r="CN460" s="25"/>
      <c r="CO460" s="25"/>
      <c r="CP460" s="25"/>
      <c r="CQ460" s="25"/>
      <c r="CR460" s="25"/>
      <c r="CS460" s="25"/>
    </row>
    <row r="461" spans="2:97">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c r="AV461" s="25"/>
      <c r="AW461" s="25"/>
      <c r="AX461" s="25"/>
      <c r="AY461" s="25"/>
      <c r="AZ461" s="25"/>
      <c r="BA461" s="25"/>
      <c r="BB461" s="25"/>
      <c r="BC461" s="25"/>
      <c r="BD461" s="25"/>
      <c r="BE461" s="25"/>
      <c r="BF461" s="25"/>
      <c r="BG461" s="25"/>
      <c r="BH461" s="25"/>
      <c r="BI461" s="25"/>
      <c r="BJ461" s="25"/>
      <c r="BK461" s="25"/>
      <c r="BL461" s="25"/>
      <c r="BM461" s="25"/>
      <c r="BN461" s="25"/>
      <c r="BO461" s="25"/>
      <c r="BP461" s="25"/>
      <c r="BQ461" s="25"/>
      <c r="BR461" s="25"/>
      <c r="BS461" s="25"/>
      <c r="BT461" s="25"/>
      <c r="BU461" s="25"/>
      <c r="BV461" s="25"/>
      <c r="BW461" s="25"/>
      <c r="BX461" s="25"/>
      <c r="BY461" s="25"/>
      <c r="BZ461" s="25"/>
      <c r="CA461" s="25"/>
      <c r="CB461" s="25"/>
      <c r="CC461" s="25"/>
      <c r="CD461" s="25"/>
      <c r="CE461" s="25"/>
      <c r="CF461" s="25"/>
      <c r="CG461" s="25"/>
      <c r="CH461" s="25"/>
      <c r="CI461" s="25"/>
      <c r="CJ461" s="25"/>
      <c r="CK461" s="25"/>
      <c r="CL461" s="25"/>
      <c r="CM461" s="25"/>
      <c r="CN461" s="25"/>
      <c r="CO461" s="25"/>
      <c r="CP461" s="25"/>
      <c r="CQ461" s="25"/>
      <c r="CR461" s="25"/>
      <c r="CS461" s="25"/>
    </row>
    <row r="462" spans="2:97">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c r="AV462" s="25"/>
      <c r="AW462" s="25"/>
      <c r="AX462" s="25"/>
      <c r="AY462" s="25"/>
      <c r="AZ462" s="25"/>
      <c r="BA462" s="25"/>
      <c r="BB462" s="25"/>
      <c r="BC462" s="25"/>
      <c r="BD462" s="25"/>
      <c r="BE462" s="25"/>
      <c r="BF462" s="25"/>
      <c r="BG462" s="25"/>
      <c r="BH462" s="25"/>
      <c r="BI462" s="25"/>
      <c r="BJ462" s="25"/>
      <c r="BK462" s="25"/>
      <c r="BL462" s="25"/>
      <c r="BM462" s="25"/>
      <c r="BN462" s="25"/>
      <c r="BO462" s="25"/>
      <c r="BP462" s="25"/>
      <c r="BQ462" s="25"/>
      <c r="BR462" s="25"/>
      <c r="BS462" s="25"/>
      <c r="BT462" s="25"/>
      <c r="BU462" s="25"/>
      <c r="BV462" s="25"/>
      <c r="BW462" s="25"/>
      <c r="BX462" s="25"/>
      <c r="BY462" s="25"/>
      <c r="BZ462" s="25"/>
      <c r="CA462" s="25"/>
      <c r="CB462" s="25"/>
      <c r="CC462" s="25"/>
      <c r="CD462" s="25"/>
      <c r="CE462" s="25"/>
      <c r="CF462" s="25"/>
      <c r="CG462" s="25"/>
      <c r="CH462" s="25"/>
      <c r="CI462" s="25"/>
      <c r="CJ462" s="25"/>
      <c r="CK462" s="25"/>
      <c r="CL462" s="25"/>
      <c r="CM462" s="25"/>
      <c r="CN462" s="25"/>
      <c r="CO462" s="25"/>
      <c r="CP462" s="25"/>
      <c r="CQ462" s="25"/>
      <c r="CR462" s="25"/>
      <c r="CS462" s="25"/>
    </row>
    <row r="463" spans="2:97">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c r="AV463" s="25"/>
      <c r="AW463" s="25"/>
      <c r="AX463" s="25"/>
      <c r="AY463" s="25"/>
      <c r="AZ463" s="25"/>
      <c r="BA463" s="25"/>
      <c r="BB463" s="25"/>
      <c r="BC463" s="25"/>
      <c r="BD463" s="25"/>
      <c r="BE463" s="25"/>
      <c r="BF463" s="25"/>
      <c r="BG463" s="25"/>
      <c r="BH463" s="25"/>
      <c r="BI463" s="25"/>
      <c r="BJ463" s="25"/>
      <c r="BK463" s="25"/>
      <c r="BL463" s="25"/>
      <c r="BM463" s="25"/>
      <c r="BN463" s="25"/>
      <c r="BO463" s="25"/>
      <c r="BP463" s="25"/>
      <c r="BQ463" s="25"/>
      <c r="BR463" s="25"/>
      <c r="BS463" s="25"/>
      <c r="BT463" s="25"/>
      <c r="BU463" s="25"/>
      <c r="BV463" s="25"/>
      <c r="BW463" s="25"/>
      <c r="BX463" s="25"/>
      <c r="BY463" s="25"/>
      <c r="BZ463" s="25"/>
      <c r="CA463" s="25"/>
      <c r="CB463" s="25"/>
      <c r="CC463" s="25"/>
      <c r="CD463" s="25"/>
      <c r="CE463" s="25"/>
      <c r="CF463" s="25"/>
      <c r="CG463" s="25"/>
      <c r="CH463" s="25"/>
      <c r="CI463" s="25"/>
      <c r="CJ463" s="25"/>
      <c r="CK463" s="25"/>
      <c r="CL463" s="25"/>
      <c r="CM463" s="25"/>
      <c r="CN463" s="25"/>
      <c r="CO463" s="25"/>
      <c r="CP463" s="25"/>
      <c r="CQ463" s="25"/>
      <c r="CR463" s="25"/>
      <c r="CS463" s="25"/>
    </row>
    <row r="464" spans="2:97">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c r="AV464" s="25"/>
      <c r="AW464" s="25"/>
      <c r="AX464" s="25"/>
      <c r="AY464" s="25"/>
      <c r="AZ464" s="25"/>
      <c r="BA464" s="25"/>
      <c r="BB464" s="25"/>
      <c r="BC464" s="25"/>
      <c r="BD464" s="25"/>
      <c r="BE464" s="25"/>
      <c r="BF464" s="25"/>
      <c r="BG464" s="25"/>
      <c r="BH464" s="25"/>
      <c r="BI464" s="25"/>
      <c r="BJ464" s="25"/>
      <c r="BK464" s="25"/>
      <c r="BL464" s="25"/>
      <c r="BM464" s="25"/>
      <c r="BN464" s="25"/>
      <c r="BO464" s="25"/>
      <c r="BP464" s="25"/>
      <c r="BQ464" s="25"/>
      <c r="BR464" s="25"/>
      <c r="BS464" s="25"/>
      <c r="BT464" s="25"/>
      <c r="BU464" s="25"/>
      <c r="BV464" s="25"/>
      <c r="BW464" s="25"/>
      <c r="BX464" s="25"/>
      <c r="BY464" s="25"/>
      <c r="BZ464" s="25"/>
      <c r="CA464" s="25"/>
      <c r="CB464" s="25"/>
      <c r="CC464" s="25"/>
      <c r="CD464" s="25"/>
      <c r="CE464" s="25"/>
      <c r="CF464" s="25"/>
      <c r="CG464" s="25"/>
      <c r="CH464" s="25"/>
      <c r="CI464" s="25"/>
      <c r="CJ464" s="25"/>
      <c r="CK464" s="25"/>
      <c r="CL464" s="25"/>
      <c r="CM464" s="25"/>
      <c r="CN464" s="25"/>
      <c r="CO464" s="25"/>
      <c r="CP464" s="25"/>
      <c r="CQ464" s="25"/>
      <c r="CR464" s="25"/>
      <c r="CS464" s="25"/>
    </row>
    <row r="465" spans="2:97">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c r="AV465" s="25"/>
      <c r="AW465" s="25"/>
      <c r="AX465" s="25"/>
      <c r="AY465" s="25"/>
      <c r="AZ465" s="25"/>
      <c r="BA465" s="25"/>
      <c r="BB465" s="25"/>
      <c r="BC465" s="25"/>
      <c r="BD465" s="25"/>
      <c r="BE465" s="25"/>
      <c r="BF465" s="25"/>
      <c r="BG465" s="25"/>
      <c r="BH465" s="25"/>
      <c r="BI465" s="25"/>
      <c r="BJ465" s="25"/>
      <c r="BK465" s="25"/>
      <c r="BL465" s="25"/>
      <c r="BM465" s="25"/>
      <c r="BN465" s="25"/>
      <c r="BO465" s="25"/>
      <c r="BP465" s="25"/>
      <c r="BQ465" s="25"/>
      <c r="BR465" s="25"/>
      <c r="BS465" s="25"/>
      <c r="BT465" s="25"/>
      <c r="BU465" s="25"/>
      <c r="BV465" s="25"/>
      <c r="BW465" s="25"/>
      <c r="BX465" s="25"/>
      <c r="BY465" s="25"/>
      <c r="BZ465" s="25"/>
      <c r="CA465" s="25"/>
      <c r="CB465" s="25"/>
      <c r="CC465" s="25"/>
      <c r="CD465" s="25"/>
      <c r="CE465" s="25"/>
      <c r="CF465" s="25"/>
      <c r="CG465" s="25"/>
      <c r="CH465" s="25"/>
      <c r="CI465" s="25"/>
      <c r="CJ465" s="25"/>
      <c r="CK465" s="25"/>
      <c r="CL465" s="25"/>
      <c r="CM465" s="25"/>
      <c r="CN465" s="25"/>
      <c r="CO465" s="25"/>
      <c r="CP465" s="25"/>
      <c r="CQ465" s="25"/>
      <c r="CR465" s="25"/>
      <c r="CS465" s="25"/>
    </row>
    <row r="466" spans="2:97">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c r="AV466" s="25"/>
      <c r="AW466" s="25"/>
      <c r="AX466" s="25"/>
      <c r="AY466" s="25"/>
      <c r="AZ466" s="25"/>
      <c r="BA466" s="25"/>
      <c r="BB466" s="25"/>
      <c r="BC466" s="25"/>
      <c r="BD466" s="25"/>
      <c r="BE466" s="25"/>
      <c r="BF466" s="25"/>
      <c r="BG466" s="25"/>
      <c r="BH466" s="25"/>
      <c r="BI466" s="25"/>
      <c r="BJ466" s="25"/>
      <c r="BK466" s="25"/>
      <c r="BL466" s="25"/>
      <c r="BM466" s="25"/>
      <c r="BN466" s="25"/>
      <c r="BO466" s="25"/>
      <c r="BP466" s="25"/>
      <c r="BQ466" s="25"/>
      <c r="BR466" s="25"/>
      <c r="BS466" s="25"/>
      <c r="BT466" s="25"/>
      <c r="BU466" s="25"/>
      <c r="BV466" s="25"/>
      <c r="BW466" s="25"/>
      <c r="BX466" s="25"/>
      <c r="BY466" s="25"/>
      <c r="BZ466" s="25"/>
      <c r="CA466" s="25"/>
      <c r="CB466" s="25"/>
      <c r="CC466" s="25"/>
      <c r="CD466" s="25"/>
      <c r="CE466" s="25"/>
      <c r="CF466" s="25"/>
      <c r="CG466" s="25"/>
      <c r="CH466" s="25"/>
      <c r="CI466" s="25"/>
      <c r="CJ466" s="25"/>
      <c r="CK466" s="25"/>
      <c r="CL466" s="25"/>
      <c r="CM466" s="25"/>
      <c r="CN466" s="25"/>
      <c r="CO466" s="25"/>
      <c r="CP466" s="25"/>
      <c r="CQ466" s="25"/>
      <c r="CR466" s="25"/>
      <c r="CS466" s="25"/>
    </row>
    <row r="467" spans="2:97">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c r="AV467" s="25"/>
      <c r="AW467" s="25"/>
      <c r="AX467" s="25"/>
      <c r="AY467" s="25"/>
      <c r="AZ467" s="25"/>
      <c r="BA467" s="25"/>
      <c r="BB467" s="25"/>
      <c r="BC467" s="25"/>
      <c r="BD467" s="25"/>
      <c r="BE467" s="25"/>
      <c r="BF467" s="25"/>
      <c r="BG467" s="25"/>
      <c r="BH467" s="25"/>
      <c r="BI467" s="25"/>
      <c r="BJ467" s="25"/>
      <c r="BK467" s="25"/>
      <c r="BL467" s="25"/>
      <c r="BM467" s="25"/>
      <c r="BN467" s="25"/>
      <c r="BO467" s="25"/>
      <c r="BP467" s="25"/>
      <c r="BQ467" s="25"/>
      <c r="BR467" s="25"/>
      <c r="BS467" s="25"/>
      <c r="BT467" s="25"/>
      <c r="BU467" s="25"/>
      <c r="BV467" s="25"/>
      <c r="BW467" s="25"/>
      <c r="BX467" s="25"/>
      <c r="BY467" s="25"/>
      <c r="BZ467" s="25"/>
      <c r="CA467" s="25"/>
      <c r="CB467" s="25"/>
      <c r="CC467" s="25"/>
      <c r="CD467" s="25"/>
      <c r="CE467" s="25"/>
      <c r="CF467" s="25"/>
      <c r="CG467" s="25"/>
      <c r="CH467" s="25"/>
      <c r="CI467" s="25"/>
      <c r="CJ467" s="25"/>
      <c r="CK467" s="25"/>
      <c r="CL467" s="25"/>
      <c r="CM467" s="25"/>
      <c r="CN467" s="25"/>
      <c r="CO467" s="25"/>
      <c r="CP467" s="25"/>
      <c r="CQ467" s="25"/>
      <c r="CR467" s="25"/>
      <c r="CS467" s="25"/>
    </row>
    <row r="468" spans="2:97">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c r="AV468" s="25"/>
      <c r="AW468" s="25"/>
      <c r="AX468" s="25"/>
      <c r="AY468" s="25"/>
      <c r="AZ468" s="25"/>
      <c r="BA468" s="25"/>
      <c r="BB468" s="25"/>
      <c r="BC468" s="25"/>
      <c r="BD468" s="25"/>
      <c r="BE468" s="25"/>
      <c r="BF468" s="25"/>
      <c r="BG468" s="25"/>
      <c r="BH468" s="25"/>
      <c r="BI468" s="25"/>
      <c r="BJ468" s="25"/>
      <c r="BK468" s="25"/>
      <c r="BL468" s="25"/>
      <c r="BM468" s="25"/>
      <c r="BN468" s="25"/>
      <c r="BO468" s="25"/>
      <c r="BP468" s="25"/>
      <c r="BQ468" s="25"/>
      <c r="BR468" s="25"/>
      <c r="BS468" s="25"/>
      <c r="BT468" s="25"/>
      <c r="BU468" s="25"/>
      <c r="BV468" s="25"/>
      <c r="BW468" s="25"/>
      <c r="BX468" s="25"/>
      <c r="BY468" s="25"/>
      <c r="BZ468" s="25"/>
      <c r="CA468" s="25"/>
      <c r="CB468" s="25"/>
      <c r="CC468" s="25"/>
      <c r="CD468" s="25"/>
      <c r="CE468" s="25"/>
      <c r="CF468" s="25"/>
      <c r="CG468" s="25"/>
      <c r="CH468" s="25"/>
      <c r="CI468" s="25"/>
      <c r="CJ468" s="25"/>
      <c r="CK468" s="25"/>
      <c r="CL468" s="25"/>
      <c r="CM468" s="25"/>
      <c r="CN468" s="25"/>
      <c r="CO468" s="25"/>
      <c r="CP468" s="25"/>
      <c r="CQ468" s="25"/>
      <c r="CR468" s="25"/>
      <c r="CS468" s="25"/>
    </row>
    <row r="469" spans="2:97">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c r="AV469" s="25"/>
      <c r="AW469" s="25"/>
      <c r="AX469" s="25"/>
      <c r="AY469" s="25"/>
      <c r="AZ469" s="25"/>
      <c r="BA469" s="25"/>
      <c r="BB469" s="25"/>
      <c r="BC469" s="25"/>
      <c r="BD469" s="25"/>
      <c r="BE469" s="25"/>
      <c r="BF469" s="25"/>
      <c r="BG469" s="25"/>
      <c r="BH469" s="25"/>
      <c r="BI469" s="25"/>
      <c r="BJ469" s="25"/>
      <c r="BK469" s="25"/>
      <c r="BL469" s="25"/>
      <c r="BM469" s="25"/>
      <c r="BN469" s="25"/>
      <c r="BO469" s="25"/>
      <c r="BP469" s="25"/>
      <c r="BQ469" s="25"/>
      <c r="BR469" s="25"/>
      <c r="BS469" s="25"/>
      <c r="BT469" s="25"/>
      <c r="BU469" s="25"/>
      <c r="BV469" s="25"/>
      <c r="BW469" s="25"/>
      <c r="BX469" s="25"/>
      <c r="BY469" s="25"/>
      <c r="BZ469" s="25"/>
      <c r="CA469" s="25"/>
      <c r="CB469" s="25"/>
      <c r="CC469" s="25"/>
      <c r="CD469" s="25"/>
      <c r="CE469" s="25"/>
      <c r="CF469" s="25"/>
      <c r="CG469" s="25"/>
      <c r="CH469" s="25"/>
      <c r="CI469" s="25"/>
      <c r="CJ469" s="25"/>
      <c r="CK469" s="25"/>
      <c r="CL469" s="25"/>
      <c r="CM469" s="25"/>
      <c r="CN469" s="25"/>
      <c r="CO469" s="25"/>
      <c r="CP469" s="25"/>
      <c r="CQ469" s="25"/>
      <c r="CR469" s="25"/>
      <c r="CS469" s="25"/>
    </row>
    <row r="470" spans="2:97">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c r="AV470" s="25"/>
      <c r="AW470" s="25"/>
      <c r="AX470" s="25"/>
      <c r="AY470" s="25"/>
      <c r="AZ470" s="25"/>
      <c r="BA470" s="25"/>
      <c r="BB470" s="25"/>
      <c r="BC470" s="25"/>
      <c r="BD470" s="25"/>
      <c r="BE470" s="25"/>
      <c r="BF470" s="25"/>
      <c r="BG470" s="25"/>
      <c r="BH470" s="25"/>
      <c r="BI470" s="25"/>
      <c r="BJ470" s="25"/>
      <c r="BK470" s="25"/>
      <c r="BL470" s="25"/>
      <c r="BM470" s="25"/>
      <c r="BN470" s="25"/>
      <c r="BO470" s="25"/>
      <c r="BP470" s="25"/>
      <c r="BQ470" s="25"/>
      <c r="BR470" s="25"/>
      <c r="BS470" s="25"/>
      <c r="BT470" s="25"/>
      <c r="BU470" s="25"/>
      <c r="BV470" s="25"/>
      <c r="BW470" s="25"/>
      <c r="BX470" s="25"/>
      <c r="BY470" s="25"/>
      <c r="BZ470" s="25"/>
      <c r="CA470" s="25"/>
      <c r="CB470" s="25"/>
      <c r="CC470" s="25"/>
      <c r="CD470" s="25"/>
      <c r="CE470" s="25"/>
      <c r="CF470" s="25"/>
      <c r="CG470" s="25"/>
      <c r="CH470" s="25"/>
      <c r="CI470" s="25"/>
      <c r="CJ470" s="25"/>
      <c r="CK470" s="25"/>
      <c r="CL470" s="25"/>
      <c r="CM470" s="25"/>
      <c r="CN470" s="25"/>
      <c r="CO470" s="25"/>
      <c r="CP470" s="25"/>
      <c r="CQ470" s="25"/>
      <c r="CR470" s="25"/>
      <c r="CS470" s="25"/>
    </row>
    <row r="471" spans="2:97">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c r="AV471" s="25"/>
      <c r="AW471" s="25"/>
      <c r="AX471" s="25"/>
      <c r="AY471" s="25"/>
      <c r="AZ471" s="25"/>
      <c r="BA471" s="25"/>
      <c r="BB471" s="25"/>
      <c r="BC471" s="25"/>
      <c r="BD471" s="25"/>
      <c r="BE471" s="25"/>
      <c r="BF471" s="25"/>
      <c r="BG471" s="25"/>
      <c r="BH471" s="25"/>
      <c r="BI471" s="25"/>
      <c r="BJ471" s="25"/>
      <c r="BK471" s="25"/>
      <c r="BL471" s="25"/>
      <c r="BM471" s="25"/>
      <c r="BN471" s="25"/>
      <c r="BO471" s="25"/>
      <c r="BP471" s="25"/>
      <c r="BQ471" s="25"/>
      <c r="BR471" s="25"/>
      <c r="BS471" s="25"/>
      <c r="BT471" s="25"/>
      <c r="BU471" s="25"/>
      <c r="BV471" s="25"/>
      <c r="BW471" s="25"/>
      <c r="BX471" s="25"/>
      <c r="BY471" s="25"/>
      <c r="BZ471" s="25"/>
      <c r="CA471" s="25"/>
      <c r="CB471" s="25"/>
      <c r="CC471" s="25"/>
      <c r="CD471" s="25"/>
      <c r="CE471" s="25"/>
      <c r="CF471" s="25"/>
      <c r="CG471" s="25"/>
      <c r="CH471" s="25"/>
      <c r="CI471" s="25"/>
      <c r="CJ471" s="25"/>
      <c r="CK471" s="25"/>
      <c r="CL471" s="25"/>
      <c r="CM471" s="25"/>
      <c r="CN471" s="25"/>
      <c r="CO471" s="25"/>
      <c r="CP471" s="25"/>
      <c r="CQ471" s="25"/>
      <c r="CR471" s="25"/>
      <c r="CS471" s="25"/>
    </row>
    <row r="472" spans="2:97">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c r="AV472" s="25"/>
      <c r="AW472" s="25"/>
      <c r="AX472" s="25"/>
      <c r="AY472" s="25"/>
      <c r="AZ472" s="25"/>
      <c r="BA472" s="25"/>
      <c r="BB472" s="25"/>
      <c r="BC472" s="25"/>
      <c r="BD472" s="25"/>
      <c r="BE472" s="25"/>
      <c r="BF472" s="25"/>
      <c r="BG472" s="25"/>
      <c r="BH472" s="25"/>
      <c r="BI472" s="25"/>
      <c r="BJ472" s="25"/>
      <c r="BK472" s="25"/>
      <c r="BL472" s="25"/>
      <c r="BM472" s="25"/>
      <c r="BN472" s="25"/>
      <c r="BO472" s="25"/>
      <c r="BP472" s="25"/>
      <c r="BQ472" s="25"/>
      <c r="BR472" s="25"/>
      <c r="BS472" s="25"/>
      <c r="BT472" s="25"/>
      <c r="BU472" s="25"/>
      <c r="BV472" s="25"/>
      <c r="BW472" s="25"/>
      <c r="BX472" s="25"/>
      <c r="BY472" s="25"/>
      <c r="BZ472" s="25"/>
      <c r="CA472" s="25"/>
      <c r="CB472" s="25"/>
      <c r="CC472" s="25"/>
      <c r="CD472" s="25"/>
      <c r="CE472" s="25"/>
      <c r="CF472" s="25"/>
      <c r="CG472" s="25"/>
      <c r="CH472" s="25"/>
      <c r="CI472" s="25"/>
      <c r="CJ472" s="25"/>
      <c r="CK472" s="25"/>
      <c r="CL472" s="25"/>
      <c r="CM472" s="25"/>
      <c r="CN472" s="25"/>
      <c r="CO472" s="25"/>
      <c r="CP472" s="25"/>
      <c r="CQ472" s="25"/>
      <c r="CR472" s="25"/>
      <c r="CS472" s="25"/>
    </row>
    <row r="473" spans="2:97">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c r="AV473" s="25"/>
      <c r="AW473" s="25"/>
      <c r="AX473" s="25"/>
      <c r="AY473" s="25"/>
      <c r="AZ473" s="25"/>
      <c r="BA473" s="25"/>
      <c r="BB473" s="25"/>
      <c r="BC473" s="25"/>
      <c r="BD473" s="25"/>
      <c r="BE473" s="25"/>
      <c r="BF473" s="25"/>
      <c r="BG473" s="25"/>
      <c r="BH473" s="25"/>
      <c r="BI473" s="25"/>
      <c r="BJ473" s="25"/>
      <c r="BK473" s="25"/>
      <c r="BL473" s="25"/>
      <c r="BM473" s="25"/>
      <c r="BN473" s="25"/>
      <c r="BO473" s="25"/>
      <c r="BP473" s="25"/>
      <c r="BQ473" s="25"/>
      <c r="BR473" s="25"/>
      <c r="BS473" s="25"/>
      <c r="BT473" s="25"/>
      <c r="BU473" s="25"/>
      <c r="BV473" s="25"/>
      <c r="BW473" s="25"/>
      <c r="BX473" s="25"/>
      <c r="BY473" s="25"/>
      <c r="BZ473" s="25"/>
      <c r="CA473" s="25"/>
      <c r="CB473" s="25"/>
      <c r="CC473" s="25"/>
      <c r="CD473" s="25"/>
      <c r="CE473" s="25"/>
      <c r="CF473" s="25"/>
      <c r="CG473" s="25"/>
      <c r="CH473" s="25"/>
      <c r="CI473" s="25"/>
      <c r="CJ473" s="25"/>
      <c r="CK473" s="25"/>
      <c r="CL473" s="25"/>
      <c r="CM473" s="25"/>
      <c r="CN473" s="25"/>
      <c r="CO473" s="25"/>
      <c r="CP473" s="25"/>
      <c r="CQ473" s="25"/>
      <c r="CR473" s="25"/>
      <c r="CS473" s="25"/>
    </row>
    <row r="474" spans="2:97">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c r="AV474" s="25"/>
      <c r="AW474" s="25"/>
      <c r="AX474" s="25"/>
      <c r="AY474" s="25"/>
      <c r="AZ474" s="25"/>
      <c r="BA474" s="25"/>
      <c r="BB474" s="25"/>
      <c r="BC474" s="25"/>
      <c r="BD474" s="25"/>
      <c r="BE474" s="25"/>
      <c r="BF474" s="25"/>
      <c r="BG474" s="25"/>
      <c r="BH474" s="25"/>
      <c r="BI474" s="25"/>
      <c r="BJ474" s="25"/>
      <c r="BK474" s="25"/>
      <c r="BL474" s="25"/>
      <c r="BM474" s="25"/>
      <c r="BN474" s="25"/>
      <c r="BO474" s="25"/>
      <c r="BP474" s="25"/>
      <c r="BQ474" s="25"/>
      <c r="BR474" s="25"/>
      <c r="BS474" s="25"/>
      <c r="BT474" s="25"/>
      <c r="BU474" s="25"/>
      <c r="BV474" s="25"/>
      <c r="BW474" s="25"/>
      <c r="BX474" s="25"/>
      <c r="BY474" s="25"/>
      <c r="BZ474" s="25"/>
      <c r="CA474" s="25"/>
      <c r="CB474" s="25"/>
      <c r="CC474" s="25"/>
      <c r="CD474" s="25"/>
      <c r="CE474" s="25"/>
      <c r="CF474" s="25"/>
      <c r="CG474" s="25"/>
      <c r="CH474" s="25"/>
      <c r="CI474" s="25"/>
      <c r="CJ474" s="25"/>
      <c r="CK474" s="25"/>
      <c r="CL474" s="25"/>
      <c r="CM474" s="25"/>
      <c r="CN474" s="25"/>
      <c r="CO474" s="25"/>
      <c r="CP474" s="25"/>
      <c r="CQ474" s="25"/>
      <c r="CR474" s="25"/>
      <c r="CS474" s="25"/>
    </row>
    <row r="475" spans="2:97">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c r="AV475" s="25"/>
      <c r="AW475" s="25"/>
      <c r="AX475" s="25"/>
      <c r="AY475" s="25"/>
      <c r="AZ475" s="25"/>
      <c r="BA475" s="25"/>
      <c r="BB475" s="25"/>
      <c r="BC475" s="25"/>
      <c r="BD475" s="25"/>
      <c r="BE475" s="25"/>
      <c r="BF475" s="25"/>
      <c r="BG475" s="25"/>
      <c r="BH475" s="25"/>
      <c r="BI475" s="25"/>
      <c r="BJ475" s="25"/>
      <c r="BK475" s="25"/>
      <c r="BL475" s="25"/>
      <c r="BM475" s="25"/>
      <c r="BN475" s="25"/>
      <c r="BO475" s="25"/>
      <c r="BP475" s="25"/>
      <c r="BQ475" s="25"/>
      <c r="BR475" s="25"/>
      <c r="BS475" s="25"/>
      <c r="BT475" s="25"/>
      <c r="BU475" s="25"/>
      <c r="BV475" s="25"/>
      <c r="BW475" s="25"/>
      <c r="BX475" s="25"/>
      <c r="BY475" s="25"/>
      <c r="BZ475" s="25"/>
      <c r="CA475" s="25"/>
      <c r="CB475" s="25"/>
      <c r="CC475" s="25"/>
      <c r="CD475" s="25"/>
      <c r="CE475" s="25"/>
      <c r="CF475" s="25"/>
      <c r="CG475" s="25"/>
      <c r="CH475" s="25"/>
      <c r="CI475" s="25"/>
      <c r="CJ475" s="25"/>
      <c r="CK475" s="25"/>
      <c r="CL475" s="25"/>
      <c r="CM475" s="25"/>
      <c r="CN475" s="25"/>
      <c r="CO475" s="25"/>
      <c r="CP475" s="25"/>
      <c r="CQ475" s="25"/>
      <c r="CR475" s="25"/>
      <c r="CS475" s="25"/>
    </row>
    <row r="476" spans="2:97">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c r="AV476" s="25"/>
      <c r="AW476" s="25"/>
      <c r="AX476" s="25"/>
      <c r="AY476" s="25"/>
      <c r="AZ476" s="25"/>
      <c r="BA476" s="25"/>
      <c r="BB476" s="25"/>
      <c r="BC476" s="25"/>
      <c r="BD476" s="25"/>
      <c r="BE476" s="25"/>
      <c r="BF476" s="25"/>
      <c r="BG476" s="25"/>
      <c r="BH476" s="25"/>
      <c r="BI476" s="25"/>
      <c r="BJ476" s="25"/>
      <c r="BK476" s="25"/>
      <c r="BL476" s="25"/>
      <c r="BM476" s="25"/>
      <c r="BN476" s="25"/>
      <c r="BO476" s="25"/>
      <c r="BP476" s="25"/>
      <c r="BQ476" s="25"/>
      <c r="BR476" s="25"/>
      <c r="BS476" s="25"/>
      <c r="BT476" s="25"/>
      <c r="BU476" s="25"/>
      <c r="BV476" s="25"/>
      <c r="BW476" s="25"/>
      <c r="BX476" s="25"/>
      <c r="BY476" s="25"/>
      <c r="BZ476" s="25"/>
      <c r="CA476" s="25"/>
      <c r="CB476" s="25"/>
      <c r="CC476" s="25"/>
      <c r="CD476" s="25"/>
      <c r="CE476" s="25"/>
      <c r="CF476" s="25"/>
      <c r="CG476" s="25"/>
      <c r="CH476" s="25"/>
      <c r="CI476" s="25"/>
      <c r="CJ476" s="25"/>
      <c r="CK476" s="25"/>
      <c r="CL476" s="25"/>
      <c r="CM476" s="25"/>
      <c r="CN476" s="25"/>
      <c r="CO476" s="25"/>
      <c r="CP476" s="25"/>
      <c r="CQ476" s="25"/>
      <c r="CR476" s="25"/>
      <c r="CS476" s="25"/>
    </row>
    <row r="477" spans="2:97">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c r="AV477" s="25"/>
      <c r="AW477" s="25"/>
      <c r="AX477" s="25"/>
      <c r="AY477" s="25"/>
      <c r="AZ477" s="25"/>
      <c r="BA477" s="25"/>
      <c r="BB477" s="25"/>
      <c r="BC477" s="25"/>
      <c r="BD477" s="25"/>
      <c r="BE477" s="25"/>
      <c r="BF477" s="25"/>
      <c r="BG477" s="25"/>
      <c r="BH477" s="25"/>
      <c r="BI477" s="25"/>
      <c r="BJ477" s="25"/>
      <c r="BK477" s="25"/>
      <c r="BL477" s="25"/>
      <c r="BM477" s="25"/>
      <c r="BN477" s="25"/>
      <c r="BO477" s="25"/>
      <c r="BP477" s="25"/>
      <c r="BQ477" s="25"/>
      <c r="BR477" s="25"/>
      <c r="BS477" s="25"/>
      <c r="BT477" s="25"/>
      <c r="BU477" s="25"/>
      <c r="BV477" s="25"/>
      <c r="BW477" s="25"/>
      <c r="BX477" s="25"/>
      <c r="BY477" s="25"/>
      <c r="BZ477" s="25"/>
      <c r="CA477" s="25"/>
      <c r="CB477" s="25"/>
      <c r="CC477" s="25"/>
      <c r="CD477" s="25"/>
      <c r="CE477" s="25"/>
      <c r="CF477" s="25"/>
      <c r="CG477" s="25"/>
      <c r="CH477" s="25"/>
      <c r="CI477" s="25"/>
      <c r="CJ477" s="25"/>
      <c r="CK477" s="25"/>
      <c r="CL477" s="25"/>
      <c r="CM477" s="25"/>
      <c r="CN477" s="25"/>
      <c r="CO477" s="25"/>
      <c r="CP477" s="25"/>
      <c r="CQ477" s="25"/>
      <c r="CR477" s="25"/>
      <c r="CS477" s="25"/>
    </row>
    <row r="478" spans="2:97">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c r="AV478" s="25"/>
      <c r="AW478" s="25"/>
      <c r="AX478" s="25"/>
      <c r="AY478" s="25"/>
      <c r="AZ478" s="25"/>
      <c r="BA478" s="25"/>
      <c r="BB478" s="25"/>
      <c r="BC478" s="25"/>
      <c r="BD478" s="25"/>
      <c r="BE478" s="25"/>
      <c r="BF478" s="25"/>
      <c r="BG478" s="25"/>
      <c r="BH478" s="25"/>
      <c r="BI478" s="25"/>
      <c r="BJ478" s="25"/>
      <c r="BK478" s="25"/>
      <c r="BL478" s="25"/>
      <c r="BM478" s="25"/>
      <c r="BN478" s="25"/>
      <c r="BO478" s="25"/>
      <c r="BP478" s="25"/>
      <c r="BQ478" s="25"/>
      <c r="BR478" s="25"/>
      <c r="BS478" s="25"/>
      <c r="BT478" s="25"/>
      <c r="BU478" s="25"/>
      <c r="BV478" s="25"/>
      <c r="BW478" s="25"/>
      <c r="BX478" s="25"/>
      <c r="BY478" s="25"/>
      <c r="BZ478" s="25"/>
      <c r="CA478" s="25"/>
      <c r="CB478" s="25"/>
      <c r="CC478" s="25"/>
      <c r="CD478" s="25"/>
      <c r="CE478" s="25"/>
      <c r="CF478" s="25"/>
      <c r="CG478" s="25"/>
      <c r="CH478" s="25"/>
      <c r="CI478" s="25"/>
      <c r="CJ478" s="25"/>
      <c r="CK478" s="25"/>
      <c r="CL478" s="25"/>
      <c r="CM478" s="25"/>
      <c r="CN478" s="25"/>
      <c r="CO478" s="25"/>
      <c r="CP478" s="25"/>
      <c r="CQ478" s="25"/>
      <c r="CR478" s="25"/>
      <c r="CS478" s="25"/>
    </row>
    <row r="479" spans="2:97">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c r="AV479" s="25"/>
      <c r="AW479" s="25"/>
      <c r="AX479" s="25"/>
      <c r="AY479" s="25"/>
      <c r="AZ479" s="25"/>
      <c r="BA479" s="25"/>
      <c r="BB479" s="25"/>
      <c r="BC479" s="25"/>
      <c r="BD479" s="25"/>
      <c r="BE479" s="25"/>
      <c r="BF479" s="25"/>
      <c r="BG479" s="25"/>
      <c r="BH479" s="25"/>
      <c r="BI479" s="25"/>
      <c r="BJ479" s="25"/>
      <c r="BK479" s="25"/>
      <c r="BL479" s="25"/>
      <c r="BM479" s="25"/>
      <c r="BN479" s="25"/>
      <c r="BO479" s="25"/>
      <c r="BP479" s="25"/>
      <c r="BQ479" s="25"/>
      <c r="BR479" s="25"/>
      <c r="BS479" s="25"/>
      <c r="BT479" s="25"/>
      <c r="BU479" s="25"/>
      <c r="BV479" s="25"/>
      <c r="BW479" s="25"/>
      <c r="BX479" s="25"/>
      <c r="BY479" s="25"/>
      <c r="BZ479" s="25"/>
      <c r="CA479" s="25"/>
      <c r="CB479" s="25"/>
      <c r="CC479" s="25"/>
      <c r="CD479" s="25"/>
      <c r="CE479" s="25"/>
      <c r="CF479" s="25"/>
      <c r="CG479" s="25"/>
      <c r="CH479" s="25"/>
      <c r="CI479" s="25"/>
      <c r="CJ479" s="25"/>
      <c r="CK479" s="25"/>
      <c r="CL479" s="25"/>
      <c r="CM479" s="25"/>
      <c r="CN479" s="25"/>
      <c r="CO479" s="25"/>
      <c r="CP479" s="25"/>
      <c r="CQ479" s="25"/>
      <c r="CR479" s="25"/>
      <c r="CS479" s="25"/>
    </row>
    <row r="480" spans="2:97">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c r="AV480" s="25"/>
      <c r="AW480" s="25"/>
      <c r="AX480" s="25"/>
      <c r="AY480" s="25"/>
      <c r="AZ480" s="25"/>
      <c r="BA480" s="25"/>
      <c r="BB480" s="25"/>
      <c r="BC480" s="25"/>
      <c r="BD480" s="25"/>
      <c r="BE480" s="25"/>
      <c r="BF480" s="25"/>
      <c r="BG480" s="25"/>
      <c r="BH480" s="25"/>
      <c r="BI480" s="25"/>
      <c r="BJ480" s="25"/>
      <c r="BK480" s="25"/>
      <c r="BL480" s="25"/>
      <c r="BM480" s="25"/>
      <c r="BN480" s="25"/>
      <c r="BO480" s="25"/>
      <c r="BP480" s="25"/>
      <c r="BQ480" s="25"/>
      <c r="BR480" s="25"/>
      <c r="BS480" s="25"/>
      <c r="BT480" s="25"/>
      <c r="BU480" s="25"/>
      <c r="BV480" s="25"/>
      <c r="BW480" s="25"/>
      <c r="BX480" s="25"/>
      <c r="BY480" s="25"/>
      <c r="BZ480" s="25"/>
      <c r="CA480" s="25"/>
      <c r="CB480" s="25"/>
      <c r="CC480" s="25"/>
      <c r="CD480" s="25"/>
      <c r="CE480" s="25"/>
      <c r="CF480" s="25"/>
      <c r="CG480" s="25"/>
      <c r="CH480" s="25"/>
      <c r="CI480" s="25"/>
      <c r="CJ480" s="25"/>
      <c r="CK480" s="25"/>
      <c r="CL480" s="25"/>
      <c r="CM480" s="25"/>
      <c r="CN480" s="25"/>
      <c r="CO480" s="25"/>
      <c r="CP480" s="25"/>
      <c r="CQ480" s="25"/>
      <c r="CR480" s="25"/>
      <c r="CS480" s="25"/>
    </row>
    <row r="481" spans="2:97">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c r="AV481" s="25"/>
      <c r="AW481" s="25"/>
      <c r="AX481" s="25"/>
      <c r="AY481" s="25"/>
      <c r="AZ481" s="25"/>
      <c r="BA481" s="25"/>
      <c r="BB481" s="25"/>
      <c r="BC481" s="25"/>
      <c r="BD481" s="25"/>
      <c r="BE481" s="25"/>
      <c r="BF481" s="25"/>
      <c r="BG481" s="25"/>
      <c r="BH481" s="25"/>
      <c r="BI481" s="25"/>
      <c r="BJ481" s="25"/>
      <c r="BK481" s="25"/>
      <c r="BL481" s="25"/>
      <c r="BM481" s="25"/>
      <c r="BN481" s="25"/>
      <c r="BO481" s="25"/>
      <c r="BP481" s="25"/>
      <c r="BQ481" s="25"/>
      <c r="BR481" s="25"/>
      <c r="BS481" s="25"/>
      <c r="BT481" s="25"/>
      <c r="BU481" s="25"/>
      <c r="BV481" s="25"/>
      <c r="BW481" s="25"/>
      <c r="BX481" s="25"/>
      <c r="BY481" s="25"/>
      <c r="BZ481" s="25"/>
      <c r="CA481" s="25"/>
      <c r="CB481" s="25"/>
      <c r="CC481" s="25"/>
      <c r="CD481" s="25"/>
      <c r="CE481" s="25"/>
      <c r="CF481" s="25"/>
      <c r="CG481" s="25"/>
      <c r="CH481" s="25"/>
      <c r="CI481" s="25"/>
      <c r="CJ481" s="25"/>
      <c r="CK481" s="25"/>
      <c r="CL481" s="25"/>
      <c r="CM481" s="25"/>
      <c r="CN481" s="25"/>
      <c r="CO481" s="25"/>
      <c r="CP481" s="25"/>
      <c r="CQ481" s="25"/>
      <c r="CR481" s="25"/>
      <c r="CS481" s="25"/>
    </row>
    <row r="482" spans="2:97">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c r="AV482" s="25"/>
      <c r="AW482" s="25"/>
      <c r="AX482" s="25"/>
      <c r="AY482" s="25"/>
      <c r="AZ482" s="25"/>
      <c r="BA482" s="25"/>
      <c r="BB482" s="25"/>
      <c r="BC482" s="25"/>
      <c r="BD482" s="25"/>
      <c r="BE482" s="25"/>
      <c r="BF482" s="25"/>
      <c r="BG482" s="25"/>
      <c r="BH482" s="25"/>
      <c r="BI482" s="25"/>
      <c r="BJ482" s="25"/>
      <c r="BK482" s="25"/>
      <c r="BL482" s="25"/>
      <c r="BM482" s="25"/>
      <c r="BN482" s="25"/>
      <c r="BO482" s="25"/>
      <c r="BP482" s="25"/>
      <c r="BQ482" s="25"/>
      <c r="BR482" s="25"/>
      <c r="BS482" s="25"/>
      <c r="BT482" s="25"/>
      <c r="BU482" s="25"/>
      <c r="BV482" s="25"/>
      <c r="BW482" s="25"/>
      <c r="BX482" s="25"/>
      <c r="BY482" s="25"/>
      <c r="BZ482" s="25"/>
      <c r="CA482" s="25"/>
      <c r="CB482" s="25"/>
      <c r="CC482" s="25"/>
      <c r="CD482" s="25"/>
      <c r="CE482" s="25"/>
      <c r="CF482" s="25"/>
      <c r="CG482" s="25"/>
      <c r="CH482" s="25"/>
      <c r="CI482" s="25"/>
      <c r="CJ482" s="25"/>
      <c r="CK482" s="25"/>
      <c r="CL482" s="25"/>
      <c r="CM482" s="25"/>
      <c r="CN482" s="25"/>
      <c r="CO482" s="25"/>
      <c r="CP482" s="25"/>
      <c r="CQ482" s="25"/>
      <c r="CR482" s="25"/>
      <c r="CS482" s="25"/>
    </row>
    <row r="483" spans="2:97">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c r="AV483" s="25"/>
      <c r="AW483" s="25"/>
      <c r="AX483" s="25"/>
      <c r="AY483" s="25"/>
      <c r="AZ483" s="25"/>
      <c r="BA483" s="25"/>
      <c r="BB483" s="25"/>
      <c r="BC483" s="25"/>
      <c r="BD483" s="25"/>
      <c r="BE483" s="25"/>
      <c r="BF483" s="25"/>
      <c r="BG483" s="25"/>
      <c r="BH483" s="25"/>
      <c r="BI483" s="25"/>
      <c r="BJ483" s="25"/>
      <c r="BK483" s="25"/>
      <c r="BL483" s="25"/>
      <c r="BM483" s="25"/>
      <c r="BN483" s="25"/>
      <c r="BO483" s="25"/>
      <c r="BP483" s="25"/>
      <c r="BQ483" s="25"/>
      <c r="BR483" s="25"/>
      <c r="BS483" s="25"/>
      <c r="BT483" s="25"/>
      <c r="BU483" s="25"/>
      <c r="BV483" s="25"/>
      <c r="BW483" s="25"/>
      <c r="BX483" s="25"/>
      <c r="BY483" s="25"/>
      <c r="BZ483" s="25"/>
      <c r="CA483" s="25"/>
      <c r="CB483" s="25"/>
      <c r="CC483" s="25"/>
      <c r="CD483" s="25"/>
      <c r="CE483" s="25"/>
      <c r="CF483" s="25"/>
      <c r="CG483" s="25"/>
      <c r="CH483" s="25"/>
      <c r="CI483" s="25"/>
      <c r="CJ483" s="25"/>
      <c r="CK483" s="25"/>
      <c r="CL483" s="25"/>
      <c r="CM483" s="25"/>
      <c r="CN483" s="25"/>
      <c r="CO483" s="25"/>
      <c r="CP483" s="25"/>
      <c r="CQ483" s="25"/>
      <c r="CR483" s="25"/>
      <c r="CS483" s="25"/>
    </row>
    <row r="484" spans="2:97">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c r="AV484" s="25"/>
      <c r="AW484" s="25"/>
      <c r="AX484" s="25"/>
      <c r="AY484" s="25"/>
      <c r="AZ484" s="25"/>
      <c r="BA484" s="25"/>
      <c r="BB484" s="25"/>
      <c r="BC484" s="25"/>
      <c r="BD484" s="25"/>
      <c r="BE484" s="25"/>
      <c r="BF484" s="25"/>
      <c r="BG484" s="25"/>
      <c r="BH484" s="25"/>
      <c r="BI484" s="25"/>
      <c r="BJ484" s="25"/>
      <c r="BK484" s="25"/>
      <c r="BL484" s="25"/>
      <c r="BM484" s="25"/>
      <c r="BN484" s="25"/>
      <c r="BO484" s="25"/>
      <c r="BP484" s="25"/>
      <c r="BQ484" s="25"/>
      <c r="BR484" s="25"/>
      <c r="BS484" s="25"/>
      <c r="BT484" s="25"/>
      <c r="BU484" s="25"/>
      <c r="BV484" s="25"/>
      <c r="BW484" s="25"/>
      <c r="BX484" s="25"/>
      <c r="BY484" s="25"/>
      <c r="BZ484" s="25"/>
      <c r="CA484" s="25"/>
      <c r="CB484" s="25"/>
      <c r="CC484" s="25"/>
      <c r="CD484" s="25"/>
      <c r="CE484" s="25"/>
      <c r="CF484" s="25"/>
      <c r="CG484" s="25"/>
      <c r="CH484" s="25"/>
      <c r="CI484" s="25"/>
      <c r="CJ484" s="25"/>
      <c r="CK484" s="25"/>
      <c r="CL484" s="25"/>
      <c r="CM484" s="25"/>
      <c r="CN484" s="25"/>
      <c r="CO484" s="25"/>
      <c r="CP484" s="25"/>
      <c r="CQ484" s="25"/>
      <c r="CR484" s="25"/>
      <c r="CS484" s="25"/>
    </row>
    <row r="485" spans="2:97">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5"/>
      <c r="AV485" s="25"/>
      <c r="AW485" s="25"/>
      <c r="AX485" s="25"/>
      <c r="AY485" s="25"/>
      <c r="AZ485" s="25"/>
      <c r="BA485" s="25"/>
      <c r="BB485" s="25"/>
      <c r="BC485" s="25"/>
      <c r="BD485" s="25"/>
      <c r="BE485" s="25"/>
      <c r="BF485" s="25"/>
      <c r="BG485" s="25"/>
      <c r="BH485" s="25"/>
      <c r="BI485" s="25"/>
      <c r="BJ485" s="25"/>
      <c r="BK485" s="25"/>
      <c r="BL485" s="25"/>
      <c r="BM485" s="25"/>
      <c r="BN485" s="25"/>
      <c r="BO485" s="25"/>
      <c r="BP485" s="25"/>
      <c r="BQ485" s="25"/>
      <c r="BR485" s="25"/>
      <c r="BS485" s="25"/>
      <c r="BT485" s="25"/>
      <c r="BU485" s="25"/>
      <c r="BV485" s="25"/>
      <c r="BW485" s="25"/>
      <c r="BX485" s="25"/>
      <c r="BY485" s="25"/>
      <c r="BZ485" s="25"/>
      <c r="CA485" s="25"/>
      <c r="CB485" s="25"/>
      <c r="CC485" s="25"/>
      <c r="CD485" s="25"/>
      <c r="CE485" s="25"/>
      <c r="CF485" s="25"/>
      <c r="CG485" s="25"/>
      <c r="CH485" s="25"/>
      <c r="CI485" s="25"/>
      <c r="CJ485" s="25"/>
      <c r="CK485" s="25"/>
      <c r="CL485" s="25"/>
      <c r="CM485" s="25"/>
      <c r="CN485" s="25"/>
      <c r="CO485" s="25"/>
      <c r="CP485" s="25"/>
      <c r="CQ485" s="25"/>
      <c r="CR485" s="25"/>
      <c r="CS485" s="25"/>
    </row>
    <row r="486" spans="2:97">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c r="AV486" s="25"/>
      <c r="AW486" s="25"/>
      <c r="AX486" s="25"/>
      <c r="AY486" s="25"/>
      <c r="AZ486" s="25"/>
      <c r="BA486" s="25"/>
      <c r="BB486" s="25"/>
      <c r="BC486" s="25"/>
      <c r="BD486" s="25"/>
      <c r="BE486" s="25"/>
      <c r="BF486" s="25"/>
      <c r="BG486" s="25"/>
      <c r="BH486" s="25"/>
      <c r="BI486" s="25"/>
      <c r="BJ486" s="25"/>
      <c r="BK486" s="25"/>
      <c r="BL486" s="25"/>
      <c r="BM486" s="25"/>
      <c r="BN486" s="25"/>
      <c r="BO486" s="25"/>
      <c r="BP486" s="25"/>
      <c r="BQ486" s="25"/>
      <c r="BR486" s="25"/>
      <c r="BS486" s="25"/>
      <c r="BT486" s="25"/>
      <c r="BU486" s="25"/>
      <c r="BV486" s="25"/>
      <c r="BW486" s="25"/>
      <c r="BX486" s="25"/>
      <c r="BY486" s="25"/>
      <c r="BZ486" s="25"/>
      <c r="CA486" s="25"/>
      <c r="CB486" s="25"/>
      <c r="CC486" s="25"/>
      <c r="CD486" s="25"/>
      <c r="CE486" s="25"/>
      <c r="CF486" s="25"/>
      <c r="CG486" s="25"/>
      <c r="CH486" s="25"/>
      <c r="CI486" s="25"/>
      <c r="CJ486" s="25"/>
      <c r="CK486" s="25"/>
      <c r="CL486" s="25"/>
      <c r="CM486" s="25"/>
      <c r="CN486" s="25"/>
      <c r="CO486" s="25"/>
      <c r="CP486" s="25"/>
      <c r="CQ486" s="25"/>
      <c r="CR486" s="25"/>
      <c r="CS486" s="25"/>
    </row>
    <row r="487" spans="2:97">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5"/>
      <c r="AV487" s="25"/>
      <c r="AW487" s="25"/>
      <c r="AX487" s="25"/>
      <c r="AY487" s="25"/>
      <c r="AZ487" s="25"/>
      <c r="BA487" s="25"/>
      <c r="BB487" s="25"/>
      <c r="BC487" s="25"/>
      <c r="BD487" s="25"/>
      <c r="BE487" s="25"/>
      <c r="BF487" s="25"/>
      <c r="BG487" s="25"/>
      <c r="BH487" s="25"/>
      <c r="BI487" s="25"/>
      <c r="BJ487" s="25"/>
      <c r="BK487" s="25"/>
      <c r="BL487" s="25"/>
      <c r="BM487" s="25"/>
      <c r="BN487" s="25"/>
      <c r="BO487" s="25"/>
      <c r="BP487" s="25"/>
      <c r="BQ487" s="25"/>
      <c r="BR487" s="25"/>
      <c r="BS487" s="25"/>
      <c r="BT487" s="25"/>
      <c r="BU487" s="25"/>
      <c r="BV487" s="25"/>
      <c r="BW487" s="25"/>
      <c r="BX487" s="25"/>
      <c r="BY487" s="25"/>
      <c r="BZ487" s="25"/>
      <c r="CA487" s="25"/>
      <c r="CB487" s="25"/>
      <c r="CC487" s="25"/>
      <c r="CD487" s="25"/>
      <c r="CE487" s="25"/>
      <c r="CF487" s="25"/>
      <c r="CG487" s="25"/>
      <c r="CH487" s="25"/>
      <c r="CI487" s="25"/>
      <c r="CJ487" s="25"/>
      <c r="CK487" s="25"/>
      <c r="CL487" s="25"/>
      <c r="CM487" s="25"/>
      <c r="CN487" s="25"/>
      <c r="CO487" s="25"/>
      <c r="CP487" s="25"/>
      <c r="CQ487" s="25"/>
      <c r="CR487" s="25"/>
      <c r="CS487" s="25"/>
    </row>
    <row r="488" spans="2:97">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c r="AT488" s="25"/>
      <c r="AU488" s="25"/>
      <c r="AV488" s="25"/>
      <c r="AW488" s="25"/>
      <c r="AX488" s="25"/>
      <c r="AY488" s="25"/>
      <c r="AZ488" s="25"/>
      <c r="BA488" s="25"/>
      <c r="BB488" s="25"/>
      <c r="BC488" s="25"/>
      <c r="BD488" s="25"/>
      <c r="BE488" s="25"/>
      <c r="BF488" s="25"/>
      <c r="BG488" s="25"/>
      <c r="BH488" s="25"/>
      <c r="BI488" s="25"/>
      <c r="BJ488" s="25"/>
      <c r="BK488" s="25"/>
      <c r="BL488" s="25"/>
      <c r="BM488" s="25"/>
      <c r="BN488" s="25"/>
      <c r="BO488" s="25"/>
      <c r="BP488" s="25"/>
      <c r="BQ488" s="25"/>
      <c r="BR488" s="25"/>
      <c r="BS488" s="25"/>
      <c r="BT488" s="25"/>
      <c r="BU488" s="25"/>
      <c r="BV488" s="25"/>
      <c r="BW488" s="25"/>
      <c r="BX488" s="25"/>
      <c r="BY488" s="25"/>
      <c r="BZ488" s="25"/>
      <c r="CA488" s="25"/>
      <c r="CB488" s="25"/>
      <c r="CC488" s="25"/>
      <c r="CD488" s="25"/>
      <c r="CE488" s="25"/>
      <c r="CF488" s="25"/>
      <c r="CG488" s="25"/>
      <c r="CH488" s="25"/>
      <c r="CI488" s="25"/>
      <c r="CJ488" s="25"/>
      <c r="CK488" s="25"/>
      <c r="CL488" s="25"/>
      <c r="CM488" s="25"/>
      <c r="CN488" s="25"/>
      <c r="CO488" s="25"/>
      <c r="CP488" s="25"/>
      <c r="CQ488" s="25"/>
      <c r="CR488" s="25"/>
      <c r="CS488" s="25"/>
    </row>
    <row r="489" spans="2:97">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c r="AT489" s="25"/>
      <c r="AU489" s="25"/>
      <c r="AV489" s="25"/>
      <c r="AW489" s="25"/>
      <c r="AX489" s="25"/>
      <c r="AY489" s="25"/>
      <c r="AZ489" s="25"/>
      <c r="BA489" s="25"/>
      <c r="BB489" s="25"/>
      <c r="BC489" s="25"/>
      <c r="BD489" s="25"/>
      <c r="BE489" s="25"/>
      <c r="BF489" s="25"/>
      <c r="BG489" s="25"/>
      <c r="BH489" s="25"/>
      <c r="BI489" s="25"/>
      <c r="BJ489" s="25"/>
      <c r="BK489" s="25"/>
      <c r="BL489" s="25"/>
      <c r="BM489" s="25"/>
      <c r="BN489" s="25"/>
      <c r="BO489" s="25"/>
      <c r="BP489" s="25"/>
      <c r="BQ489" s="25"/>
      <c r="BR489" s="25"/>
      <c r="BS489" s="25"/>
      <c r="BT489" s="25"/>
      <c r="BU489" s="25"/>
      <c r="BV489" s="25"/>
      <c r="BW489" s="25"/>
      <c r="BX489" s="25"/>
      <c r="BY489" s="25"/>
      <c r="BZ489" s="25"/>
      <c r="CA489" s="25"/>
      <c r="CB489" s="25"/>
      <c r="CC489" s="25"/>
      <c r="CD489" s="25"/>
      <c r="CE489" s="25"/>
      <c r="CF489" s="25"/>
      <c r="CG489" s="25"/>
      <c r="CH489" s="25"/>
      <c r="CI489" s="25"/>
      <c r="CJ489" s="25"/>
      <c r="CK489" s="25"/>
      <c r="CL489" s="25"/>
      <c r="CM489" s="25"/>
      <c r="CN489" s="25"/>
      <c r="CO489" s="25"/>
      <c r="CP489" s="25"/>
      <c r="CQ489" s="25"/>
      <c r="CR489" s="25"/>
      <c r="CS489" s="25"/>
    </row>
    <row r="490" spans="2:97">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c r="AT490" s="25"/>
      <c r="AU490" s="25"/>
      <c r="AV490" s="25"/>
      <c r="AW490" s="25"/>
      <c r="AX490" s="25"/>
      <c r="AY490" s="25"/>
      <c r="AZ490" s="25"/>
      <c r="BA490" s="25"/>
      <c r="BB490" s="25"/>
      <c r="BC490" s="25"/>
      <c r="BD490" s="25"/>
      <c r="BE490" s="25"/>
      <c r="BF490" s="25"/>
      <c r="BG490" s="25"/>
      <c r="BH490" s="25"/>
      <c r="BI490" s="25"/>
      <c r="BJ490" s="25"/>
      <c r="BK490" s="25"/>
      <c r="BL490" s="25"/>
      <c r="BM490" s="25"/>
      <c r="BN490" s="25"/>
      <c r="BO490" s="25"/>
      <c r="BP490" s="25"/>
      <c r="BQ490" s="25"/>
      <c r="BR490" s="25"/>
      <c r="BS490" s="25"/>
      <c r="BT490" s="25"/>
      <c r="BU490" s="25"/>
      <c r="BV490" s="25"/>
      <c r="BW490" s="25"/>
      <c r="BX490" s="25"/>
      <c r="BY490" s="25"/>
      <c r="BZ490" s="25"/>
      <c r="CA490" s="25"/>
      <c r="CB490" s="25"/>
      <c r="CC490" s="25"/>
      <c r="CD490" s="25"/>
      <c r="CE490" s="25"/>
      <c r="CF490" s="25"/>
      <c r="CG490" s="25"/>
      <c r="CH490" s="25"/>
      <c r="CI490" s="25"/>
      <c r="CJ490" s="25"/>
      <c r="CK490" s="25"/>
      <c r="CL490" s="25"/>
      <c r="CM490" s="25"/>
      <c r="CN490" s="25"/>
      <c r="CO490" s="25"/>
      <c r="CP490" s="25"/>
      <c r="CQ490" s="25"/>
      <c r="CR490" s="25"/>
      <c r="CS490" s="25"/>
    </row>
    <row r="491" spans="2:97">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c r="AT491" s="25"/>
      <c r="AU491" s="25"/>
      <c r="AV491" s="25"/>
      <c r="AW491" s="25"/>
      <c r="AX491" s="25"/>
      <c r="AY491" s="25"/>
      <c r="AZ491" s="25"/>
      <c r="BA491" s="25"/>
      <c r="BB491" s="25"/>
      <c r="BC491" s="25"/>
      <c r="BD491" s="25"/>
      <c r="BE491" s="25"/>
      <c r="BF491" s="25"/>
      <c r="BG491" s="25"/>
      <c r="BH491" s="25"/>
      <c r="BI491" s="25"/>
      <c r="BJ491" s="25"/>
      <c r="BK491" s="25"/>
      <c r="BL491" s="25"/>
      <c r="BM491" s="25"/>
      <c r="BN491" s="25"/>
      <c r="BO491" s="25"/>
      <c r="BP491" s="25"/>
      <c r="BQ491" s="25"/>
      <c r="BR491" s="25"/>
      <c r="BS491" s="25"/>
      <c r="BT491" s="25"/>
      <c r="BU491" s="25"/>
      <c r="BV491" s="25"/>
      <c r="BW491" s="25"/>
      <c r="BX491" s="25"/>
      <c r="BY491" s="25"/>
      <c r="BZ491" s="25"/>
      <c r="CA491" s="25"/>
      <c r="CB491" s="25"/>
      <c r="CC491" s="25"/>
      <c r="CD491" s="25"/>
      <c r="CE491" s="25"/>
      <c r="CF491" s="25"/>
      <c r="CG491" s="25"/>
      <c r="CH491" s="25"/>
      <c r="CI491" s="25"/>
      <c r="CJ491" s="25"/>
      <c r="CK491" s="25"/>
      <c r="CL491" s="25"/>
      <c r="CM491" s="25"/>
      <c r="CN491" s="25"/>
      <c r="CO491" s="25"/>
      <c r="CP491" s="25"/>
      <c r="CQ491" s="25"/>
      <c r="CR491" s="25"/>
      <c r="CS491" s="25"/>
    </row>
    <row r="492" spans="2:97">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c r="AS492" s="25"/>
      <c r="AT492" s="25"/>
      <c r="AU492" s="25"/>
      <c r="AV492" s="25"/>
      <c r="AW492" s="25"/>
      <c r="AX492" s="25"/>
      <c r="AY492" s="25"/>
      <c r="AZ492" s="25"/>
      <c r="BA492" s="25"/>
      <c r="BB492" s="25"/>
      <c r="BC492" s="25"/>
      <c r="BD492" s="25"/>
      <c r="BE492" s="25"/>
      <c r="BF492" s="25"/>
      <c r="BG492" s="25"/>
      <c r="BH492" s="25"/>
      <c r="BI492" s="25"/>
      <c r="BJ492" s="25"/>
      <c r="BK492" s="25"/>
      <c r="BL492" s="25"/>
      <c r="BM492" s="25"/>
      <c r="BN492" s="25"/>
      <c r="BO492" s="25"/>
      <c r="BP492" s="25"/>
      <c r="BQ492" s="25"/>
      <c r="BR492" s="25"/>
      <c r="BS492" s="25"/>
      <c r="BT492" s="25"/>
      <c r="BU492" s="25"/>
      <c r="BV492" s="25"/>
      <c r="BW492" s="25"/>
      <c r="BX492" s="25"/>
      <c r="BY492" s="25"/>
      <c r="BZ492" s="25"/>
      <c r="CA492" s="25"/>
      <c r="CB492" s="25"/>
      <c r="CC492" s="25"/>
      <c r="CD492" s="25"/>
      <c r="CE492" s="25"/>
      <c r="CF492" s="25"/>
      <c r="CG492" s="25"/>
      <c r="CH492" s="25"/>
      <c r="CI492" s="25"/>
      <c r="CJ492" s="25"/>
      <c r="CK492" s="25"/>
      <c r="CL492" s="25"/>
      <c r="CM492" s="25"/>
      <c r="CN492" s="25"/>
      <c r="CO492" s="25"/>
      <c r="CP492" s="25"/>
      <c r="CQ492" s="25"/>
      <c r="CR492" s="25"/>
      <c r="CS492" s="25"/>
    </row>
    <row r="493" spans="2:97">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c r="AS493" s="25"/>
      <c r="AT493" s="25"/>
      <c r="AU493" s="25"/>
      <c r="AV493" s="25"/>
      <c r="AW493" s="25"/>
      <c r="AX493" s="25"/>
      <c r="AY493" s="25"/>
      <c r="AZ493" s="25"/>
      <c r="BA493" s="25"/>
      <c r="BB493" s="25"/>
      <c r="BC493" s="25"/>
      <c r="BD493" s="25"/>
      <c r="BE493" s="25"/>
      <c r="BF493" s="25"/>
      <c r="BG493" s="25"/>
      <c r="BH493" s="25"/>
      <c r="BI493" s="25"/>
      <c r="BJ493" s="25"/>
      <c r="BK493" s="25"/>
      <c r="BL493" s="25"/>
      <c r="BM493" s="25"/>
      <c r="BN493" s="25"/>
      <c r="BO493" s="25"/>
      <c r="BP493" s="25"/>
      <c r="BQ493" s="25"/>
      <c r="BR493" s="25"/>
      <c r="BS493" s="25"/>
      <c r="BT493" s="25"/>
      <c r="BU493" s="25"/>
      <c r="BV493" s="25"/>
      <c r="BW493" s="25"/>
      <c r="BX493" s="25"/>
      <c r="BY493" s="25"/>
      <c r="BZ493" s="25"/>
      <c r="CA493" s="25"/>
      <c r="CB493" s="25"/>
      <c r="CC493" s="25"/>
      <c r="CD493" s="25"/>
      <c r="CE493" s="25"/>
      <c r="CF493" s="25"/>
      <c r="CG493" s="25"/>
      <c r="CH493" s="25"/>
      <c r="CI493" s="25"/>
      <c r="CJ493" s="25"/>
      <c r="CK493" s="25"/>
      <c r="CL493" s="25"/>
      <c r="CM493" s="25"/>
      <c r="CN493" s="25"/>
      <c r="CO493" s="25"/>
      <c r="CP493" s="25"/>
      <c r="CQ493" s="25"/>
      <c r="CR493" s="25"/>
      <c r="CS493" s="25"/>
    </row>
    <row r="494" spans="2:97">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c r="AS494" s="25"/>
      <c r="AT494" s="25"/>
      <c r="AU494" s="25"/>
      <c r="AV494" s="25"/>
      <c r="AW494" s="25"/>
      <c r="AX494" s="25"/>
      <c r="AY494" s="25"/>
      <c r="AZ494" s="25"/>
      <c r="BA494" s="25"/>
      <c r="BB494" s="25"/>
      <c r="BC494" s="25"/>
      <c r="BD494" s="25"/>
      <c r="BE494" s="25"/>
      <c r="BF494" s="25"/>
      <c r="BG494" s="25"/>
      <c r="BH494" s="25"/>
      <c r="BI494" s="25"/>
      <c r="BJ494" s="25"/>
      <c r="BK494" s="25"/>
      <c r="BL494" s="25"/>
      <c r="BM494" s="25"/>
      <c r="BN494" s="25"/>
      <c r="BO494" s="25"/>
      <c r="BP494" s="25"/>
      <c r="BQ494" s="25"/>
      <c r="BR494" s="25"/>
      <c r="BS494" s="25"/>
      <c r="BT494" s="25"/>
      <c r="BU494" s="25"/>
      <c r="BV494" s="25"/>
      <c r="BW494" s="25"/>
      <c r="BX494" s="25"/>
      <c r="BY494" s="25"/>
      <c r="BZ494" s="25"/>
      <c r="CA494" s="25"/>
      <c r="CB494" s="25"/>
      <c r="CC494" s="25"/>
      <c r="CD494" s="25"/>
      <c r="CE494" s="25"/>
      <c r="CF494" s="25"/>
      <c r="CG494" s="25"/>
      <c r="CH494" s="25"/>
      <c r="CI494" s="25"/>
      <c r="CJ494" s="25"/>
      <c r="CK494" s="25"/>
      <c r="CL494" s="25"/>
      <c r="CM494" s="25"/>
      <c r="CN494" s="25"/>
      <c r="CO494" s="25"/>
      <c r="CP494" s="25"/>
      <c r="CQ494" s="25"/>
      <c r="CR494" s="25"/>
      <c r="CS494" s="25"/>
    </row>
    <row r="495" spans="2:97">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c r="AS495" s="25"/>
      <c r="AT495" s="25"/>
      <c r="AU495" s="25"/>
      <c r="AV495" s="25"/>
      <c r="AW495" s="25"/>
      <c r="AX495" s="25"/>
      <c r="AY495" s="25"/>
      <c r="AZ495" s="25"/>
      <c r="BA495" s="25"/>
      <c r="BB495" s="25"/>
      <c r="BC495" s="25"/>
      <c r="BD495" s="25"/>
      <c r="BE495" s="25"/>
      <c r="BF495" s="25"/>
      <c r="BG495" s="25"/>
      <c r="BH495" s="25"/>
      <c r="BI495" s="25"/>
      <c r="BJ495" s="25"/>
      <c r="BK495" s="25"/>
      <c r="BL495" s="25"/>
      <c r="BM495" s="25"/>
      <c r="BN495" s="25"/>
      <c r="BO495" s="25"/>
      <c r="BP495" s="25"/>
      <c r="BQ495" s="25"/>
      <c r="BR495" s="25"/>
      <c r="BS495" s="25"/>
      <c r="BT495" s="25"/>
      <c r="BU495" s="25"/>
      <c r="BV495" s="25"/>
      <c r="BW495" s="25"/>
      <c r="BX495" s="25"/>
      <c r="BY495" s="25"/>
      <c r="BZ495" s="25"/>
      <c r="CA495" s="25"/>
      <c r="CB495" s="25"/>
      <c r="CC495" s="25"/>
      <c r="CD495" s="25"/>
      <c r="CE495" s="25"/>
      <c r="CF495" s="25"/>
      <c r="CG495" s="25"/>
      <c r="CH495" s="25"/>
      <c r="CI495" s="25"/>
      <c r="CJ495" s="25"/>
      <c r="CK495" s="25"/>
      <c r="CL495" s="25"/>
      <c r="CM495" s="25"/>
      <c r="CN495" s="25"/>
      <c r="CO495" s="25"/>
      <c r="CP495" s="25"/>
      <c r="CQ495" s="25"/>
      <c r="CR495" s="25"/>
      <c r="CS495" s="25"/>
    </row>
    <row r="496" spans="2:97">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c r="AS496" s="25"/>
      <c r="AT496" s="25"/>
      <c r="AU496" s="25"/>
      <c r="AV496" s="25"/>
      <c r="AW496" s="25"/>
      <c r="AX496" s="25"/>
      <c r="AY496" s="25"/>
      <c r="AZ496" s="25"/>
      <c r="BA496" s="25"/>
      <c r="BB496" s="25"/>
      <c r="BC496" s="25"/>
      <c r="BD496" s="25"/>
      <c r="BE496" s="25"/>
      <c r="BF496" s="25"/>
      <c r="BG496" s="25"/>
      <c r="BH496" s="25"/>
      <c r="BI496" s="25"/>
      <c r="BJ496" s="25"/>
      <c r="BK496" s="25"/>
      <c r="BL496" s="25"/>
      <c r="BM496" s="25"/>
      <c r="BN496" s="25"/>
      <c r="BO496" s="25"/>
      <c r="BP496" s="25"/>
      <c r="BQ496" s="25"/>
      <c r="BR496" s="25"/>
      <c r="BS496" s="25"/>
      <c r="BT496" s="25"/>
      <c r="BU496" s="25"/>
      <c r="BV496" s="25"/>
      <c r="BW496" s="25"/>
      <c r="BX496" s="25"/>
      <c r="BY496" s="25"/>
      <c r="BZ496" s="25"/>
      <c r="CA496" s="25"/>
      <c r="CB496" s="25"/>
      <c r="CC496" s="25"/>
      <c r="CD496" s="25"/>
      <c r="CE496" s="25"/>
      <c r="CF496" s="25"/>
      <c r="CG496" s="25"/>
      <c r="CH496" s="25"/>
      <c r="CI496" s="25"/>
      <c r="CJ496" s="25"/>
      <c r="CK496" s="25"/>
      <c r="CL496" s="25"/>
      <c r="CM496" s="25"/>
      <c r="CN496" s="25"/>
      <c r="CO496" s="25"/>
      <c r="CP496" s="25"/>
      <c r="CQ496" s="25"/>
      <c r="CR496" s="25"/>
      <c r="CS496" s="25"/>
    </row>
    <row r="497" spans="2:97">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c r="AS497" s="25"/>
      <c r="AT497" s="25"/>
      <c r="AU497" s="25"/>
      <c r="AV497" s="25"/>
      <c r="AW497" s="25"/>
      <c r="AX497" s="25"/>
      <c r="AY497" s="25"/>
      <c r="AZ497" s="25"/>
      <c r="BA497" s="25"/>
      <c r="BB497" s="25"/>
      <c r="BC497" s="25"/>
      <c r="BD497" s="25"/>
      <c r="BE497" s="25"/>
      <c r="BF497" s="25"/>
      <c r="BG497" s="25"/>
      <c r="BH497" s="25"/>
      <c r="BI497" s="25"/>
      <c r="BJ497" s="25"/>
      <c r="BK497" s="25"/>
      <c r="BL497" s="25"/>
      <c r="BM497" s="25"/>
      <c r="BN497" s="25"/>
      <c r="BO497" s="25"/>
      <c r="BP497" s="25"/>
      <c r="BQ497" s="25"/>
      <c r="BR497" s="25"/>
      <c r="BS497" s="25"/>
      <c r="BT497" s="25"/>
      <c r="BU497" s="25"/>
      <c r="BV497" s="25"/>
      <c r="BW497" s="25"/>
      <c r="BX497" s="25"/>
      <c r="BY497" s="25"/>
      <c r="BZ497" s="25"/>
      <c r="CA497" s="25"/>
      <c r="CB497" s="25"/>
      <c r="CC497" s="25"/>
      <c r="CD497" s="25"/>
      <c r="CE497" s="25"/>
      <c r="CF497" s="25"/>
      <c r="CG497" s="25"/>
      <c r="CH497" s="25"/>
      <c r="CI497" s="25"/>
      <c r="CJ497" s="25"/>
      <c r="CK497" s="25"/>
      <c r="CL497" s="25"/>
      <c r="CM497" s="25"/>
      <c r="CN497" s="25"/>
      <c r="CO497" s="25"/>
      <c r="CP497" s="25"/>
      <c r="CQ497" s="25"/>
      <c r="CR497" s="25"/>
      <c r="CS497" s="25"/>
    </row>
    <row r="498" spans="2:97">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c r="AS498" s="25"/>
      <c r="AT498" s="25"/>
      <c r="AU498" s="25"/>
      <c r="AV498" s="25"/>
      <c r="AW498" s="25"/>
      <c r="AX498" s="25"/>
      <c r="AY498" s="25"/>
      <c r="AZ498" s="25"/>
      <c r="BA498" s="25"/>
      <c r="BB498" s="25"/>
      <c r="BC498" s="25"/>
      <c r="BD498" s="25"/>
      <c r="BE498" s="25"/>
      <c r="BF498" s="25"/>
      <c r="BG498" s="25"/>
      <c r="BH498" s="25"/>
      <c r="BI498" s="25"/>
      <c r="BJ498" s="25"/>
      <c r="BK498" s="25"/>
      <c r="BL498" s="25"/>
      <c r="BM498" s="25"/>
      <c r="BN498" s="25"/>
      <c r="BO498" s="25"/>
      <c r="BP498" s="25"/>
      <c r="BQ498" s="25"/>
      <c r="BR498" s="25"/>
      <c r="BS498" s="25"/>
      <c r="BT498" s="25"/>
      <c r="BU498" s="25"/>
      <c r="BV498" s="25"/>
      <c r="BW498" s="25"/>
      <c r="BX498" s="25"/>
      <c r="BY498" s="25"/>
      <c r="BZ498" s="25"/>
      <c r="CA498" s="25"/>
      <c r="CB498" s="25"/>
      <c r="CC498" s="25"/>
      <c r="CD498" s="25"/>
      <c r="CE498" s="25"/>
      <c r="CF498" s="25"/>
      <c r="CG498" s="25"/>
      <c r="CH498" s="25"/>
      <c r="CI498" s="25"/>
      <c r="CJ498" s="25"/>
      <c r="CK498" s="25"/>
      <c r="CL498" s="25"/>
      <c r="CM498" s="25"/>
      <c r="CN498" s="25"/>
      <c r="CO498" s="25"/>
      <c r="CP498" s="25"/>
      <c r="CQ498" s="25"/>
      <c r="CR498" s="25"/>
      <c r="CS498" s="25"/>
    </row>
    <row r="499" spans="2:97">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c r="AS499" s="25"/>
      <c r="AT499" s="25"/>
      <c r="AU499" s="25"/>
      <c r="AV499" s="25"/>
      <c r="AW499" s="25"/>
      <c r="AX499" s="25"/>
      <c r="AY499" s="25"/>
      <c r="AZ499" s="25"/>
      <c r="BA499" s="25"/>
      <c r="BB499" s="25"/>
      <c r="BC499" s="25"/>
      <c r="BD499" s="25"/>
      <c r="BE499" s="25"/>
      <c r="BF499" s="25"/>
      <c r="BG499" s="25"/>
      <c r="BH499" s="25"/>
      <c r="BI499" s="25"/>
      <c r="BJ499" s="25"/>
      <c r="BK499" s="25"/>
      <c r="BL499" s="25"/>
      <c r="BM499" s="25"/>
      <c r="BN499" s="25"/>
      <c r="BO499" s="25"/>
      <c r="BP499" s="25"/>
      <c r="BQ499" s="25"/>
      <c r="BR499" s="25"/>
      <c r="BS499" s="25"/>
      <c r="BT499" s="25"/>
      <c r="BU499" s="25"/>
      <c r="BV499" s="25"/>
      <c r="BW499" s="25"/>
      <c r="BX499" s="25"/>
      <c r="BY499" s="25"/>
      <c r="BZ499" s="25"/>
      <c r="CA499" s="25"/>
      <c r="CB499" s="25"/>
      <c r="CC499" s="25"/>
      <c r="CD499" s="25"/>
      <c r="CE499" s="25"/>
      <c r="CF499" s="25"/>
      <c r="CG499" s="25"/>
      <c r="CH499" s="25"/>
      <c r="CI499" s="25"/>
      <c r="CJ499" s="25"/>
      <c r="CK499" s="25"/>
      <c r="CL499" s="25"/>
      <c r="CM499" s="25"/>
      <c r="CN499" s="25"/>
      <c r="CO499" s="25"/>
      <c r="CP499" s="25"/>
      <c r="CQ499" s="25"/>
      <c r="CR499" s="25"/>
      <c r="CS499" s="25"/>
    </row>
    <row r="500" spans="2:97">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c r="AS500" s="25"/>
      <c r="AT500" s="25"/>
      <c r="AU500" s="25"/>
      <c r="AV500" s="25"/>
      <c r="AW500" s="25"/>
      <c r="AX500" s="25"/>
      <c r="AY500" s="25"/>
      <c r="AZ500" s="25"/>
      <c r="BA500" s="25"/>
      <c r="BB500" s="25"/>
      <c r="BC500" s="25"/>
      <c r="BD500" s="25"/>
      <c r="BE500" s="25"/>
      <c r="BF500" s="25"/>
      <c r="BG500" s="25"/>
      <c r="BH500" s="25"/>
      <c r="BI500" s="25"/>
      <c r="BJ500" s="25"/>
      <c r="BK500" s="25"/>
      <c r="BL500" s="25"/>
      <c r="BM500" s="25"/>
      <c r="BN500" s="25"/>
      <c r="BO500" s="25"/>
      <c r="BP500" s="25"/>
      <c r="BQ500" s="25"/>
      <c r="BR500" s="25"/>
      <c r="BS500" s="25"/>
      <c r="BT500" s="25"/>
      <c r="BU500" s="25"/>
      <c r="BV500" s="25"/>
      <c r="BW500" s="25"/>
      <c r="BX500" s="25"/>
      <c r="BY500" s="25"/>
      <c r="BZ500" s="25"/>
      <c r="CA500" s="25"/>
      <c r="CB500" s="25"/>
      <c r="CC500" s="25"/>
      <c r="CD500" s="25"/>
      <c r="CE500" s="25"/>
      <c r="CF500" s="25"/>
      <c r="CG500" s="25"/>
      <c r="CH500" s="25"/>
      <c r="CI500" s="25"/>
      <c r="CJ500" s="25"/>
      <c r="CK500" s="25"/>
      <c r="CL500" s="25"/>
      <c r="CM500" s="25"/>
      <c r="CN500" s="25"/>
      <c r="CO500" s="25"/>
      <c r="CP500" s="25"/>
      <c r="CQ500" s="25"/>
      <c r="CR500" s="25"/>
      <c r="CS500" s="25"/>
    </row>
    <row r="501" spans="2:97">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c r="AS501" s="25"/>
      <c r="AT501" s="25"/>
      <c r="AU501" s="25"/>
      <c r="AV501" s="25"/>
      <c r="AW501" s="25"/>
      <c r="AX501" s="25"/>
      <c r="AY501" s="25"/>
      <c r="AZ501" s="25"/>
      <c r="BA501" s="25"/>
      <c r="BB501" s="25"/>
      <c r="BC501" s="25"/>
      <c r="BD501" s="25"/>
      <c r="BE501" s="25"/>
      <c r="BF501" s="25"/>
      <c r="BG501" s="25"/>
      <c r="BH501" s="25"/>
      <c r="BI501" s="25"/>
      <c r="BJ501" s="25"/>
      <c r="BK501" s="25"/>
      <c r="BL501" s="25"/>
      <c r="BM501" s="25"/>
      <c r="BN501" s="25"/>
      <c r="BO501" s="25"/>
      <c r="BP501" s="25"/>
      <c r="BQ501" s="25"/>
      <c r="BR501" s="25"/>
      <c r="BS501" s="25"/>
      <c r="BT501" s="25"/>
      <c r="BU501" s="25"/>
      <c r="BV501" s="25"/>
      <c r="BW501" s="25"/>
      <c r="BX501" s="25"/>
      <c r="BY501" s="25"/>
      <c r="BZ501" s="25"/>
      <c r="CA501" s="25"/>
      <c r="CB501" s="25"/>
      <c r="CC501" s="25"/>
      <c r="CD501" s="25"/>
      <c r="CE501" s="25"/>
      <c r="CF501" s="25"/>
      <c r="CG501" s="25"/>
      <c r="CH501" s="25"/>
      <c r="CI501" s="25"/>
      <c r="CJ501" s="25"/>
      <c r="CK501" s="25"/>
      <c r="CL501" s="25"/>
      <c r="CM501" s="25"/>
      <c r="CN501" s="25"/>
      <c r="CO501" s="25"/>
      <c r="CP501" s="25"/>
      <c r="CQ501" s="25"/>
      <c r="CR501" s="25"/>
      <c r="CS501" s="25"/>
    </row>
    <row r="502" spans="2:97">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c r="AS502" s="25"/>
      <c r="AT502" s="25"/>
      <c r="AU502" s="25"/>
      <c r="AV502" s="25"/>
      <c r="AW502" s="25"/>
      <c r="AX502" s="25"/>
      <c r="AY502" s="25"/>
      <c r="AZ502" s="25"/>
      <c r="BA502" s="25"/>
      <c r="BB502" s="25"/>
      <c r="BC502" s="25"/>
      <c r="BD502" s="25"/>
      <c r="BE502" s="25"/>
      <c r="BF502" s="25"/>
      <c r="BG502" s="25"/>
      <c r="BH502" s="25"/>
      <c r="BI502" s="25"/>
      <c r="BJ502" s="25"/>
      <c r="BK502" s="25"/>
      <c r="BL502" s="25"/>
      <c r="BM502" s="25"/>
      <c r="BN502" s="25"/>
      <c r="BO502" s="25"/>
      <c r="BP502" s="25"/>
      <c r="BQ502" s="25"/>
      <c r="BR502" s="25"/>
      <c r="BS502" s="25"/>
      <c r="BT502" s="25"/>
      <c r="BU502" s="25"/>
      <c r="BV502" s="25"/>
      <c r="BW502" s="25"/>
      <c r="BX502" s="25"/>
      <c r="BY502" s="25"/>
      <c r="BZ502" s="25"/>
      <c r="CA502" s="25"/>
      <c r="CB502" s="25"/>
      <c r="CC502" s="25"/>
      <c r="CD502" s="25"/>
      <c r="CE502" s="25"/>
      <c r="CF502" s="25"/>
      <c r="CG502" s="25"/>
      <c r="CH502" s="25"/>
      <c r="CI502" s="25"/>
      <c r="CJ502" s="25"/>
      <c r="CK502" s="25"/>
      <c r="CL502" s="25"/>
      <c r="CM502" s="25"/>
      <c r="CN502" s="25"/>
      <c r="CO502" s="25"/>
      <c r="CP502" s="25"/>
      <c r="CQ502" s="25"/>
      <c r="CR502" s="25"/>
      <c r="CS502" s="25"/>
    </row>
    <row r="503" spans="2:97">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c r="AS503" s="25"/>
      <c r="AT503" s="25"/>
      <c r="AU503" s="25"/>
      <c r="AV503" s="25"/>
      <c r="AW503" s="25"/>
      <c r="AX503" s="25"/>
      <c r="AY503" s="25"/>
      <c r="AZ503" s="25"/>
      <c r="BA503" s="25"/>
      <c r="BB503" s="25"/>
      <c r="BC503" s="25"/>
      <c r="BD503" s="25"/>
      <c r="BE503" s="25"/>
      <c r="BF503" s="25"/>
      <c r="BG503" s="25"/>
      <c r="BH503" s="25"/>
      <c r="BI503" s="25"/>
      <c r="BJ503" s="25"/>
      <c r="BK503" s="25"/>
      <c r="BL503" s="25"/>
      <c r="BM503" s="25"/>
      <c r="BN503" s="25"/>
      <c r="BO503" s="25"/>
      <c r="BP503" s="25"/>
      <c r="BQ503" s="25"/>
      <c r="BR503" s="25"/>
      <c r="BS503" s="25"/>
      <c r="BT503" s="25"/>
      <c r="BU503" s="25"/>
      <c r="BV503" s="25"/>
      <c r="BW503" s="25"/>
      <c r="BX503" s="25"/>
      <c r="BY503" s="25"/>
      <c r="BZ503" s="25"/>
      <c r="CA503" s="25"/>
      <c r="CB503" s="25"/>
      <c r="CC503" s="25"/>
      <c r="CD503" s="25"/>
      <c r="CE503" s="25"/>
      <c r="CF503" s="25"/>
      <c r="CG503" s="25"/>
      <c r="CH503" s="25"/>
      <c r="CI503" s="25"/>
      <c r="CJ503" s="25"/>
      <c r="CK503" s="25"/>
      <c r="CL503" s="25"/>
      <c r="CM503" s="25"/>
      <c r="CN503" s="25"/>
      <c r="CO503" s="25"/>
      <c r="CP503" s="25"/>
      <c r="CQ503" s="25"/>
      <c r="CR503" s="25"/>
      <c r="CS503" s="25"/>
    </row>
    <row r="504" spans="2:97">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c r="AS504" s="25"/>
      <c r="AT504" s="25"/>
      <c r="AU504" s="25"/>
      <c r="AV504" s="25"/>
      <c r="AW504" s="25"/>
      <c r="AX504" s="25"/>
      <c r="AY504" s="25"/>
      <c r="AZ504" s="25"/>
      <c r="BA504" s="25"/>
      <c r="BB504" s="25"/>
      <c r="BC504" s="25"/>
      <c r="BD504" s="25"/>
      <c r="BE504" s="25"/>
      <c r="BF504" s="25"/>
      <c r="BG504" s="25"/>
      <c r="BH504" s="25"/>
      <c r="BI504" s="25"/>
      <c r="BJ504" s="25"/>
      <c r="BK504" s="25"/>
      <c r="BL504" s="25"/>
      <c r="BM504" s="25"/>
      <c r="BN504" s="25"/>
      <c r="BO504" s="25"/>
      <c r="BP504" s="25"/>
      <c r="BQ504" s="25"/>
      <c r="BR504" s="25"/>
      <c r="BS504" s="25"/>
      <c r="BT504" s="25"/>
      <c r="BU504" s="25"/>
      <c r="BV504" s="25"/>
      <c r="BW504" s="25"/>
      <c r="BX504" s="25"/>
      <c r="BY504" s="25"/>
      <c r="BZ504" s="25"/>
      <c r="CA504" s="25"/>
      <c r="CB504" s="25"/>
      <c r="CC504" s="25"/>
      <c r="CD504" s="25"/>
      <c r="CE504" s="25"/>
      <c r="CF504" s="25"/>
      <c r="CG504" s="25"/>
      <c r="CH504" s="25"/>
      <c r="CI504" s="25"/>
      <c r="CJ504" s="25"/>
      <c r="CK504" s="25"/>
      <c r="CL504" s="25"/>
      <c r="CM504" s="25"/>
      <c r="CN504" s="25"/>
      <c r="CO504" s="25"/>
      <c r="CP504" s="25"/>
      <c r="CQ504" s="25"/>
      <c r="CR504" s="25"/>
      <c r="CS504" s="25"/>
    </row>
    <row r="505" spans="2:97">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c r="AN505" s="25"/>
      <c r="AO505" s="25"/>
      <c r="AP505" s="25"/>
      <c r="AQ505" s="25"/>
      <c r="AR505" s="25"/>
      <c r="AS505" s="25"/>
      <c r="AT505" s="25"/>
      <c r="AU505" s="25"/>
      <c r="AV505" s="25"/>
      <c r="AW505" s="25"/>
      <c r="AX505" s="25"/>
      <c r="AY505" s="25"/>
      <c r="AZ505" s="25"/>
      <c r="BA505" s="25"/>
      <c r="BB505" s="25"/>
      <c r="BC505" s="25"/>
      <c r="BD505" s="25"/>
      <c r="BE505" s="25"/>
      <c r="BF505" s="25"/>
      <c r="BG505" s="25"/>
      <c r="BH505" s="25"/>
      <c r="BI505" s="25"/>
      <c r="BJ505" s="25"/>
      <c r="BK505" s="25"/>
      <c r="BL505" s="25"/>
      <c r="BM505" s="25"/>
      <c r="BN505" s="25"/>
      <c r="BO505" s="25"/>
      <c r="BP505" s="25"/>
      <c r="BQ505" s="25"/>
      <c r="BR505" s="25"/>
      <c r="BS505" s="25"/>
      <c r="BT505" s="25"/>
      <c r="BU505" s="25"/>
      <c r="BV505" s="25"/>
      <c r="BW505" s="25"/>
      <c r="BX505" s="25"/>
      <c r="BY505" s="25"/>
      <c r="BZ505" s="25"/>
      <c r="CA505" s="25"/>
      <c r="CB505" s="25"/>
      <c r="CC505" s="25"/>
      <c r="CD505" s="25"/>
      <c r="CE505" s="25"/>
      <c r="CF505" s="25"/>
      <c r="CG505" s="25"/>
      <c r="CH505" s="25"/>
      <c r="CI505" s="25"/>
      <c r="CJ505" s="25"/>
      <c r="CK505" s="25"/>
      <c r="CL505" s="25"/>
      <c r="CM505" s="25"/>
      <c r="CN505" s="25"/>
      <c r="CO505" s="25"/>
      <c r="CP505" s="25"/>
      <c r="CQ505" s="25"/>
      <c r="CR505" s="25"/>
      <c r="CS505" s="25"/>
    </row>
    <row r="506" spans="2:97">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c r="AS506" s="25"/>
      <c r="AT506" s="25"/>
      <c r="AU506" s="25"/>
      <c r="AV506" s="25"/>
      <c r="AW506" s="25"/>
      <c r="AX506" s="25"/>
      <c r="AY506" s="25"/>
      <c r="AZ506" s="25"/>
      <c r="BA506" s="25"/>
      <c r="BB506" s="25"/>
      <c r="BC506" s="25"/>
      <c r="BD506" s="25"/>
      <c r="BE506" s="25"/>
      <c r="BF506" s="25"/>
      <c r="BG506" s="25"/>
      <c r="BH506" s="25"/>
      <c r="BI506" s="25"/>
      <c r="BJ506" s="25"/>
      <c r="BK506" s="25"/>
      <c r="BL506" s="25"/>
      <c r="BM506" s="25"/>
      <c r="BN506" s="25"/>
      <c r="BO506" s="25"/>
      <c r="BP506" s="25"/>
      <c r="BQ506" s="25"/>
      <c r="BR506" s="25"/>
      <c r="BS506" s="25"/>
      <c r="BT506" s="25"/>
      <c r="BU506" s="25"/>
      <c r="BV506" s="25"/>
      <c r="BW506" s="25"/>
      <c r="BX506" s="25"/>
      <c r="BY506" s="25"/>
      <c r="BZ506" s="25"/>
      <c r="CA506" s="25"/>
      <c r="CB506" s="25"/>
      <c r="CC506" s="25"/>
      <c r="CD506" s="25"/>
      <c r="CE506" s="25"/>
      <c r="CF506" s="25"/>
      <c r="CG506" s="25"/>
      <c r="CH506" s="25"/>
      <c r="CI506" s="25"/>
      <c r="CJ506" s="25"/>
      <c r="CK506" s="25"/>
      <c r="CL506" s="25"/>
      <c r="CM506" s="25"/>
      <c r="CN506" s="25"/>
      <c r="CO506" s="25"/>
      <c r="CP506" s="25"/>
      <c r="CQ506" s="25"/>
      <c r="CR506" s="25"/>
      <c r="CS506" s="25"/>
    </row>
    <row r="507" spans="2:97">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c r="AN507" s="25"/>
      <c r="AO507" s="25"/>
      <c r="AP507" s="25"/>
      <c r="AQ507" s="25"/>
      <c r="AR507" s="25"/>
      <c r="AS507" s="25"/>
      <c r="AT507" s="25"/>
      <c r="AU507" s="25"/>
      <c r="AV507" s="25"/>
      <c r="AW507" s="25"/>
      <c r="AX507" s="25"/>
      <c r="AY507" s="25"/>
      <c r="AZ507" s="25"/>
      <c r="BA507" s="25"/>
      <c r="BB507" s="25"/>
      <c r="BC507" s="25"/>
      <c r="BD507" s="25"/>
      <c r="BE507" s="25"/>
      <c r="BF507" s="25"/>
      <c r="BG507" s="25"/>
      <c r="BH507" s="25"/>
      <c r="BI507" s="25"/>
      <c r="BJ507" s="25"/>
      <c r="BK507" s="25"/>
      <c r="BL507" s="25"/>
      <c r="BM507" s="25"/>
      <c r="BN507" s="25"/>
      <c r="BO507" s="25"/>
      <c r="BP507" s="25"/>
      <c r="BQ507" s="25"/>
      <c r="BR507" s="25"/>
      <c r="BS507" s="25"/>
      <c r="BT507" s="25"/>
      <c r="BU507" s="25"/>
      <c r="BV507" s="25"/>
      <c r="BW507" s="25"/>
      <c r="BX507" s="25"/>
      <c r="BY507" s="25"/>
      <c r="BZ507" s="25"/>
      <c r="CA507" s="25"/>
      <c r="CB507" s="25"/>
      <c r="CC507" s="25"/>
      <c r="CD507" s="25"/>
      <c r="CE507" s="25"/>
      <c r="CF507" s="25"/>
      <c r="CG507" s="25"/>
      <c r="CH507" s="25"/>
      <c r="CI507" s="25"/>
      <c r="CJ507" s="25"/>
      <c r="CK507" s="25"/>
      <c r="CL507" s="25"/>
      <c r="CM507" s="25"/>
      <c r="CN507" s="25"/>
      <c r="CO507" s="25"/>
      <c r="CP507" s="25"/>
      <c r="CQ507" s="25"/>
      <c r="CR507" s="25"/>
      <c r="CS507" s="25"/>
    </row>
    <row r="508" spans="2:97">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c r="AN508" s="25"/>
      <c r="AO508" s="25"/>
      <c r="AP508" s="25"/>
      <c r="AQ508" s="25"/>
      <c r="AR508" s="25"/>
      <c r="AS508" s="25"/>
      <c r="AT508" s="25"/>
      <c r="AU508" s="25"/>
      <c r="AV508" s="25"/>
      <c r="AW508" s="25"/>
      <c r="AX508" s="25"/>
      <c r="AY508" s="25"/>
      <c r="AZ508" s="25"/>
      <c r="BA508" s="25"/>
      <c r="BB508" s="25"/>
      <c r="BC508" s="25"/>
      <c r="BD508" s="25"/>
      <c r="BE508" s="25"/>
      <c r="BF508" s="25"/>
      <c r="BG508" s="25"/>
      <c r="BH508" s="25"/>
      <c r="BI508" s="25"/>
      <c r="BJ508" s="25"/>
      <c r="BK508" s="25"/>
      <c r="BL508" s="25"/>
      <c r="BM508" s="25"/>
      <c r="BN508" s="25"/>
      <c r="BO508" s="25"/>
      <c r="BP508" s="25"/>
      <c r="BQ508" s="25"/>
      <c r="BR508" s="25"/>
      <c r="BS508" s="25"/>
      <c r="BT508" s="25"/>
      <c r="BU508" s="25"/>
      <c r="BV508" s="25"/>
      <c r="BW508" s="25"/>
      <c r="BX508" s="25"/>
      <c r="BY508" s="25"/>
      <c r="BZ508" s="25"/>
      <c r="CA508" s="25"/>
      <c r="CB508" s="25"/>
      <c r="CC508" s="25"/>
      <c r="CD508" s="25"/>
      <c r="CE508" s="25"/>
      <c r="CF508" s="25"/>
      <c r="CG508" s="25"/>
      <c r="CH508" s="25"/>
      <c r="CI508" s="25"/>
      <c r="CJ508" s="25"/>
      <c r="CK508" s="25"/>
      <c r="CL508" s="25"/>
      <c r="CM508" s="25"/>
      <c r="CN508" s="25"/>
      <c r="CO508" s="25"/>
      <c r="CP508" s="25"/>
      <c r="CQ508" s="25"/>
      <c r="CR508" s="25"/>
      <c r="CS508" s="25"/>
    </row>
    <row r="509" spans="2:97">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c r="AR509" s="25"/>
      <c r="AS509" s="25"/>
      <c r="AT509" s="25"/>
      <c r="AU509" s="25"/>
      <c r="AV509" s="25"/>
      <c r="AW509" s="25"/>
      <c r="AX509" s="25"/>
      <c r="AY509" s="25"/>
      <c r="AZ509" s="25"/>
      <c r="BA509" s="25"/>
      <c r="BB509" s="25"/>
      <c r="BC509" s="25"/>
      <c r="BD509" s="25"/>
      <c r="BE509" s="25"/>
      <c r="BF509" s="25"/>
      <c r="BG509" s="25"/>
      <c r="BH509" s="25"/>
      <c r="BI509" s="25"/>
      <c r="BJ509" s="25"/>
      <c r="BK509" s="25"/>
      <c r="BL509" s="25"/>
      <c r="BM509" s="25"/>
      <c r="BN509" s="25"/>
      <c r="BO509" s="25"/>
      <c r="BP509" s="25"/>
      <c r="BQ509" s="25"/>
      <c r="BR509" s="25"/>
      <c r="BS509" s="25"/>
      <c r="BT509" s="25"/>
      <c r="BU509" s="25"/>
      <c r="BV509" s="25"/>
      <c r="BW509" s="25"/>
      <c r="BX509" s="25"/>
      <c r="BY509" s="25"/>
      <c r="BZ509" s="25"/>
      <c r="CA509" s="25"/>
      <c r="CB509" s="25"/>
      <c r="CC509" s="25"/>
      <c r="CD509" s="25"/>
      <c r="CE509" s="25"/>
      <c r="CF509" s="25"/>
      <c r="CG509" s="25"/>
      <c r="CH509" s="25"/>
      <c r="CI509" s="25"/>
      <c r="CJ509" s="25"/>
      <c r="CK509" s="25"/>
      <c r="CL509" s="25"/>
      <c r="CM509" s="25"/>
      <c r="CN509" s="25"/>
      <c r="CO509" s="25"/>
      <c r="CP509" s="25"/>
      <c r="CQ509" s="25"/>
      <c r="CR509" s="25"/>
      <c r="CS509" s="25"/>
    </row>
    <row r="510" spans="2:97">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c r="AN510" s="25"/>
      <c r="AO510" s="25"/>
      <c r="AP510" s="25"/>
      <c r="AQ510" s="25"/>
      <c r="AR510" s="25"/>
      <c r="AS510" s="25"/>
      <c r="AT510" s="25"/>
      <c r="AU510" s="25"/>
      <c r="AV510" s="25"/>
      <c r="AW510" s="25"/>
      <c r="AX510" s="25"/>
      <c r="AY510" s="25"/>
      <c r="AZ510" s="25"/>
      <c r="BA510" s="25"/>
      <c r="BB510" s="25"/>
      <c r="BC510" s="25"/>
      <c r="BD510" s="25"/>
      <c r="BE510" s="25"/>
      <c r="BF510" s="25"/>
      <c r="BG510" s="25"/>
      <c r="BH510" s="25"/>
      <c r="BI510" s="25"/>
      <c r="BJ510" s="25"/>
      <c r="BK510" s="25"/>
      <c r="BL510" s="25"/>
      <c r="BM510" s="25"/>
      <c r="BN510" s="25"/>
      <c r="BO510" s="25"/>
      <c r="BP510" s="25"/>
      <c r="BQ510" s="25"/>
      <c r="BR510" s="25"/>
      <c r="BS510" s="25"/>
      <c r="BT510" s="25"/>
      <c r="BU510" s="25"/>
      <c r="BV510" s="25"/>
      <c r="BW510" s="25"/>
      <c r="BX510" s="25"/>
      <c r="BY510" s="25"/>
      <c r="BZ510" s="25"/>
      <c r="CA510" s="25"/>
      <c r="CB510" s="25"/>
      <c r="CC510" s="25"/>
      <c r="CD510" s="25"/>
      <c r="CE510" s="25"/>
      <c r="CF510" s="25"/>
      <c r="CG510" s="25"/>
      <c r="CH510" s="25"/>
      <c r="CI510" s="25"/>
      <c r="CJ510" s="25"/>
      <c r="CK510" s="25"/>
      <c r="CL510" s="25"/>
      <c r="CM510" s="25"/>
      <c r="CN510" s="25"/>
      <c r="CO510" s="25"/>
      <c r="CP510" s="25"/>
      <c r="CQ510" s="25"/>
      <c r="CR510" s="25"/>
      <c r="CS510" s="25"/>
    </row>
    <row r="511" spans="2:97">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c r="AN511" s="25"/>
      <c r="AO511" s="25"/>
      <c r="AP511" s="25"/>
      <c r="AQ511" s="25"/>
      <c r="AR511" s="25"/>
      <c r="AS511" s="25"/>
      <c r="AT511" s="25"/>
      <c r="AU511" s="25"/>
      <c r="AV511" s="25"/>
      <c r="AW511" s="25"/>
      <c r="AX511" s="25"/>
      <c r="AY511" s="25"/>
      <c r="AZ511" s="25"/>
      <c r="BA511" s="25"/>
      <c r="BB511" s="25"/>
      <c r="BC511" s="25"/>
      <c r="BD511" s="25"/>
      <c r="BE511" s="25"/>
      <c r="BF511" s="25"/>
      <c r="BG511" s="25"/>
      <c r="BH511" s="25"/>
      <c r="BI511" s="25"/>
      <c r="BJ511" s="25"/>
      <c r="BK511" s="25"/>
      <c r="BL511" s="25"/>
      <c r="BM511" s="25"/>
      <c r="BN511" s="25"/>
      <c r="BO511" s="25"/>
      <c r="BP511" s="25"/>
      <c r="BQ511" s="25"/>
      <c r="BR511" s="25"/>
      <c r="BS511" s="25"/>
      <c r="BT511" s="25"/>
      <c r="BU511" s="25"/>
      <c r="BV511" s="25"/>
      <c r="BW511" s="25"/>
      <c r="BX511" s="25"/>
      <c r="BY511" s="25"/>
      <c r="BZ511" s="25"/>
      <c r="CA511" s="25"/>
      <c r="CB511" s="25"/>
      <c r="CC511" s="25"/>
      <c r="CD511" s="25"/>
      <c r="CE511" s="25"/>
      <c r="CF511" s="25"/>
      <c r="CG511" s="25"/>
      <c r="CH511" s="25"/>
      <c r="CI511" s="25"/>
      <c r="CJ511" s="25"/>
      <c r="CK511" s="25"/>
      <c r="CL511" s="25"/>
      <c r="CM511" s="25"/>
      <c r="CN511" s="25"/>
      <c r="CO511" s="25"/>
      <c r="CP511" s="25"/>
      <c r="CQ511" s="25"/>
      <c r="CR511" s="25"/>
      <c r="CS511" s="25"/>
    </row>
    <row r="512" spans="2:97">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c r="AN512" s="25"/>
      <c r="AO512" s="25"/>
      <c r="AP512" s="25"/>
      <c r="AQ512" s="25"/>
      <c r="AR512" s="25"/>
      <c r="AS512" s="25"/>
      <c r="AT512" s="25"/>
      <c r="AU512" s="25"/>
      <c r="AV512" s="25"/>
      <c r="AW512" s="25"/>
      <c r="AX512" s="25"/>
      <c r="AY512" s="25"/>
      <c r="AZ512" s="25"/>
      <c r="BA512" s="25"/>
      <c r="BB512" s="25"/>
      <c r="BC512" s="25"/>
      <c r="BD512" s="25"/>
      <c r="BE512" s="25"/>
      <c r="BF512" s="25"/>
      <c r="BG512" s="25"/>
      <c r="BH512" s="25"/>
      <c r="BI512" s="25"/>
      <c r="BJ512" s="25"/>
      <c r="BK512" s="25"/>
      <c r="BL512" s="25"/>
      <c r="BM512" s="25"/>
      <c r="BN512" s="25"/>
      <c r="BO512" s="25"/>
      <c r="BP512" s="25"/>
      <c r="BQ512" s="25"/>
      <c r="BR512" s="25"/>
      <c r="BS512" s="25"/>
      <c r="BT512" s="25"/>
      <c r="BU512" s="25"/>
      <c r="BV512" s="25"/>
      <c r="BW512" s="25"/>
      <c r="BX512" s="25"/>
      <c r="BY512" s="25"/>
      <c r="BZ512" s="25"/>
      <c r="CA512" s="25"/>
      <c r="CB512" s="25"/>
      <c r="CC512" s="25"/>
      <c r="CD512" s="25"/>
      <c r="CE512" s="25"/>
      <c r="CF512" s="25"/>
      <c r="CG512" s="25"/>
      <c r="CH512" s="25"/>
      <c r="CI512" s="25"/>
      <c r="CJ512" s="25"/>
      <c r="CK512" s="25"/>
      <c r="CL512" s="25"/>
      <c r="CM512" s="25"/>
      <c r="CN512" s="25"/>
      <c r="CO512" s="25"/>
      <c r="CP512" s="25"/>
      <c r="CQ512" s="25"/>
      <c r="CR512" s="25"/>
      <c r="CS512" s="25"/>
    </row>
    <row r="513" spans="2:97">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c r="AN513" s="25"/>
      <c r="AO513" s="25"/>
      <c r="AP513" s="25"/>
      <c r="AQ513" s="25"/>
      <c r="AR513" s="25"/>
      <c r="AS513" s="25"/>
      <c r="AT513" s="25"/>
      <c r="AU513" s="25"/>
      <c r="AV513" s="25"/>
      <c r="AW513" s="25"/>
      <c r="AX513" s="25"/>
      <c r="AY513" s="25"/>
      <c r="AZ513" s="25"/>
      <c r="BA513" s="25"/>
      <c r="BB513" s="25"/>
      <c r="BC513" s="25"/>
      <c r="BD513" s="25"/>
      <c r="BE513" s="25"/>
      <c r="BF513" s="25"/>
      <c r="BG513" s="25"/>
      <c r="BH513" s="25"/>
      <c r="BI513" s="25"/>
      <c r="BJ513" s="25"/>
      <c r="BK513" s="25"/>
      <c r="BL513" s="25"/>
      <c r="BM513" s="25"/>
      <c r="BN513" s="25"/>
      <c r="BO513" s="25"/>
      <c r="BP513" s="25"/>
      <c r="BQ513" s="25"/>
      <c r="BR513" s="25"/>
      <c r="BS513" s="25"/>
      <c r="BT513" s="25"/>
      <c r="BU513" s="25"/>
      <c r="BV513" s="25"/>
      <c r="BW513" s="25"/>
      <c r="BX513" s="25"/>
      <c r="BY513" s="25"/>
      <c r="BZ513" s="25"/>
      <c r="CA513" s="25"/>
      <c r="CB513" s="25"/>
      <c r="CC513" s="25"/>
      <c r="CD513" s="25"/>
      <c r="CE513" s="25"/>
      <c r="CF513" s="25"/>
      <c r="CG513" s="25"/>
      <c r="CH513" s="25"/>
      <c r="CI513" s="25"/>
      <c r="CJ513" s="25"/>
      <c r="CK513" s="25"/>
      <c r="CL513" s="25"/>
      <c r="CM513" s="25"/>
      <c r="CN513" s="25"/>
      <c r="CO513" s="25"/>
      <c r="CP513" s="25"/>
      <c r="CQ513" s="25"/>
      <c r="CR513" s="25"/>
      <c r="CS513" s="25"/>
    </row>
    <row r="514" spans="2:97">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c r="AN514" s="25"/>
      <c r="AO514" s="25"/>
      <c r="AP514" s="25"/>
      <c r="AQ514" s="25"/>
      <c r="AR514" s="25"/>
      <c r="AS514" s="25"/>
      <c r="AT514" s="25"/>
      <c r="AU514" s="25"/>
      <c r="AV514" s="25"/>
      <c r="AW514" s="25"/>
      <c r="AX514" s="25"/>
      <c r="AY514" s="25"/>
      <c r="AZ514" s="25"/>
      <c r="BA514" s="25"/>
      <c r="BB514" s="25"/>
      <c r="BC514" s="25"/>
      <c r="BD514" s="25"/>
      <c r="BE514" s="25"/>
      <c r="BF514" s="25"/>
      <c r="BG514" s="25"/>
      <c r="BH514" s="25"/>
      <c r="BI514" s="25"/>
      <c r="BJ514" s="25"/>
      <c r="BK514" s="25"/>
      <c r="BL514" s="25"/>
      <c r="BM514" s="25"/>
      <c r="BN514" s="25"/>
      <c r="BO514" s="25"/>
      <c r="BP514" s="25"/>
      <c r="BQ514" s="25"/>
      <c r="BR514" s="25"/>
      <c r="BS514" s="25"/>
      <c r="BT514" s="25"/>
      <c r="BU514" s="25"/>
      <c r="BV514" s="25"/>
      <c r="BW514" s="25"/>
      <c r="BX514" s="25"/>
      <c r="BY514" s="25"/>
      <c r="BZ514" s="25"/>
      <c r="CA514" s="25"/>
      <c r="CB514" s="25"/>
      <c r="CC514" s="25"/>
      <c r="CD514" s="25"/>
      <c r="CE514" s="25"/>
      <c r="CF514" s="25"/>
      <c r="CG514" s="25"/>
      <c r="CH514" s="25"/>
      <c r="CI514" s="25"/>
      <c r="CJ514" s="25"/>
      <c r="CK514" s="25"/>
      <c r="CL514" s="25"/>
      <c r="CM514" s="25"/>
      <c r="CN514" s="25"/>
      <c r="CO514" s="25"/>
      <c r="CP514" s="25"/>
      <c r="CQ514" s="25"/>
      <c r="CR514" s="25"/>
      <c r="CS514" s="25"/>
    </row>
    <row r="515" spans="2:97">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c r="AN515" s="25"/>
      <c r="AO515" s="25"/>
      <c r="AP515" s="25"/>
      <c r="AQ515" s="25"/>
      <c r="AR515" s="25"/>
      <c r="AS515" s="25"/>
      <c r="AT515" s="25"/>
      <c r="AU515" s="25"/>
      <c r="AV515" s="25"/>
      <c r="AW515" s="25"/>
      <c r="AX515" s="25"/>
      <c r="AY515" s="25"/>
      <c r="AZ515" s="25"/>
      <c r="BA515" s="25"/>
      <c r="BB515" s="25"/>
      <c r="BC515" s="25"/>
      <c r="BD515" s="25"/>
      <c r="BE515" s="25"/>
      <c r="BF515" s="25"/>
      <c r="BG515" s="25"/>
      <c r="BH515" s="25"/>
      <c r="BI515" s="25"/>
      <c r="BJ515" s="25"/>
      <c r="BK515" s="25"/>
      <c r="BL515" s="25"/>
      <c r="BM515" s="25"/>
      <c r="BN515" s="25"/>
      <c r="BO515" s="25"/>
      <c r="BP515" s="25"/>
      <c r="BQ515" s="25"/>
      <c r="BR515" s="25"/>
      <c r="BS515" s="25"/>
      <c r="BT515" s="25"/>
      <c r="BU515" s="25"/>
      <c r="BV515" s="25"/>
      <c r="BW515" s="25"/>
      <c r="BX515" s="25"/>
      <c r="BY515" s="25"/>
      <c r="BZ515" s="25"/>
      <c r="CA515" s="25"/>
      <c r="CB515" s="25"/>
      <c r="CC515" s="25"/>
      <c r="CD515" s="25"/>
      <c r="CE515" s="25"/>
      <c r="CF515" s="25"/>
      <c r="CG515" s="25"/>
      <c r="CH515" s="25"/>
      <c r="CI515" s="25"/>
      <c r="CJ515" s="25"/>
      <c r="CK515" s="25"/>
      <c r="CL515" s="25"/>
      <c r="CM515" s="25"/>
      <c r="CN515" s="25"/>
      <c r="CO515" s="25"/>
      <c r="CP515" s="25"/>
      <c r="CQ515" s="25"/>
      <c r="CR515" s="25"/>
      <c r="CS515" s="25"/>
    </row>
    <row r="516" spans="2:97">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c r="AN516" s="25"/>
      <c r="AO516" s="25"/>
      <c r="AP516" s="25"/>
      <c r="AQ516" s="25"/>
      <c r="AR516" s="25"/>
      <c r="AS516" s="25"/>
      <c r="AT516" s="25"/>
      <c r="AU516" s="25"/>
      <c r="AV516" s="25"/>
      <c r="AW516" s="25"/>
      <c r="AX516" s="25"/>
      <c r="AY516" s="25"/>
      <c r="AZ516" s="25"/>
      <c r="BA516" s="25"/>
      <c r="BB516" s="25"/>
      <c r="BC516" s="25"/>
      <c r="BD516" s="25"/>
      <c r="BE516" s="25"/>
      <c r="BF516" s="25"/>
      <c r="BG516" s="25"/>
      <c r="BH516" s="25"/>
      <c r="BI516" s="25"/>
      <c r="BJ516" s="25"/>
      <c r="BK516" s="25"/>
      <c r="BL516" s="25"/>
      <c r="BM516" s="25"/>
      <c r="BN516" s="25"/>
      <c r="BO516" s="25"/>
      <c r="BP516" s="25"/>
      <c r="BQ516" s="25"/>
      <c r="BR516" s="25"/>
      <c r="BS516" s="25"/>
      <c r="BT516" s="25"/>
      <c r="BU516" s="25"/>
      <c r="BV516" s="25"/>
      <c r="BW516" s="25"/>
      <c r="BX516" s="25"/>
      <c r="BY516" s="25"/>
      <c r="BZ516" s="25"/>
      <c r="CA516" s="25"/>
      <c r="CB516" s="25"/>
      <c r="CC516" s="25"/>
      <c r="CD516" s="25"/>
      <c r="CE516" s="25"/>
      <c r="CF516" s="25"/>
      <c r="CG516" s="25"/>
      <c r="CH516" s="25"/>
      <c r="CI516" s="25"/>
      <c r="CJ516" s="25"/>
      <c r="CK516" s="25"/>
      <c r="CL516" s="25"/>
      <c r="CM516" s="25"/>
      <c r="CN516" s="25"/>
      <c r="CO516" s="25"/>
      <c r="CP516" s="25"/>
      <c r="CQ516" s="25"/>
      <c r="CR516" s="25"/>
      <c r="CS516" s="25"/>
    </row>
    <row r="517" spans="2:97">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c r="AN517" s="25"/>
      <c r="AO517" s="25"/>
      <c r="AP517" s="25"/>
      <c r="AQ517" s="25"/>
      <c r="AR517" s="25"/>
      <c r="AS517" s="25"/>
      <c r="AT517" s="25"/>
      <c r="AU517" s="25"/>
      <c r="AV517" s="25"/>
      <c r="AW517" s="25"/>
      <c r="AX517" s="25"/>
      <c r="AY517" s="25"/>
      <c r="AZ517" s="25"/>
      <c r="BA517" s="25"/>
      <c r="BB517" s="25"/>
      <c r="BC517" s="25"/>
      <c r="BD517" s="25"/>
      <c r="BE517" s="25"/>
      <c r="BF517" s="25"/>
      <c r="BG517" s="25"/>
      <c r="BH517" s="25"/>
      <c r="BI517" s="25"/>
      <c r="BJ517" s="25"/>
      <c r="BK517" s="25"/>
      <c r="BL517" s="25"/>
      <c r="BM517" s="25"/>
      <c r="BN517" s="25"/>
      <c r="BO517" s="25"/>
      <c r="BP517" s="25"/>
      <c r="BQ517" s="25"/>
      <c r="BR517" s="25"/>
      <c r="BS517" s="25"/>
      <c r="BT517" s="25"/>
      <c r="BU517" s="25"/>
      <c r="BV517" s="25"/>
      <c r="BW517" s="25"/>
      <c r="BX517" s="25"/>
      <c r="BY517" s="25"/>
      <c r="BZ517" s="25"/>
      <c r="CA517" s="25"/>
      <c r="CB517" s="25"/>
      <c r="CC517" s="25"/>
      <c r="CD517" s="25"/>
      <c r="CE517" s="25"/>
      <c r="CF517" s="25"/>
      <c r="CG517" s="25"/>
      <c r="CH517" s="25"/>
      <c r="CI517" s="25"/>
      <c r="CJ517" s="25"/>
      <c r="CK517" s="25"/>
      <c r="CL517" s="25"/>
      <c r="CM517" s="25"/>
      <c r="CN517" s="25"/>
      <c r="CO517" s="25"/>
      <c r="CP517" s="25"/>
      <c r="CQ517" s="25"/>
      <c r="CR517" s="25"/>
      <c r="CS517" s="25"/>
    </row>
    <row r="518" spans="2:97">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c r="AN518" s="25"/>
      <c r="AO518" s="25"/>
      <c r="AP518" s="25"/>
      <c r="AQ518" s="25"/>
      <c r="AR518" s="25"/>
      <c r="AS518" s="25"/>
      <c r="AT518" s="25"/>
      <c r="AU518" s="25"/>
      <c r="AV518" s="25"/>
      <c r="AW518" s="25"/>
      <c r="AX518" s="25"/>
      <c r="AY518" s="25"/>
      <c r="AZ518" s="25"/>
      <c r="BA518" s="25"/>
      <c r="BB518" s="25"/>
      <c r="BC518" s="25"/>
      <c r="BD518" s="25"/>
      <c r="BE518" s="25"/>
      <c r="BF518" s="25"/>
      <c r="BG518" s="25"/>
      <c r="BH518" s="25"/>
      <c r="BI518" s="25"/>
      <c r="BJ518" s="25"/>
      <c r="BK518" s="25"/>
      <c r="BL518" s="25"/>
      <c r="BM518" s="25"/>
      <c r="BN518" s="25"/>
      <c r="BO518" s="25"/>
      <c r="BP518" s="25"/>
      <c r="BQ518" s="25"/>
      <c r="BR518" s="25"/>
      <c r="BS518" s="25"/>
      <c r="BT518" s="25"/>
      <c r="BU518" s="25"/>
      <c r="BV518" s="25"/>
      <c r="BW518" s="25"/>
      <c r="BX518" s="25"/>
      <c r="BY518" s="25"/>
      <c r="BZ518" s="25"/>
      <c r="CA518" s="25"/>
      <c r="CB518" s="25"/>
      <c r="CC518" s="25"/>
      <c r="CD518" s="25"/>
      <c r="CE518" s="25"/>
      <c r="CF518" s="25"/>
      <c r="CG518" s="25"/>
      <c r="CH518" s="25"/>
      <c r="CI518" s="25"/>
      <c r="CJ518" s="25"/>
      <c r="CK518" s="25"/>
      <c r="CL518" s="25"/>
      <c r="CM518" s="25"/>
      <c r="CN518" s="25"/>
      <c r="CO518" s="25"/>
      <c r="CP518" s="25"/>
      <c r="CQ518" s="25"/>
      <c r="CR518" s="25"/>
      <c r="CS518" s="25"/>
    </row>
    <row r="519" spans="2:97">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c r="AN519" s="25"/>
      <c r="AO519" s="25"/>
      <c r="AP519" s="25"/>
      <c r="AQ519" s="25"/>
      <c r="AR519" s="25"/>
      <c r="AS519" s="25"/>
      <c r="AT519" s="25"/>
      <c r="AU519" s="25"/>
      <c r="AV519" s="25"/>
      <c r="AW519" s="25"/>
      <c r="AX519" s="25"/>
      <c r="AY519" s="25"/>
      <c r="AZ519" s="25"/>
      <c r="BA519" s="25"/>
      <c r="BB519" s="25"/>
      <c r="BC519" s="25"/>
      <c r="BD519" s="25"/>
      <c r="BE519" s="25"/>
      <c r="BF519" s="25"/>
      <c r="BG519" s="25"/>
      <c r="BH519" s="25"/>
      <c r="BI519" s="25"/>
      <c r="BJ519" s="25"/>
      <c r="BK519" s="25"/>
      <c r="BL519" s="25"/>
      <c r="BM519" s="25"/>
      <c r="BN519" s="25"/>
      <c r="BO519" s="25"/>
      <c r="BP519" s="25"/>
      <c r="BQ519" s="25"/>
      <c r="BR519" s="25"/>
      <c r="BS519" s="25"/>
      <c r="BT519" s="25"/>
      <c r="BU519" s="25"/>
      <c r="BV519" s="25"/>
      <c r="BW519" s="25"/>
      <c r="BX519" s="25"/>
      <c r="BY519" s="25"/>
      <c r="BZ519" s="25"/>
      <c r="CA519" s="25"/>
      <c r="CB519" s="25"/>
      <c r="CC519" s="25"/>
      <c r="CD519" s="25"/>
      <c r="CE519" s="25"/>
      <c r="CF519" s="25"/>
      <c r="CG519" s="25"/>
      <c r="CH519" s="25"/>
      <c r="CI519" s="25"/>
      <c r="CJ519" s="25"/>
      <c r="CK519" s="25"/>
      <c r="CL519" s="25"/>
      <c r="CM519" s="25"/>
      <c r="CN519" s="25"/>
      <c r="CO519" s="25"/>
      <c r="CP519" s="25"/>
      <c r="CQ519" s="25"/>
      <c r="CR519" s="25"/>
      <c r="CS519" s="25"/>
    </row>
    <row r="520" spans="2:97">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c r="AN520" s="25"/>
      <c r="AO520" s="25"/>
      <c r="AP520" s="25"/>
      <c r="AQ520" s="25"/>
      <c r="AR520" s="25"/>
      <c r="AS520" s="25"/>
      <c r="AT520" s="25"/>
      <c r="AU520" s="25"/>
      <c r="AV520" s="25"/>
      <c r="AW520" s="25"/>
      <c r="AX520" s="25"/>
      <c r="AY520" s="25"/>
      <c r="AZ520" s="25"/>
      <c r="BA520" s="25"/>
      <c r="BB520" s="25"/>
      <c r="BC520" s="25"/>
      <c r="BD520" s="25"/>
      <c r="BE520" s="25"/>
      <c r="BF520" s="25"/>
      <c r="BG520" s="25"/>
      <c r="BH520" s="25"/>
      <c r="BI520" s="25"/>
      <c r="BJ520" s="25"/>
      <c r="BK520" s="25"/>
      <c r="BL520" s="25"/>
      <c r="BM520" s="25"/>
      <c r="BN520" s="25"/>
      <c r="BO520" s="25"/>
      <c r="BP520" s="25"/>
      <c r="BQ520" s="25"/>
      <c r="BR520" s="25"/>
      <c r="BS520" s="25"/>
      <c r="BT520" s="25"/>
      <c r="BU520" s="25"/>
      <c r="BV520" s="25"/>
      <c r="BW520" s="25"/>
      <c r="BX520" s="25"/>
      <c r="BY520" s="25"/>
      <c r="BZ520" s="25"/>
      <c r="CA520" s="25"/>
      <c r="CB520" s="25"/>
      <c r="CC520" s="25"/>
      <c r="CD520" s="25"/>
      <c r="CE520" s="25"/>
      <c r="CF520" s="25"/>
      <c r="CG520" s="25"/>
      <c r="CH520" s="25"/>
      <c r="CI520" s="25"/>
      <c r="CJ520" s="25"/>
      <c r="CK520" s="25"/>
      <c r="CL520" s="25"/>
      <c r="CM520" s="25"/>
      <c r="CN520" s="25"/>
      <c r="CO520" s="25"/>
      <c r="CP520" s="25"/>
      <c r="CQ520" s="25"/>
      <c r="CR520" s="25"/>
      <c r="CS520" s="25"/>
    </row>
    <row r="521" spans="2:97">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c r="AN521" s="25"/>
      <c r="AO521" s="25"/>
      <c r="AP521" s="25"/>
      <c r="AQ521" s="25"/>
      <c r="AR521" s="25"/>
      <c r="AS521" s="25"/>
      <c r="AT521" s="25"/>
      <c r="AU521" s="25"/>
      <c r="AV521" s="25"/>
      <c r="AW521" s="25"/>
      <c r="AX521" s="25"/>
      <c r="AY521" s="25"/>
      <c r="AZ521" s="25"/>
      <c r="BA521" s="25"/>
      <c r="BB521" s="25"/>
      <c r="BC521" s="25"/>
      <c r="BD521" s="25"/>
      <c r="BE521" s="25"/>
      <c r="BF521" s="25"/>
      <c r="BG521" s="25"/>
      <c r="BH521" s="25"/>
      <c r="BI521" s="25"/>
      <c r="BJ521" s="25"/>
      <c r="BK521" s="25"/>
      <c r="BL521" s="25"/>
      <c r="BM521" s="25"/>
      <c r="BN521" s="25"/>
      <c r="BO521" s="25"/>
      <c r="BP521" s="25"/>
      <c r="BQ521" s="25"/>
      <c r="BR521" s="25"/>
      <c r="BS521" s="25"/>
      <c r="BT521" s="25"/>
      <c r="BU521" s="25"/>
      <c r="BV521" s="25"/>
      <c r="BW521" s="25"/>
      <c r="BX521" s="25"/>
      <c r="BY521" s="25"/>
      <c r="BZ521" s="25"/>
      <c r="CA521" s="25"/>
      <c r="CB521" s="25"/>
      <c r="CC521" s="25"/>
      <c r="CD521" s="25"/>
      <c r="CE521" s="25"/>
      <c r="CF521" s="25"/>
      <c r="CG521" s="25"/>
      <c r="CH521" s="25"/>
      <c r="CI521" s="25"/>
      <c r="CJ521" s="25"/>
      <c r="CK521" s="25"/>
      <c r="CL521" s="25"/>
      <c r="CM521" s="25"/>
      <c r="CN521" s="25"/>
      <c r="CO521" s="25"/>
      <c r="CP521" s="25"/>
      <c r="CQ521" s="25"/>
      <c r="CR521" s="25"/>
      <c r="CS521" s="25"/>
    </row>
    <row r="522" spans="2:97">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c r="AN522" s="25"/>
      <c r="AO522" s="25"/>
      <c r="AP522" s="25"/>
      <c r="AQ522" s="25"/>
      <c r="AR522" s="25"/>
      <c r="AS522" s="25"/>
      <c r="AT522" s="25"/>
      <c r="AU522" s="25"/>
      <c r="AV522" s="25"/>
      <c r="AW522" s="25"/>
      <c r="AX522" s="25"/>
      <c r="AY522" s="25"/>
      <c r="AZ522" s="25"/>
      <c r="BA522" s="25"/>
      <c r="BB522" s="25"/>
      <c r="BC522" s="25"/>
      <c r="BD522" s="25"/>
      <c r="BE522" s="25"/>
      <c r="BF522" s="25"/>
      <c r="BG522" s="25"/>
      <c r="BH522" s="25"/>
      <c r="BI522" s="25"/>
      <c r="BJ522" s="25"/>
      <c r="BK522" s="25"/>
      <c r="BL522" s="25"/>
      <c r="BM522" s="25"/>
      <c r="BN522" s="25"/>
      <c r="BO522" s="25"/>
      <c r="BP522" s="25"/>
      <c r="BQ522" s="25"/>
      <c r="BR522" s="25"/>
      <c r="BS522" s="25"/>
      <c r="BT522" s="25"/>
      <c r="BU522" s="25"/>
      <c r="BV522" s="25"/>
      <c r="BW522" s="25"/>
      <c r="BX522" s="25"/>
      <c r="BY522" s="25"/>
      <c r="BZ522" s="25"/>
      <c r="CA522" s="25"/>
      <c r="CB522" s="25"/>
      <c r="CC522" s="25"/>
      <c r="CD522" s="25"/>
      <c r="CE522" s="25"/>
      <c r="CF522" s="25"/>
      <c r="CG522" s="25"/>
      <c r="CH522" s="25"/>
      <c r="CI522" s="25"/>
      <c r="CJ522" s="25"/>
      <c r="CK522" s="25"/>
      <c r="CL522" s="25"/>
      <c r="CM522" s="25"/>
      <c r="CN522" s="25"/>
      <c r="CO522" s="25"/>
      <c r="CP522" s="25"/>
      <c r="CQ522" s="25"/>
      <c r="CR522" s="25"/>
      <c r="CS522" s="25"/>
    </row>
    <row r="523" spans="2:97">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c r="AN523" s="25"/>
      <c r="AO523" s="25"/>
      <c r="AP523" s="25"/>
      <c r="AQ523" s="25"/>
      <c r="AR523" s="25"/>
      <c r="AS523" s="25"/>
      <c r="AT523" s="25"/>
      <c r="AU523" s="25"/>
      <c r="AV523" s="25"/>
      <c r="AW523" s="25"/>
      <c r="AX523" s="25"/>
      <c r="AY523" s="25"/>
      <c r="AZ523" s="25"/>
      <c r="BA523" s="25"/>
      <c r="BB523" s="25"/>
      <c r="BC523" s="25"/>
      <c r="BD523" s="25"/>
      <c r="BE523" s="25"/>
      <c r="BF523" s="25"/>
      <c r="BG523" s="25"/>
      <c r="BH523" s="25"/>
      <c r="BI523" s="25"/>
      <c r="BJ523" s="25"/>
      <c r="BK523" s="25"/>
      <c r="BL523" s="25"/>
      <c r="BM523" s="25"/>
      <c r="BN523" s="25"/>
      <c r="BO523" s="25"/>
      <c r="BP523" s="25"/>
      <c r="BQ523" s="25"/>
      <c r="BR523" s="25"/>
      <c r="BS523" s="25"/>
      <c r="BT523" s="25"/>
      <c r="BU523" s="25"/>
      <c r="BV523" s="25"/>
      <c r="BW523" s="25"/>
      <c r="BX523" s="25"/>
      <c r="BY523" s="25"/>
      <c r="BZ523" s="25"/>
      <c r="CA523" s="25"/>
      <c r="CB523" s="25"/>
      <c r="CC523" s="25"/>
      <c r="CD523" s="25"/>
      <c r="CE523" s="25"/>
      <c r="CF523" s="25"/>
      <c r="CG523" s="25"/>
      <c r="CH523" s="25"/>
      <c r="CI523" s="25"/>
      <c r="CJ523" s="25"/>
      <c r="CK523" s="25"/>
      <c r="CL523" s="25"/>
      <c r="CM523" s="25"/>
      <c r="CN523" s="25"/>
      <c r="CO523" s="25"/>
      <c r="CP523" s="25"/>
      <c r="CQ523" s="25"/>
      <c r="CR523" s="25"/>
      <c r="CS523" s="25"/>
    </row>
  </sheetData>
  <mergeCells count="18">
    <mergeCell ref="CS2:CS3"/>
    <mergeCell ref="G2:G3"/>
    <mergeCell ref="H2:H3"/>
    <mergeCell ref="I2:I3"/>
    <mergeCell ref="J2:J3"/>
    <mergeCell ref="K2:K3"/>
    <mergeCell ref="L2:L3"/>
    <mergeCell ref="M2:M3"/>
    <mergeCell ref="N2:N3"/>
    <mergeCell ref="CP2:CP3"/>
    <mergeCell ref="CQ2:CQ3"/>
    <mergeCell ref="CR2:CR3"/>
    <mergeCell ref="F2:F3"/>
    <mergeCell ref="A2:A3"/>
    <mergeCell ref="B2:B3"/>
    <mergeCell ref="C2:C3"/>
    <mergeCell ref="D2:D3"/>
    <mergeCell ref="E2:E3"/>
  </mergeCells>
  <hyperlinks>
    <hyperlink ref="CR11" r:id="rId1" xr:uid="{80146693-92A4-4B91-94F2-A3E407AB164C}"/>
    <hyperlink ref="CR9" r:id="rId2" xr:uid="{9950EFE8-B978-4566-AB66-B994EB5400FA}"/>
    <hyperlink ref="CR25" r:id="rId3" location="1" xr:uid="{8934D1FD-0F58-40C2-839B-5783282C4501}"/>
    <hyperlink ref="CR21" r:id="rId4" xr:uid="{59604F18-4110-44CF-B895-E6D97B2FBCB1}"/>
    <hyperlink ref="CR23" r:id="rId5" xr:uid="{C276738C-FAAD-4666-AAC4-F742B3D28B3E}"/>
    <hyperlink ref="CR6" r:id="rId6" xr:uid="{919BD57E-8D5A-4458-8E69-8A423051C9DE}"/>
    <hyperlink ref="CR14" r:id="rId7" xr:uid="{205796BD-033A-41D7-9B80-ACCC64312B8D}"/>
    <hyperlink ref="CR18" r:id="rId8" location="page_scan_tab_contents" display="https://www.jstor.org/stable/43595383?read-now=1&amp;seq=1 - page_scan_tab_contents" xr:uid="{007187B3-0D2B-4392-BF5D-421CAA1AFDEC}"/>
    <hyperlink ref="CR17" r:id="rId9" location="page_scan_tab_contents" display="https://www.jstor.org/stable/43595383?read-now=1&amp;seq=1 - page_scan_tab_contents" xr:uid="{E607DE82-2634-4649-A891-D0906CD0EBED}"/>
    <hyperlink ref="CR20" r:id="rId10" location="page_scan_tab_contents" display="https://www.jstor.org/stable/43595383?read-now=1&amp;seq=1 - page_scan_tab_contents" xr:uid="{AFAB808B-492E-42A0-BB4B-27FD55BB9A88}"/>
    <hyperlink ref="CR66" r:id="rId11" xr:uid="{5E2E397E-939D-4F8F-8E35-08E24EAFA413}"/>
    <hyperlink ref="CR65" r:id="rId12" xr:uid="{E8DE31EC-55A7-4A9A-94B2-385CE5F85054}"/>
    <hyperlink ref="CR67" r:id="rId13" xr:uid="{EA47C142-8743-4DC4-A0D6-71A4648712DB}"/>
    <hyperlink ref="CR19" r:id="rId14" location="page_scan_tab_contents" display="https://www.jstor.org/stable/43595383?read-now=1&amp;seq=1 - page_scan_tab_contents" xr:uid="{E714D9EB-7094-4A03-8F93-68AE324E6467}"/>
    <hyperlink ref="CR12" r:id="rId15" xr:uid="{016B7FDD-C3DA-48D4-8D79-D65FCE515BD7}"/>
    <hyperlink ref="CR13" r:id="rId16" xr:uid="{E40F952F-9765-4A6C-B288-80433E12B7F1}"/>
    <hyperlink ref="CR24" r:id="rId17" xr:uid="{E9F4F519-1657-4DA3-9C18-283F7A9EECB6}"/>
    <hyperlink ref="CR22" r:id="rId18" xr:uid="{165EF824-8635-412C-BEED-ED34ECBA013E}"/>
    <hyperlink ref="CR10" r:id="rId19" xr:uid="{5AF0818F-4333-4B98-B3BB-32776EEE8A35}"/>
    <hyperlink ref="CR8" r:id="rId20" xr:uid="{F4114D67-FC8B-4743-931A-82AC2ECAE625}"/>
    <hyperlink ref="CR16" r:id="rId21" xr:uid="{BD4790D4-4499-493B-AFCF-72031C371B75}"/>
    <hyperlink ref="CR30" r:id="rId22" xr:uid="{11B0D4AB-129F-4D86-AF98-84B3B36660BC}"/>
    <hyperlink ref="CR31" r:id="rId23" xr:uid="{4F60246A-9A24-4B0A-8949-B5F5C7B2E6F0}"/>
    <hyperlink ref="CR15" r:id="rId24" xr:uid="{3A008825-C36F-4424-8F5E-BA36DE6A7D2C}"/>
    <hyperlink ref="CR37" r:id="rId25" xr:uid="{B3D2A81B-EFA7-4CA2-8335-DE9FDFED9916}"/>
    <hyperlink ref="CR58" r:id="rId26" xr:uid="{8E8D71DF-95AF-4C2C-9476-726F880CC008}"/>
    <hyperlink ref="CR39" r:id="rId27" xr:uid="{D3485ECB-7E1A-425C-BD44-5198172E6ACC}"/>
    <hyperlink ref="CR62" r:id="rId28" xr:uid="{88D9E7D0-2073-40CC-9B45-84FAE6D68A88}"/>
    <hyperlink ref="CR35" r:id="rId29" xr:uid="{955F8ADB-058F-4DF1-9E96-830B29A3A83B}"/>
    <hyperlink ref="CR36" r:id="rId30" xr:uid="{6854A6C4-586B-4F3E-B226-C4800CC764F3}"/>
    <hyperlink ref="CR64" r:id="rId31" display="https://www.jstage.jst.go.jp/article/jjfe/57/1/57_KJ00009983906/_pdf/-char/ja" xr:uid="{C0C486EA-37B2-4FD3-902B-A718A157D3EE}"/>
    <hyperlink ref="CR48" r:id="rId32" xr:uid="{C9532E6D-0CF4-4E74-8D2A-ECE2345E3731}"/>
    <hyperlink ref="CR53" r:id="rId33" xr:uid="{742A2DF4-200D-42B3-B0DE-0E6D7A7932AC}"/>
    <hyperlink ref="CR56" r:id="rId34" xr:uid="{820E8D83-0F7C-4509-A99A-A4E3DC7EFBBB}"/>
    <hyperlink ref="CR54" r:id="rId35" xr:uid="{8BD558C0-F7BE-4C4F-95CE-9E04F3231A17}"/>
    <hyperlink ref="CR49" r:id="rId36" xr:uid="{0687F446-708A-45CB-9FC8-7A22DDBC7223}"/>
    <hyperlink ref="CR55" r:id="rId37" xr:uid="{4336C1D2-11B7-41A7-BD45-90F81D520727}"/>
    <hyperlink ref="CR57" r:id="rId38" xr:uid="{14B8DA51-DE4A-4FB8-B4CD-282CCF37F493}"/>
    <hyperlink ref="CR61" r:id="rId39" xr:uid="{4E5FD7EE-F982-4CA4-B201-7437EEB61C5E}"/>
    <hyperlink ref="CR60" r:id="rId40" xr:uid="{FD7CB4B1-0E98-4523-9119-2228935E6D72}"/>
    <hyperlink ref="CR59" r:id="rId41" xr:uid="{B93B1C8A-E259-4359-9597-88F83E1CE1AB}"/>
    <hyperlink ref="CR47" r:id="rId42" xr:uid="{9198048E-61A7-4DA0-A7DB-8A511703DAC8}"/>
    <hyperlink ref="CR45" r:id="rId43" xr:uid="{EBDD3D6B-8A93-4140-88C5-73E3B9943CB6}"/>
    <hyperlink ref="CR43" r:id="rId44" xr:uid="{2A706216-38A0-4B49-828D-5ADA356D175D}"/>
    <hyperlink ref="CR44" r:id="rId45" xr:uid="{B5605BF5-3C0F-43DB-8D96-AECB8E2C2B74}"/>
    <hyperlink ref="CR46" r:id="rId46" xr:uid="{E5779B17-CAA5-42F6-A5B9-03BCA976A5D9}"/>
    <hyperlink ref="CR40" r:id="rId47" xr:uid="{44E69E3F-3E10-41CF-B611-4BF051B63501}"/>
    <hyperlink ref="CR32" r:id="rId48" xr:uid="{D5966A2B-0DBE-442C-85D4-E451BE933B73}"/>
    <hyperlink ref="CR34" r:id="rId49" xr:uid="{8E087556-7C68-4314-AA4D-66D163E17824}"/>
    <hyperlink ref="CR33" r:id="rId50" xr:uid="{A41537D7-26EB-49E5-8BD7-C3019E7740E2}"/>
    <hyperlink ref="CR50" r:id="rId51" xr:uid="{E6C2DF2E-39E4-44B2-A406-EC347EF6B951}"/>
    <hyperlink ref="CR41" r:id="rId52" xr:uid="{0E812A7E-F56E-48D9-8146-FE455AECF57B}"/>
    <hyperlink ref="CR42" r:id="rId53" xr:uid="{5FD01652-9A9C-4851-9312-D788B7653777}"/>
    <hyperlink ref="CR70" r:id="rId54" xr:uid="{35FA5031-16B3-442A-A288-88C98D1237EC}"/>
    <hyperlink ref="CR71" r:id="rId55" xr:uid="{B0ADD640-270C-43CD-9B92-C3015A4799A4}"/>
    <hyperlink ref="CR69" r:id="rId56" xr:uid="{AF4D0EC1-3D8F-493C-B753-AB46192460E0}"/>
    <hyperlink ref="CR80" r:id="rId57" xr:uid="{B6DDE7D8-1FA4-4FD4-9FF1-BE48EBB650A4}"/>
    <hyperlink ref="CR75" r:id="rId58" xr:uid="{3E46B28E-8A6B-4754-8582-08A5BE9EF6B8}"/>
    <hyperlink ref="CR76" r:id="rId59" xr:uid="{EF6461FB-87F6-4CA4-8B0D-CF436AD45CCE}"/>
    <hyperlink ref="CR77" r:id="rId60" xr:uid="{6186E2A6-1564-4A29-9C07-839D7E99259D}"/>
    <hyperlink ref="CR72" r:id="rId61" xr:uid="{D0401865-6E70-4AF8-8BB9-E2A995FF3A6E}"/>
    <hyperlink ref="CR78" r:id="rId62" xr:uid="{D6068DC2-FA04-476B-8F69-5803D78D56E8}"/>
    <hyperlink ref="CR74" r:id="rId63" xr:uid="{A777422A-837B-4CE2-A6E6-899FCC78E8EE}"/>
    <hyperlink ref="CR68" r:id="rId64" xr:uid="{5F1C30C2-CB56-4E40-9E9B-D5F030FDD789}"/>
    <hyperlink ref="CR73" r:id="rId65" xr:uid="{E94ADE6A-3717-4444-8087-F8AA59FE4F6C}"/>
    <hyperlink ref="CR84" r:id="rId66" xr:uid="{7FBD7BE0-91F6-40FA-A23B-A0564B45BC1C}"/>
    <hyperlink ref="CR79" r:id="rId67" xr:uid="{6265871C-7100-4ECF-BDA8-1C4310FC5039}"/>
    <hyperlink ref="CR26" r:id="rId68" xr:uid="{AA0DE8B0-C684-4D9F-A22A-0F4C0B2885B3}"/>
    <hyperlink ref="CR28" r:id="rId69" display="https://advances.sciencemag.org/content/6/12/eaaw5790" xr:uid="{F75CED79-EDB7-45FD-A1E5-595056931475}"/>
    <hyperlink ref="CR29" r:id="rId70" display="https://advances.sciencemag.org/content/6/12/eaaw5790" xr:uid="{42F30581-DB47-4BDB-B76A-E77B7C89B766}"/>
    <hyperlink ref="CR27" r:id="rId71" display="https://advances.sciencemag.org/content/6/12/eaaw5790" xr:uid="{062D015F-72CD-48D7-B536-D9699853F920}"/>
    <hyperlink ref="CR81" r:id="rId72" xr:uid="{3F571558-2230-4A3D-9F0E-E12C4652A765}"/>
    <hyperlink ref="CR82" r:id="rId73" xr:uid="{B29BF6FB-8516-4BCF-AD4D-B78FB0C31E0E}"/>
    <hyperlink ref="CR83" r:id="rId74" xr:uid="{4F1C4C85-BCDA-4333-8599-86193B372F5C}"/>
    <hyperlink ref="CR108" r:id="rId75" xr:uid="{25D03132-FA01-4A37-AE3B-57AD98433303}"/>
    <hyperlink ref="CR105" r:id="rId76" xr:uid="{F897FFEE-C460-4CEF-A759-C170353008DF}"/>
    <hyperlink ref="CR106" r:id="rId77" xr:uid="{127C11D5-DE12-4DAA-90B3-AC2328AAC739}"/>
    <hyperlink ref="CR91" r:id="rId78" xr:uid="{9F64FFEE-A31B-4275-8CAE-033B7EFD94CC}"/>
    <hyperlink ref="CR92" r:id="rId79" xr:uid="{3A8FE5F5-7D7C-4D4E-B202-FF4D6F6CE05D}"/>
    <hyperlink ref="CR94" r:id="rId80" xr:uid="{762ECB92-43ED-4D7E-9A47-F0E05B82A1D9}"/>
    <hyperlink ref="CR107" r:id="rId81" xr:uid="{6989CCFA-DBBD-47B9-9F26-5B7BD7EF2DC2}"/>
    <hyperlink ref="CR99" r:id="rId82" xr:uid="{4AF0F51A-D6BB-47FE-9DC9-F90CDE02D671}"/>
    <hyperlink ref="CR100" r:id="rId83" xr:uid="{EE546D88-3169-40E7-BB91-7568B7859693}"/>
    <hyperlink ref="CR101" r:id="rId84" xr:uid="{1277F3E9-51CF-4D90-A212-C2517BDF66B9}"/>
    <hyperlink ref="CR95" r:id="rId85" xr:uid="{3AAA69B0-2E65-4867-9871-A90382049B66}"/>
    <hyperlink ref="CR96" r:id="rId86" xr:uid="{1DADDB65-6A3C-401E-9475-01D587472B83}"/>
    <hyperlink ref="CR97" r:id="rId87" xr:uid="{87E3D5EC-2BCB-4D2E-AEE4-D427972EB3AA}"/>
    <hyperlink ref="CR98" r:id="rId88" xr:uid="{D320BE3E-72B5-4084-841A-1AB6DE7D32AF}"/>
    <hyperlink ref="CR90" r:id="rId89" xr:uid="{0C6E531D-B931-4D50-BA8C-37A079D63D52}"/>
    <hyperlink ref="CR89" r:id="rId90" xr:uid="{F542BB3D-2839-46EA-A6CE-1A75CC1B6B46}"/>
    <hyperlink ref="CR4" r:id="rId91" xr:uid="{DBAF4A16-504F-45FA-93F5-AD7E8C214834}"/>
    <hyperlink ref="CR5" r:id="rId92" xr:uid="{35F7BC34-75DD-463C-8F22-73E8625A18B8}"/>
    <hyperlink ref="CR93" r:id="rId93" xr:uid="{3A6D6764-A89D-4B6E-BF4B-2D310E737829}"/>
    <hyperlink ref="CR85" r:id="rId94" xr:uid="{4FBC4EF9-2751-4FAC-8F07-D0B0C2D689D3}"/>
    <hyperlink ref="CR86" r:id="rId95" xr:uid="{F67F261E-9A63-4E92-96AA-62B7E10BF987}"/>
    <hyperlink ref="CR87" r:id="rId96" xr:uid="{57A5614E-7B22-4531-80D1-5B4F3ECE5CA3}"/>
    <hyperlink ref="CR88" r:id="rId97" xr:uid="{48CD6933-F444-422E-9028-D696D5A398C2}"/>
  </hyperlinks>
  <pageMargins left="0.7" right="0.7" top="0.75" bottom="0.75" header="0.3" footer="0.3"/>
  <pageSetup paperSize="9" scale="10" orientation="portrait" r:id="rId98"/>
  <drawing r:id="rId9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3BC91-9981-4818-BAC1-36E6361F27E8}">
  <dimension ref="A1:D4"/>
  <sheetViews>
    <sheetView workbookViewId="0">
      <selection sqref="A1:D4"/>
    </sheetView>
  </sheetViews>
  <sheetFormatPr defaultRowHeight="15"/>
  <sheetData>
    <row r="1" spans="1:4">
      <c r="A1" s="31"/>
      <c r="B1" s="31" t="s">
        <v>693</v>
      </c>
      <c r="C1" s="31" t="s">
        <v>694</v>
      </c>
      <c r="D1" s="31" t="s">
        <v>695</v>
      </c>
    </row>
    <row r="2" spans="1:4">
      <c r="A2" t="s">
        <v>693</v>
      </c>
      <c r="B2">
        <v>1</v>
      </c>
    </row>
    <row r="3" spans="1:4">
      <c r="A3" t="s">
        <v>694</v>
      </c>
      <c r="B3">
        <v>-0.56956967894202171</v>
      </c>
      <c r="C3">
        <v>1</v>
      </c>
    </row>
    <row r="4" spans="1:4" ht="15.75" thickBot="1">
      <c r="A4" s="30" t="s">
        <v>695</v>
      </c>
      <c r="B4" s="30">
        <v>0.6467700114694177</v>
      </c>
      <c r="C4" s="30">
        <v>-0.77868954106164989</v>
      </c>
      <c r="D4" s="3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2BF08-5AB8-440B-A438-ADF27CB4CCB6}">
  <dimension ref="A1:C423"/>
  <sheetViews>
    <sheetView workbookViewId="0">
      <selection activeCell="E2" sqref="E2"/>
    </sheetView>
  </sheetViews>
  <sheetFormatPr defaultRowHeight="15"/>
  <cols>
    <col min="1" max="1" width="15.5703125" style="28" bestFit="1" customWidth="1"/>
    <col min="2" max="2" width="24" style="28" bestFit="1" customWidth="1"/>
    <col min="3" max="3" width="15.5703125" style="28" bestFit="1" customWidth="1"/>
  </cols>
  <sheetData>
    <row r="1" spans="1:3" ht="15.75" thickBot="1">
      <c r="A1" s="1"/>
      <c r="B1" s="1"/>
      <c r="C1" s="1"/>
    </row>
    <row r="2" spans="1:3">
      <c r="A2" s="3" t="s">
        <v>212</v>
      </c>
      <c r="B2" s="3" t="s">
        <v>146</v>
      </c>
      <c r="C2" s="3" t="s">
        <v>209</v>
      </c>
    </row>
    <row r="3" spans="1:3">
      <c r="A3" s="4" t="s">
        <v>247</v>
      </c>
      <c r="B3" s="4" t="s">
        <v>228</v>
      </c>
      <c r="C3" s="4" t="s">
        <v>247</v>
      </c>
    </row>
    <row r="4" spans="1:3">
      <c r="A4" s="4">
        <v>3.1054999999999997</v>
      </c>
      <c r="B4" s="4">
        <v>15.375</v>
      </c>
      <c r="C4" s="4">
        <v>2.2800000000000002</v>
      </c>
    </row>
    <row r="5" spans="1:3">
      <c r="A5" s="4">
        <v>5.2</v>
      </c>
      <c r="B5" s="4">
        <v>15</v>
      </c>
      <c r="C5" s="4">
        <v>1.55</v>
      </c>
    </row>
    <row r="6" spans="1:3">
      <c r="A6" s="4">
        <v>3.2167499999999993</v>
      </c>
      <c r="B6" s="4">
        <v>15.375</v>
      </c>
      <c r="C6" s="4">
        <v>2.84</v>
      </c>
    </row>
    <row r="7" spans="1:3">
      <c r="A7" s="4">
        <v>7.35</v>
      </c>
      <c r="B7" s="4">
        <v>15.375</v>
      </c>
      <c r="C7" s="4">
        <v>3.7600000000000002</v>
      </c>
    </row>
    <row r="8" spans="1:3">
      <c r="A8" s="4">
        <v>3.3</v>
      </c>
      <c r="B8" s="4">
        <v>15.3</v>
      </c>
      <c r="C8" s="4">
        <v>3.05</v>
      </c>
    </row>
    <row r="9" spans="1:3">
      <c r="A9" s="4">
        <v>3.7250000000000001</v>
      </c>
      <c r="B9" s="4">
        <v>15.446149999999999</v>
      </c>
      <c r="C9" s="4">
        <v>2.835</v>
      </c>
    </row>
    <row r="10" spans="1:3">
      <c r="A10" s="4">
        <v>1.99</v>
      </c>
      <c r="B10" s="4">
        <v>17.2</v>
      </c>
      <c r="C10" s="4">
        <v>0.38</v>
      </c>
    </row>
    <row r="11" spans="1:3">
      <c r="A11" s="16">
        <v>2.1800000000000002</v>
      </c>
      <c r="B11" s="16">
        <v>18.600000000000001</v>
      </c>
      <c r="C11" s="16">
        <v>0.41</v>
      </c>
    </row>
    <row r="12" spans="1:3" ht="15.75">
      <c r="A12" s="25"/>
      <c r="B12" s="25"/>
      <c r="C12" s="25"/>
    </row>
    <row r="13" spans="1:3" ht="15.75">
      <c r="A13" s="25"/>
      <c r="B13" s="25"/>
      <c r="C13" s="25"/>
    </row>
    <row r="14" spans="1:3" ht="15.75">
      <c r="A14" s="25"/>
      <c r="B14" s="25"/>
      <c r="C14" s="25"/>
    </row>
    <row r="15" spans="1:3" ht="15.75">
      <c r="A15" s="25"/>
      <c r="B15" s="25"/>
      <c r="C15" s="25"/>
    </row>
    <row r="16" spans="1:3" ht="15.75">
      <c r="A16" s="25"/>
      <c r="B16" s="25"/>
      <c r="C16" s="25"/>
    </row>
    <row r="17" spans="1:3" ht="15.75">
      <c r="A17" s="25"/>
      <c r="B17" s="25"/>
      <c r="C17" s="25"/>
    </row>
    <row r="18" spans="1:3" ht="15.75">
      <c r="A18" s="25"/>
      <c r="B18" s="25"/>
      <c r="C18" s="25"/>
    </row>
    <row r="19" spans="1:3" ht="15.75">
      <c r="A19" s="25"/>
      <c r="B19" s="25"/>
      <c r="C19" s="25"/>
    </row>
    <row r="20" spans="1:3" ht="15.75">
      <c r="A20" s="25"/>
      <c r="B20" s="25"/>
      <c r="C20" s="25"/>
    </row>
    <row r="21" spans="1:3" ht="15.75">
      <c r="A21" s="25"/>
      <c r="B21" s="25"/>
      <c r="C21" s="25"/>
    </row>
    <row r="22" spans="1:3" ht="15.75">
      <c r="A22" s="25"/>
      <c r="B22" s="25"/>
      <c r="C22" s="25"/>
    </row>
    <row r="23" spans="1:3" ht="15.75">
      <c r="A23" s="25"/>
      <c r="B23" s="25"/>
      <c r="C23" s="25"/>
    </row>
    <row r="24" spans="1:3" ht="15.75">
      <c r="A24" s="25"/>
      <c r="B24" s="25"/>
      <c r="C24" s="25"/>
    </row>
    <row r="25" spans="1:3" ht="15.75">
      <c r="A25" s="25"/>
      <c r="B25" s="25"/>
      <c r="C25" s="25"/>
    </row>
    <row r="26" spans="1:3" ht="15.75">
      <c r="A26" s="25"/>
      <c r="B26" s="25"/>
      <c r="C26" s="25"/>
    </row>
    <row r="27" spans="1:3" ht="15.75">
      <c r="A27" s="25"/>
      <c r="B27" s="25"/>
      <c r="C27" s="25"/>
    </row>
    <row r="28" spans="1:3" ht="15.75">
      <c r="A28" s="25"/>
      <c r="B28" s="25"/>
      <c r="C28" s="25"/>
    </row>
    <row r="29" spans="1:3" ht="15.75">
      <c r="A29" s="25"/>
      <c r="B29" s="25"/>
      <c r="C29" s="25"/>
    </row>
    <row r="30" spans="1:3" ht="15.75">
      <c r="A30" s="25"/>
      <c r="B30" s="25"/>
      <c r="C30" s="25"/>
    </row>
    <row r="31" spans="1:3" ht="15.75">
      <c r="A31" s="25"/>
      <c r="B31" s="25"/>
      <c r="C31" s="25"/>
    </row>
    <row r="32" spans="1:3" ht="15.75">
      <c r="A32" s="25"/>
      <c r="B32" s="25"/>
      <c r="C32" s="25"/>
    </row>
    <row r="33" spans="1:3" ht="15.75">
      <c r="A33" s="25"/>
      <c r="B33" s="25"/>
      <c r="C33" s="25"/>
    </row>
    <row r="34" spans="1:3" ht="15.75">
      <c r="A34" s="25"/>
      <c r="B34" s="25"/>
      <c r="C34" s="25"/>
    </row>
    <row r="35" spans="1:3" ht="15.75">
      <c r="A35" s="25"/>
      <c r="B35" s="25"/>
      <c r="C35" s="25"/>
    </row>
    <row r="36" spans="1:3" ht="15.75">
      <c r="A36" s="25"/>
      <c r="B36" s="25"/>
      <c r="C36" s="25"/>
    </row>
    <row r="37" spans="1:3" ht="15.75">
      <c r="A37" s="25"/>
      <c r="B37" s="25"/>
      <c r="C37" s="25"/>
    </row>
    <row r="38" spans="1:3" ht="15.75">
      <c r="A38" s="25"/>
      <c r="B38" s="25"/>
      <c r="C38" s="25"/>
    </row>
    <row r="39" spans="1:3" ht="15.75">
      <c r="A39" s="25"/>
      <c r="B39" s="25"/>
      <c r="C39" s="25"/>
    </row>
    <row r="40" spans="1:3" ht="15.75">
      <c r="A40" s="25"/>
      <c r="B40" s="25"/>
      <c r="C40" s="25"/>
    </row>
    <row r="41" spans="1:3" ht="15.75">
      <c r="A41" s="25"/>
      <c r="B41" s="25"/>
      <c r="C41" s="25"/>
    </row>
    <row r="42" spans="1:3" ht="15.75">
      <c r="A42" s="25"/>
      <c r="B42" s="25"/>
      <c r="C42" s="25"/>
    </row>
    <row r="43" spans="1:3" ht="15.75">
      <c r="A43" s="25"/>
      <c r="B43" s="25"/>
      <c r="C43" s="25"/>
    </row>
    <row r="44" spans="1:3" ht="15.75">
      <c r="A44" s="25"/>
      <c r="B44" s="25"/>
      <c r="C44" s="25"/>
    </row>
    <row r="45" spans="1:3" ht="15.75">
      <c r="A45" s="25"/>
      <c r="B45" s="25"/>
      <c r="C45" s="25"/>
    </row>
    <row r="46" spans="1:3" ht="15.75">
      <c r="A46" s="25"/>
      <c r="B46" s="25"/>
      <c r="C46" s="25"/>
    </row>
    <row r="47" spans="1:3" ht="15.75">
      <c r="A47" s="25"/>
      <c r="B47" s="25"/>
      <c r="C47" s="25"/>
    </row>
    <row r="48" spans="1:3" ht="15.75">
      <c r="A48" s="25"/>
      <c r="B48" s="25"/>
      <c r="C48" s="25"/>
    </row>
    <row r="49" spans="1:3" ht="15.75">
      <c r="A49" s="25"/>
      <c r="B49" s="25"/>
      <c r="C49" s="25"/>
    </row>
    <row r="50" spans="1:3" ht="15.75">
      <c r="A50" s="25"/>
      <c r="B50" s="25"/>
      <c r="C50" s="25"/>
    </row>
    <row r="51" spans="1:3" ht="15.75">
      <c r="A51" s="25"/>
      <c r="B51" s="25"/>
      <c r="C51" s="25"/>
    </row>
    <row r="52" spans="1:3" ht="15.75">
      <c r="A52" s="25"/>
      <c r="B52" s="25"/>
      <c r="C52" s="25"/>
    </row>
    <row r="53" spans="1:3" ht="15.75">
      <c r="A53" s="25"/>
      <c r="B53" s="25"/>
      <c r="C53" s="25"/>
    </row>
    <row r="54" spans="1:3" ht="15.75">
      <c r="A54" s="25"/>
      <c r="B54" s="25"/>
      <c r="C54" s="25"/>
    </row>
    <row r="55" spans="1:3" ht="15.75">
      <c r="A55" s="25"/>
      <c r="B55" s="25"/>
      <c r="C55" s="25"/>
    </row>
    <row r="56" spans="1:3" ht="15.75">
      <c r="A56" s="25"/>
      <c r="B56" s="25"/>
      <c r="C56" s="25"/>
    </row>
    <row r="57" spans="1:3" ht="15.75">
      <c r="A57" s="25"/>
      <c r="B57" s="25"/>
      <c r="C57" s="25"/>
    </row>
    <row r="58" spans="1:3" ht="15.75">
      <c r="A58" s="25"/>
      <c r="B58" s="25"/>
      <c r="C58" s="25"/>
    </row>
    <row r="59" spans="1:3" ht="15.75">
      <c r="A59" s="25"/>
      <c r="B59" s="25"/>
      <c r="C59" s="25"/>
    </row>
    <row r="60" spans="1:3" ht="15.75">
      <c r="A60" s="25"/>
      <c r="B60" s="25"/>
      <c r="C60" s="25"/>
    </row>
    <row r="61" spans="1:3" ht="15.75">
      <c r="A61" s="25"/>
      <c r="B61" s="25"/>
      <c r="C61" s="25"/>
    </row>
    <row r="62" spans="1:3" ht="15.75">
      <c r="A62" s="25"/>
      <c r="B62" s="25"/>
      <c r="C62" s="25"/>
    </row>
    <row r="63" spans="1:3" ht="15.75">
      <c r="A63" s="25"/>
      <c r="B63" s="25"/>
      <c r="C63" s="25"/>
    </row>
    <row r="64" spans="1:3" ht="15.75">
      <c r="A64" s="25"/>
      <c r="B64" s="25"/>
      <c r="C64" s="25"/>
    </row>
    <row r="65" spans="1:3" ht="15.75">
      <c r="A65" s="25"/>
      <c r="B65" s="25"/>
      <c r="C65" s="25"/>
    </row>
    <row r="66" spans="1:3" ht="15.75">
      <c r="A66" s="25"/>
      <c r="B66" s="25"/>
      <c r="C66" s="25"/>
    </row>
    <row r="67" spans="1:3" ht="15.75">
      <c r="A67" s="25"/>
      <c r="B67" s="25"/>
      <c r="C67" s="25"/>
    </row>
    <row r="68" spans="1:3" ht="15.75">
      <c r="A68" s="25"/>
      <c r="B68" s="25"/>
      <c r="C68" s="25"/>
    </row>
    <row r="69" spans="1:3" ht="15.75">
      <c r="A69" s="25"/>
      <c r="B69" s="25"/>
      <c r="C69" s="25"/>
    </row>
    <row r="70" spans="1:3" ht="15.75">
      <c r="A70" s="25"/>
      <c r="B70" s="25"/>
      <c r="C70" s="25"/>
    </row>
    <row r="71" spans="1:3" ht="15.75">
      <c r="A71" s="25"/>
      <c r="B71" s="25"/>
      <c r="C71" s="25"/>
    </row>
    <row r="72" spans="1:3" ht="15.75">
      <c r="A72" s="25"/>
      <c r="B72" s="25"/>
      <c r="C72" s="25"/>
    </row>
    <row r="73" spans="1:3" ht="15.75">
      <c r="A73" s="25"/>
      <c r="B73" s="25"/>
      <c r="C73" s="25"/>
    </row>
    <row r="74" spans="1:3" ht="15.75">
      <c r="A74" s="25"/>
      <c r="B74" s="25"/>
      <c r="C74" s="25"/>
    </row>
    <row r="75" spans="1:3" ht="15.75">
      <c r="A75" s="25"/>
      <c r="B75" s="25"/>
      <c r="C75" s="25"/>
    </row>
    <row r="76" spans="1:3" ht="15.75">
      <c r="A76" s="25"/>
      <c r="B76" s="25"/>
      <c r="C76" s="25"/>
    </row>
    <row r="77" spans="1:3" ht="15.75">
      <c r="A77" s="25"/>
      <c r="B77" s="25"/>
      <c r="C77" s="25"/>
    </row>
    <row r="78" spans="1:3" ht="15.75">
      <c r="A78" s="25"/>
      <c r="B78" s="25"/>
      <c r="C78" s="25"/>
    </row>
    <row r="79" spans="1:3" ht="15.75">
      <c r="A79" s="25"/>
      <c r="B79" s="25"/>
      <c r="C79" s="25"/>
    </row>
    <row r="80" spans="1:3" ht="15.75">
      <c r="A80" s="25"/>
      <c r="B80" s="25"/>
      <c r="C80" s="25"/>
    </row>
    <row r="81" spans="1:3" ht="15.75">
      <c r="A81" s="25"/>
      <c r="B81" s="25"/>
      <c r="C81" s="25"/>
    </row>
    <row r="82" spans="1:3" ht="15.75">
      <c r="A82" s="25"/>
      <c r="B82" s="25"/>
      <c r="C82" s="25"/>
    </row>
    <row r="83" spans="1:3" ht="15.75">
      <c r="A83" s="25"/>
      <c r="B83" s="25"/>
      <c r="C83" s="25"/>
    </row>
    <row r="84" spans="1:3" ht="15.75">
      <c r="A84" s="25"/>
      <c r="B84" s="25"/>
      <c r="C84" s="25"/>
    </row>
    <row r="85" spans="1:3" ht="15.75">
      <c r="A85" s="25"/>
      <c r="B85" s="25"/>
      <c r="C85" s="25"/>
    </row>
    <row r="86" spans="1:3" ht="15.75">
      <c r="A86" s="25"/>
      <c r="B86" s="25"/>
      <c r="C86" s="25"/>
    </row>
    <row r="87" spans="1:3" ht="15.75">
      <c r="A87" s="25"/>
      <c r="B87" s="25"/>
      <c r="C87" s="25"/>
    </row>
    <row r="88" spans="1:3" ht="15.75">
      <c r="A88" s="25"/>
      <c r="B88" s="25"/>
      <c r="C88" s="25"/>
    </row>
    <row r="89" spans="1:3" ht="15.75">
      <c r="A89" s="25"/>
      <c r="B89" s="25"/>
      <c r="C89" s="25"/>
    </row>
    <row r="90" spans="1:3" ht="15.75">
      <c r="A90" s="25"/>
      <c r="B90" s="25"/>
      <c r="C90" s="25"/>
    </row>
    <row r="91" spans="1:3" ht="15.75">
      <c r="A91" s="25"/>
      <c r="B91" s="25"/>
      <c r="C91" s="25"/>
    </row>
    <row r="92" spans="1:3" ht="15.75">
      <c r="A92" s="25"/>
      <c r="B92" s="25"/>
      <c r="C92" s="25"/>
    </row>
    <row r="93" spans="1:3" ht="15.75">
      <c r="A93" s="25"/>
      <c r="B93" s="25"/>
      <c r="C93" s="25"/>
    </row>
    <row r="94" spans="1:3" ht="15.75">
      <c r="A94" s="25"/>
      <c r="B94" s="25"/>
      <c r="C94" s="25"/>
    </row>
    <row r="95" spans="1:3" ht="15.75">
      <c r="A95" s="25"/>
      <c r="B95" s="25"/>
      <c r="C95" s="25"/>
    </row>
    <row r="96" spans="1:3" ht="15.75">
      <c r="A96" s="25"/>
      <c r="B96" s="25"/>
      <c r="C96" s="25"/>
    </row>
    <row r="97" spans="1:3" ht="15.75">
      <c r="A97" s="25"/>
      <c r="B97" s="25"/>
      <c r="C97" s="25"/>
    </row>
    <row r="98" spans="1:3" ht="15.75">
      <c r="A98" s="25"/>
      <c r="B98" s="25"/>
      <c r="C98" s="25"/>
    </row>
    <row r="99" spans="1:3" ht="15.75">
      <c r="A99" s="25"/>
      <c r="B99" s="25"/>
      <c r="C99" s="25"/>
    </row>
    <row r="100" spans="1:3" ht="15.75">
      <c r="A100" s="25"/>
      <c r="B100" s="25"/>
      <c r="C100" s="25"/>
    </row>
    <row r="101" spans="1:3" ht="15.75">
      <c r="A101" s="25"/>
      <c r="B101" s="25"/>
      <c r="C101" s="25"/>
    </row>
    <row r="102" spans="1:3" ht="15.75">
      <c r="A102" s="25"/>
      <c r="B102" s="25"/>
      <c r="C102" s="25"/>
    </row>
    <row r="103" spans="1:3" ht="15.75">
      <c r="A103" s="25"/>
      <c r="B103" s="25"/>
      <c r="C103" s="25"/>
    </row>
    <row r="104" spans="1:3" ht="15.75">
      <c r="A104" s="25"/>
      <c r="B104" s="25"/>
      <c r="C104" s="25"/>
    </row>
    <row r="105" spans="1:3" ht="15.75">
      <c r="A105" s="25"/>
      <c r="B105" s="25"/>
      <c r="C105" s="25"/>
    </row>
    <row r="106" spans="1:3" ht="15.75">
      <c r="A106" s="25"/>
      <c r="B106" s="25"/>
      <c r="C106" s="25"/>
    </row>
    <row r="107" spans="1:3" ht="15.75">
      <c r="A107" s="25"/>
      <c r="B107" s="25"/>
      <c r="C107" s="25"/>
    </row>
    <row r="108" spans="1:3" ht="15.75">
      <c r="A108" s="25"/>
      <c r="B108" s="25"/>
      <c r="C108" s="25"/>
    </row>
    <row r="109" spans="1:3" ht="15.75">
      <c r="A109" s="25"/>
      <c r="B109" s="25"/>
      <c r="C109" s="25"/>
    </row>
    <row r="110" spans="1:3" ht="15.75">
      <c r="A110" s="25"/>
      <c r="B110" s="25"/>
      <c r="C110" s="25"/>
    </row>
    <row r="111" spans="1:3" ht="15.75">
      <c r="A111" s="25"/>
      <c r="B111" s="25"/>
      <c r="C111" s="25"/>
    </row>
    <row r="112" spans="1:3" ht="15.75">
      <c r="A112" s="25"/>
      <c r="B112" s="25"/>
      <c r="C112" s="25"/>
    </row>
    <row r="113" spans="1:3" ht="15.75">
      <c r="A113" s="25"/>
      <c r="B113" s="25"/>
      <c r="C113" s="25"/>
    </row>
    <row r="114" spans="1:3" ht="15.75">
      <c r="A114" s="25"/>
      <c r="B114" s="25"/>
      <c r="C114" s="25"/>
    </row>
    <row r="115" spans="1:3" ht="15.75">
      <c r="A115" s="25"/>
      <c r="B115" s="25"/>
      <c r="C115" s="25"/>
    </row>
    <row r="116" spans="1:3" ht="15.75">
      <c r="A116" s="25"/>
      <c r="B116" s="25"/>
      <c r="C116" s="25"/>
    </row>
    <row r="117" spans="1:3" ht="15.75">
      <c r="A117" s="25"/>
      <c r="B117" s="25"/>
      <c r="C117" s="25"/>
    </row>
    <row r="118" spans="1:3" ht="15.75">
      <c r="A118" s="25"/>
      <c r="B118" s="25"/>
      <c r="C118" s="25"/>
    </row>
    <row r="119" spans="1:3" ht="15.75">
      <c r="A119" s="25"/>
      <c r="B119" s="25"/>
      <c r="C119" s="25"/>
    </row>
    <row r="120" spans="1:3" ht="15.75">
      <c r="A120" s="25"/>
      <c r="B120" s="25"/>
      <c r="C120" s="25"/>
    </row>
    <row r="121" spans="1:3" ht="15.75">
      <c r="A121" s="25"/>
      <c r="B121" s="25"/>
      <c r="C121" s="25"/>
    </row>
    <row r="122" spans="1:3" ht="15.75">
      <c r="A122" s="25"/>
      <c r="B122" s="25"/>
      <c r="C122" s="25"/>
    </row>
    <row r="123" spans="1:3" ht="15.75">
      <c r="A123" s="25"/>
      <c r="B123" s="25"/>
      <c r="C123" s="25"/>
    </row>
    <row r="124" spans="1:3" ht="15.75">
      <c r="A124" s="25"/>
      <c r="B124" s="25"/>
      <c r="C124" s="25"/>
    </row>
    <row r="125" spans="1:3" ht="15.75">
      <c r="A125" s="25"/>
      <c r="B125" s="25"/>
      <c r="C125" s="25"/>
    </row>
    <row r="126" spans="1:3" ht="15.75">
      <c r="A126" s="25"/>
      <c r="B126" s="25"/>
      <c r="C126" s="25"/>
    </row>
    <row r="127" spans="1:3" ht="15.75">
      <c r="A127" s="25"/>
      <c r="B127" s="25"/>
      <c r="C127" s="25"/>
    </row>
    <row r="128" spans="1:3" ht="15.75">
      <c r="A128" s="25"/>
      <c r="B128" s="25"/>
      <c r="C128" s="25"/>
    </row>
    <row r="129" spans="1:3" ht="15.75">
      <c r="A129" s="25"/>
      <c r="B129" s="25"/>
      <c r="C129" s="25"/>
    </row>
    <row r="130" spans="1:3" ht="15.75">
      <c r="A130" s="25"/>
      <c r="B130" s="25"/>
      <c r="C130" s="25"/>
    </row>
    <row r="131" spans="1:3" ht="15.75">
      <c r="A131" s="25"/>
      <c r="B131" s="25"/>
      <c r="C131" s="25"/>
    </row>
    <row r="132" spans="1:3" ht="15.75">
      <c r="A132" s="25"/>
      <c r="B132" s="25"/>
      <c r="C132" s="25"/>
    </row>
    <row r="133" spans="1:3" ht="15.75">
      <c r="A133" s="25"/>
      <c r="B133" s="25"/>
      <c r="C133" s="25"/>
    </row>
    <row r="134" spans="1:3" ht="15.75">
      <c r="A134" s="25"/>
      <c r="B134" s="25"/>
      <c r="C134" s="25"/>
    </row>
    <row r="135" spans="1:3" ht="15.75">
      <c r="A135" s="25"/>
      <c r="B135" s="25"/>
      <c r="C135" s="25"/>
    </row>
    <row r="136" spans="1:3" ht="15.75">
      <c r="A136" s="25"/>
      <c r="B136" s="25"/>
      <c r="C136" s="25"/>
    </row>
    <row r="137" spans="1:3" ht="15.75">
      <c r="A137" s="25"/>
      <c r="B137" s="25"/>
      <c r="C137" s="25"/>
    </row>
    <row r="138" spans="1:3" ht="15.75">
      <c r="A138" s="25"/>
      <c r="B138" s="25"/>
      <c r="C138" s="25"/>
    </row>
    <row r="139" spans="1:3" ht="15.75">
      <c r="A139" s="25"/>
      <c r="B139" s="25"/>
      <c r="C139" s="25"/>
    </row>
    <row r="140" spans="1:3" ht="15.75">
      <c r="A140" s="25"/>
      <c r="B140" s="25"/>
      <c r="C140" s="25"/>
    </row>
    <row r="141" spans="1:3" ht="15.75">
      <c r="A141" s="25"/>
      <c r="B141" s="25"/>
      <c r="C141" s="25"/>
    </row>
    <row r="142" spans="1:3" ht="15.75">
      <c r="A142" s="25"/>
      <c r="B142" s="25"/>
      <c r="C142" s="25"/>
    </row>
    <row r="143" spans="1:3" ht="15.75">
      <c r="A143" s="25"/>
      <c r="B143" s="25"/>
      <c r="C143" s="25"/>
    </row>
    <row r="144" spans="1:3" ht="15.75">
      <c r="A144" s="25"/>
      <c r="B144" s="25"/>
      <c r="C144" s="25"/>
    </row>
    <row r="145" spans="1:3" ht="15.75">
      <c r="A145" s="25"/>
      <c r="B145" s="25"/>
      <c r="C145" s="25"/>
    </row>
    <row r="146" spans="1:3" ht="15.75">
      <c r="A146" s="25"/>
      <c r="B146" s="25"/>
      <c r="C146" s="25"/>
    </row>
    <row r="147" spans="1:3" ht="15.75">
      <c r="A147" s="25"/>
      <c r="B147" s="25"/>
      <c r="C147" s="25"/>
    </row>
    <row r="148" spans="1:3" ht="15.75">
      <c r="A148" s="25"/>
      <c r="B148" s="25"/>
      <c r="C148" s="25"/>
    </row>
    <row r="149" spans="1:3" ht="15.75">
      <c r="A149" s="25"/>
      <c r="B149" s="25"/>
      <c r="C149" s="25"/>
    </row>
    <row r="150" spans="1:3" ht="15.75">
      <c r="A150" s="25"/>
      <c r="B150" s="25"/>
      <c r="C150" s="25"/>
    </row>
    <row r="151" spans="1:3" ht="15.75">
      <c r="A151" s="25"/>
      <c r="B151" s="25"/>
      <c r="C151" s="25"/>
    </row>
    <row r="152" spans="1:3" ht="15.75">
      <c r="A152" s="25"/>
      <c r="B152" s="25"/>
      <c r="C152" s="25"/>
    </row>
    <row r="153" spans="1:3" ht="15.75">
      <c r="A153" s="25"/>
      <c r="B153" s="25"/>
      <c r="C153" s="25"/>
    </row>
    <row r="154" spans="1:3" ht="15.75">
      <c r="A154" s="25"/>
      <c r="B154" s="25"/>
      <c r="C154" s="25"/>
    </row>
    <row r="155" spans="1:3" ht="15.75">
      <c r="A155" s="25"/>
      <c r="B155" s="25"/>
      <c r="C155" s="25"/>
    </row>
    <row r="156" spans="1:3" ht="15.75">
      <c r="A156" s="25"/>
      <c r="B156" s="25"/>
      <c r="C156" s="25"/>
    </row>
    <row r="157" spans="1:3" ht="15.75">
      <c r="A157" s="25"/>
      <c r="B157" s="25"/>
      <c r="C157" s="25"/>
    </row>
    <row r="158" spans="1:3" ht="15.75">
      <c r="A158" s="25"/>
      <c r="B158" s="25"/>
      <c r="C158" s="25"/>
    </row>
    <row r="159" spans="1:3" ht="15.75">
      <c r="A159" s="25"/>
      <c r="B159" s="25"/>
      <c r="C159" s="25"/>
    </row>
    <row r="160" spans="1:3" ht="15.75">
      <c r="A160" s="25"/>
      <c r="B160" s="25"/>
      <c r="C160" s="25"/>
    </row>
    <row r="161" spans="1:3" ht="15.75">
      <c r="A161" s="25"/>
      <c r="B161" s="25"/>
      <c r="C161" s="25"/>
    </row>
    <row r="162" spans="1:3" ht="15.75">
      <c r="A162" s="25"/>
      <c r="B162" s="25"/>
      <c r="C162" s="25"/>
    </row>
    <row r="163" spans="1:3" ht="15.75">
      <c r="A163" s="25"/>
      <c r="B163" s="25"/>
      <c r="C163" s="25"/>
    </row>
    <row r="164" spans="1:3" ht="15.75">
      <c r="A164" s="25"/>
      <c r="B164" s="25"/>
      <c r="C164" s="25"/>
    </row>
    <row r="165" spans="1:3" ht="15.75">
      <c r="A165" s="25"/>
      <c r="B165" s="25"/>
      <c r="C165" s="25"/>
    </row>
    <row r="166" spans="1:3" ht="15.75">
      <c r="A166" s="25"/>
      <c r="B166" s="25"/>
      <c r="C166" s="25"/>
    </row>
    <row r="167" spans="1:3" ht="15.75">
      <c r="A167" s="25"/>
      <c r="B167" s="25"/>
      <c r="C167" s="25"/>
    </row>
    <row r="168" spans="1:3" ht="15.75">
      <c r="A168" s="25"/>
      <c r="B168" s="25"/>
      <c r="C168" s="25"/>
    </row>
    <row r="169" spans="1:3" ht="15.75">
      <c r="A169" s="25"/>
      <c r="B169" s="25"/>
      <c r="C169" s="25"/>
    </row>
    <row r="170" spans="1:3" ht="15.75">
      <c r="A170" s="25"/>
      <c r="B170" s="25"/>
      <c r="C170" s="25"/>
    </row>
    <row r="171" spans="1:3" ht="15.75">
      <c r="A171" s="25"/>
      <c r="B171" s="25"/>
      <c r="C171" s="25"/>
    </row>
    <row r="172" spans="1:3" ht="15.75">
      <c r="A172" s="25"/>
      <c r="B172" s="25"/>
      <c r="C172" s="25"/>
    </row>
    <row r="173" spans="1:3" ht="15.75">
      <c r="A173" s="25"/>
      <c r="B173" s="25"/>
      <c r="C173" s="25"/>
    </row>
    <row r="174" spans="1:3" ht="15.75">
      <c r="A174" s="25"/>
      <c r="B174" s="25"/>
      <c r="C174" s="25"/>
    </row>
    <row r="175" spans="1:3" ht="15.75">
      <c r="A175" s="25"/>
      <c r="B175" s="25"/>
      <c r="C175" s="25"/>
    </row>
    <row r="176" spans="1:3" ht="15.75">
      <c r="A176" s="25"/>
      <c r="B176" s="25"/>
      <c r="C176" s="25"/>
    </row>
    <row r="177" spans="1:3" ht="15.75">
      <c r="A177" s="25"/>
      <c r="B177" s="25"/>
      <c r="C177" s="25"/>
    </row>
    <row r="178" spans="1:3" ht="15.75">
      <c r="A178" s="25"/>
      <c r="B178" s="25"/>
      <c r="C178" s="25"/>
    </row>
    <row r="179" spans="1:3" ht="15.75">
      <c r="A179" s="25"/>
      <c r="B179" s="25"/>
      <c r="C179" s="25"/>
    </row>
    <row r="180" spans="1:3" ht="15.75">
      <c r="A180" s="25"/>
      <c r="B180" s="25"/>
      <c r="C180" s="25"/>
    </row>
    <row r="181" spans="1:3" ht="15.75">
      <c r="A181" s="25"/>
      <c r="B181" s="25"/>
      <c r="C181" s="25"/>
    </row>
    <row r="182" spans="1:3" ht="15.75">
      <c r="A182" s="25"/>
      <c r="B182" s="25"/>
      <c r="C182" s="25"/>
    </row>
    <row r="183" spans="1:3" ht="15.75">
      <c r="A183" s="25"/>
      <c r="B183" s="25"/>
      <c r="C183" s="25"/>
    </row>
    <row r="184" spans="1:3" ht="15.75">
      <c r="A184" s="25"/>
      <c r="B184" s="25"/>
      <c r="C184" s="25"/>
    </row>
    <row r="185" spans="1:3" ht="15.75">
      <c r="A185" s="25"/>
      <c r="B185" s="25"/>
      <c r="C185" s="25"/>
    </row>
    <row r="186" spans="1:3" ht="15.75">
      <c r="A186" s="25"/>
      <c r="B186" s="25"/>
      <c r="C186" s="25"/>
    </row>
    <row r="187" spans="1:3" ht="15.75">
      <c r="A187" s="25"/>
      <c r="B187" s="25"/>
      <c r="C187" s="25"/>
    </row>
    <row r="188" spans="1:3" ht="15.75">
      <c r="A188" s="25"/>
      <c r="B188" s="25"/>
      <c r="C188" s="25"/>
    </row>
    <row r="189" spans="1:3" ht="15.75">
      <c r="A189" s="25"/>
      <c r="B189" s="25"/>
      <c r="C189" s="25"/>
    </row>
    <row r="190" spans="1:3" ht="15.75">
      <c r="A190" s="25"/>
      <c r="B190" s="25"/>
      <c r="C190" s="25"/>
    </row>
    <row r="191" spans="1:3" ht="15.75">
      <c r="A191" s="25"/>
      <c r="B191" s="25"/>
      <c r="C191" s="25"/>
    </row>
    <row r="192" spans="1:3" ht="15.75">
      <c r="A192" s="25"/>
      <c r="B192" s="25"/>
      <c r="C192" s="25"/>
    </row>
    <row r="193" spans="1:3" ht="15.75">
      <c r="A193" s="25"/>
      <c r="B193" s="25"/>
      <c r="C193" s="25"/>
    </row>
    <row r="194" spans="1:3" ht="15.75">
      <c r="A194" s="25"/>
      <c r="B194" s="25"/>
      <c r="C194" s="25"/>
    </row>
    <row r="195" spans="1:3" ht="15.75">
      <c r="A195" s="25"/>
      <c r="B195" s="25"/>
      <c r="C195" s="25"/>
    </row>
    <row r="196" spans="1:3" ht="15.75">
      <c r="A196" s="25"/>
      <c r="B196" s="25"/>
      <c r="C196" s="25"/>
    </row>
    <row r="197" spans="1:3" ht="15.75">
      <c r="A197" s="25"/>
      <c r="B197" s="25"/>
      <c r="C197" s="25"/>
    </row>
    <row r="198" spans="1:3" ht="15.75">
      <c r="A198" s="25"/>
      <c r="B198" s="25"/>
      <c r="C198" s="25"/>
    </row>
    <row r="199" spans="1:3" ht="15.75">
      <c r="A199" s="25"/>
      <c r="B199" s="25"/>
      <c r="C199" s="25"/>
    </row>
    <row r="200" spans="1:3" ht="15.75">
      <c r="A200" s="25"/>
      <c r="B200" s="25"/>
      <c r="C200" s="25"/>
    </row>
    <row r="201" spans="1:3" ht="15.75">
      <c r="A201" s="25"/>
      <c r="B201" s="25"/>
      <c r="C201" s="25"/>
    </row>
    <row r="202" spans="1:3" ht="15.75">
      <c r="A202" s="25"/>
      <c r="B202" s="25"/>
      <c r="C202" s="25"/>
    </row>
    <row r="203" spans="1:3" ht="15.75">
      <c r="A203" s="25"/>
      <c r="B203" s="25"/>
      <c r="C203" s="25"/>
    </row>
    <row r="204" spans="1:3" ht="15.75">
      <c r="A204" s="25"/>
      <c r="B204" s="25"/>
      <c r="C204" s="25"/>
    </row>
    <row r="205" spans="1:3" ht="15.75">
      <c r="A205" s="25"/>
      <c r="B205" s="25"/>
      <c r="C205" s="25"/>
    </row>
    <row r="206" spans="1:3" ht="15.75">
      <c r="A206" s="25"/>
      <c r="B206" s="25"/>
      <c r="C206" s="25"/>
    </row>
    <row r="207" spans="1:3" ht="15.75">
      <c r="A207" s="25"/>
      <c r="B207" s="25"/>
      <c r="C207" s="25"/>
    </row>
    <row r="208" spans="1:3" ht="15.75">
      <c r="A208" s="25"/>
      <c r="B208" s="25"/>
      <c r="C208" s="25"/>
    </row>
    <row r="209" spans="1:3" ht="15.75">
      <c r="A209" s="25"/>
      <c r="B209" s="25"/>
      <c r="C209" s="25"/>
    </row>
    <row r="210" spans="1:3" ht="15.75">
      <c r="A210" s="25"/>
      <c r="B210" s="25"/>
      <c r="C210" s="25"/>
    </row>
    <row r="211" spans="1:3" ht="15.75">
      <c r="A211" s="25"/>
      <c r="B211" s="25"/>
      <c r="C211" s="25"/>
    </row>
    <row r="212" spans="1:3" ht="15.75">
      <c r="A212" s="25"/>
      <c r="B212" s="25"/>
      <c r="C212" s="25"/>
    </row>
    <row r="213" spans="1:3" ht="15.75">
      <c r="A213" s="25"/>
      <c r="B213" s="25"/>
      <c r="C213" s="25"/>
    </row>
    <row r="214" spans="1:3" ht="15.75">
      <c r="A214" s="25"/>
      <c r="B214" s="25"/>
      <c r="C214" s="25"/>
    </row>
    <row r="215" spans="1:3" ht="15.75">
      <c r="A215" s="25"/>
      <c r="B215" s="25"/>
      <c r="C215" s="25"/>
    </row>
    <row r="216" spans="1:3" ht="15.75">
      <c r="A216" s="25"/>
      <c r="B216" s="25"/>
      <c r="C216" s="25"/>
    </row>
    <row r="217" spans="1:3" ht="15.75">
      <c r="A217" s="25"/>
      <c r="B217" s="25"/>
      <c r="C217" s="25"/>
    </row>
    <row r="218" spans="1:3" ht="15.75">
      <c r="A218" s="25"/>
      <c r="B218" s="25"/>
      <c r="C218" s="25"/>
    </row>
    <row r="219" spans="1:3" ht="15.75">
      <c r="A219" s="25"/>
      <c r="B219" s="25"/>
      <c r="C219" s="25"/>
    </row>
    <row r="220" spans="1:3" ht="15.75">
      <c r="A220" s="25"/>
      <c r="B220" s="25"/>
      <c r="C220" s="25"/>
    </row>
    <row r="221" spans="1:3" ht="15.75">
      <c r="A221" s="25"/>
      <c r="B221" s="25"/>
      <c r="C221" s="25"/>
    </row>
    <row r="222" spans="1:3" ht="15.75">
      <c r="A222" s="25"/>
      <c r="B222" s="25"/>
      <c r="C222" s="25"/>
    </row>
    <row r="223" spans="1:3" ht="15.75">
      <c r="A223" s="25"/>
      <c r="B223" s="25"/>
      <c r="C223" s="25"/>
    </row>
    <row r="224" spans="1:3" ht="15.75">
      <c r="A224" s="25"/>
      <c r="B224" s="25"/>
      <c r="C224" s="25"/>
    </row>
    <row r="225" spans="1:3" ht="15.75">
      <c r="A225" s="25"/>
      <c r="B225" s="25"/>
      <c r="C225" s="25"/>
    </row>
    <row r="226" spans="1:3" ht="15.75">
      <c r="A226" s="25"/>
      <c r="B226" s="25"/>
      <c r="C226" s="25"/>
    </row>
    <row r="227" spans="1:3" ht="15.75">
      <c r="A227" s="25"/>
      <c r="B227" s="25"/>
      <c r="C227" s="25"/>
    </row>
    <row r="228" spans="1:3" ht="15.75">
      <c r="A228" s="25"/>
      <c r="B228" s="25"/>
      <c r="C228" s="25"/>
    </row>
    <row r="229" spans="1:3" ht="15.75">
      <c r="A229" s="25"/>
      <c r="B229" s="25"/>
      <c r="C229" s="25"/>
    </row>
    <row r="230" spans="1:3" ht="15.75">
      <c r="A230" s="25"/>
      <c r="B230" s="25"/>
      <c r="C230" s="25"/>
    </row>
    <row r="231" spans="1:3" ht="15.75">
      <c r="A231" s="25"/>
      <c r="B231" s="25"/>
      <c r="C231" s="25"/>
    </row>
    <row r="232" spans="1:3" ht="15.75">
      <c r="A232" s="25"/>
      <c r="B232" s="25"/>
      <c r="C232" s="25"/>
    </row>
    <row r="233" spans="1:3" ht="15.75">
      <c r="A233" s="25"/>
      <c r="B233" s="25"/>
      <c r="C233" s="25"/>
    </row>
    <row r="234" spans="1:3" ht="15.75">
      <c r="A234" s="25"/>
      <c r="B234" s="25"/>
      <c r="C234" s="25"/>
    </row>
    <row r="235" spans="1:3" ht="15.75">
      <c r="A235" s="25"/>
      <c r="B235" s="25"/>
      <c r="C235" s="25"/>
    </row>
    <row r="236" spans="1:3" ht="15.75">
      <c r="A236" s="25"/>
      <c r="B236" s="25"/>
      <c r="C236" s="25"/>
    </row>
    <row r="237" spans="1:3" ht="15.75">
      <c r="A237" s="25"/>
      <c r="B237" s="25"/>
      <c r="C237" s="25"/>
    </row>
    <row r="238" spans="1:3" ht="15.75">
      <c r="A238" s="25"/>
      <c r="B238" s="25"/>
      <c r="C238" s="25"/>
    </row>
    <row r="239" spans="1:3" ht="15.75">
      <c r="A239" s="25"/>
      <c r="B239" s="25"/>
      <c r="C239" s="25"/>
    </row>
    <row r="240" spans="1:3" ht="15.75">
      <c r="A240" s="25"/>
      <c r="B240" s="25"/>
      <c r="C240" s="25"/>
    </row>
    <row r="241" spans="1:3" ht="15.75">
      <c r="A241" s="25"/>
      <c r="B241" s="25"/>
      <c r="C241" s="25"/>
    </row>
    <row r="242" spans="1:3" ht="15.75">
      <c r="A242" s="25"/>
      <c r="B242" s="25"/>
      <c r="C242" s="25"/>
    </row>
    <row r="243" spans="1:3" ht="15.75">
      <c r="A243" s="25"/>
      <c r="B243" s="25"/>
      <c r="C243" s="25"/>
    </row>
    <row r="244" spans="1:3" ht="15.75">
      <c r="A244" s="25"/>
      <c r="B244" s="25"/>
      <c r="C244" s="25"/>
    </row>
    <row r="245" spans="1:3" ht="15.75">
      <c r="A245" s="25"/>
      <c r="B245" s="25"/>
      <c r="C245" s="25"/>
    </row>
    <row r="246" spans="1:3" ht="15.75">
      <c r="A246" s="25"/>
      <c r="B246" s="25"/>
      <c r="C246" s="25"/>
    </row>
    <row r="247" spans="1:3" ht="15.75">
      <c r="A247" s="25"/>
      <c r="B247" s="25"/>
      <c r="C247" s="25"/>
    </row>
    <row r="248" spans="1:3" ht="15.75">
      <c r="A248" s="25"/>
      <c r="B248" s="25"/>
      <c r="C248" s="25"/>
    </row>
    <row r="249" spans="1:3" ht="15.75">
      <c r="A249" s="25"/>
      <c r="B249" s="25"/>
      <c r="C249" s="25"/>
    </row>
    <row r="250" spans="1:3" ht="15.75">
      <c r="A250" s="25"/>
      <c r="B250" s="25"/>
      <c r="C250" s="25"/>
    </row>
    <row r="251" spans="1:3" ht="15.75">
      <c r="A251" s="25"/>
      <c r="B251" s="25"/>
      <c r="C251" s="25"/>
    </row>
    <row r="252" spans="1:3" ht="15.75">
      <c r="A252" s="25"/>
      <c r="B252" s="25"/>
      <c r="C252" s="25"/>
    </row>
    <row r="253" spans="1:3" ht="15.75">
      <c r="A253" s="25"/>
      <c r="B253" s="25"/>
      <c r="C253" s="25"/>
    </row>
    <row r="254" spans="1:3" ht="15.75">
      <c r="A254" s="25"/>
      <c r="B254" s="25"/>
      <c r="C254" s="25"/>
    </row>
    <row r="255" spans="1:3" ht="15.75">
      <c r="A255" s="25"/>
      <c r="B255" s="25"/>
      <c r="C255" s="25"/>
    </row>
    <row r="256" spans="1:3" ht="15.75">
      <c r="A256" s="25"/>
      <c r="B256" s="25"/>
      <c r="C256" s="25"/>
    </row>
    <row r="257" spans="1:3" ht="15.75">
      <c r="A257" s="25"/>
      <c r="B257" s="25"/>
      <c r="C257" s="25"/>
    </row>
    <row r="258" spans="1:3" ht="15.75">
      <c r="A258" s="25"/>
      <c r="B258" s="25"/>
      <c r="C258" s="25"/>
    </row>
    <row r="259" spans="1:3" ht="15.75">
      <c r="A259" s="25"/>
      <c r="B259" s="25"/>
      <c r="C259" s="25"/>
    </row>
    <row r="260" spans="1:3" ht="15.75">
      <c r="A260" s="25"/>
      <c r="B260" s="25"/>
      <c r="C260" s="25"/>
    </row>
    <row r="261" spans="1:3" ht="15.75">
      <c r="A261" s="25"/>
      <c r="B261" s="25"/>
      <c r="C261" s="25"/>
    </row>
    <row r="262" spans="1:3" ht="15.75">
      <c r="A262" s="25"/>
      <c r="B262" s="25"/>
      <c r="C262" s="25"/>
    </row>
    <row r="263" spans="1:3" ht="15.75">
      <c r="A263" s="25"/>
      <c r="B263" s="25"/>
      <c r="C263" s="25"/>
    </row>
    <row r="264" spans="1:3" ht="15.75">
      <c r="A264" s="25"/>
      <c r="B264" s="25"/>
      <c r="C264" s="25"/>
    </row>
    <row r="265" spans="1:3" ht="15.75">
      <c r="A265" s="25"/>
      <c r="B265" s="25"/>
      <c r="C265" s="25"/>
    </row>
    <row r="266" spans="1:3" ht="15.75">
      <c r="A266" s="25"/>
      <c r="B266" s="25"/>
      <c r="C266" s="25"/>
    </row>
    <row r="267" spans="1:3" ht="15.75">
      <c r="A267" s="25"/>
      <c r="B267" s="25"/>
      <c r="C267" s="25"/>
    </row>
    <row r="268" spans="1:3" ht="15.75">
      <c r="A268" s="25"/>
      <c r="B268" s="25"/>
      <c r="C268" s="25"/>
    </row>
    <row r="269" spans="1:3" ht="15.75">
      <c r="A269" s="25"/>
      <c r="B269" s="25"/>
      <c r="C269" s="25"/>
    </row>
    <row r="270" spans="1:3" ht="15.75">
      <c r="A270" s="25"/>
      <c r="B270" s="25"/>
      <c r="C270" s="25"/>
    </row>
    <row r="271" spans="1:3" ht="15.75">
      <c r="A271" s="25"/>
      <c r="B271" s="25"/>
      <c r="C271" s="25"/>
    </row>
    <row r="272" spans="1:3" ht="15.75">
      <c r="A272" s="25"/>
      <c r="B272" s="25"/>
      <c r="C272" s="25"/>
    </row>
    <row r="273" spans="1:3" ht="15.75">
      <c r="A273" s="25"/>
      <c r="B273" s="25"/>
      <c r="C273" s="25"/>
    </row>
    <row r="274" spans="1:3" ht="15.75">
      <c r="A274" s="25"/>
      <c r="B274" s="25"/>
      <c r="C274" s="25"/>
    </row>
    <row r="275" spans="1:3" ht="15.75">
      <c r="A275" s="25"/>
      <c r="B275" s="25"/>
      <c r="C275" s="25"/>
    </row>
    <row r="276" spans="1:3" ht="15.75">
      <c r="A276" s="25"/>
      <c r="B276" s="25"/>
      <c r="C276" s="25"/>
    </row>
    <row r="277" spans="1:3" ht="15.75">
      <c r="A277" s="25"/>
      <c r="B277" s="25"/>
      <c r="C277" s="25"/>
    </row>
    <row r="278" spans="1:3" ht="15.75">
      <c r="A278" s="25"/>
      <c r="B278" s="25"/>
      <c r="C278" s="25"/>
    </row>
    <row r="279" spans="1:3" ht="15.75">
      <c r="A279" s="25"/>
      <c r="B279" s="25"/>
      <c r="C279" s="25"/>
    </row>
    <row r="280" spans="1:3" ht="15.75">
      <c r="A280" s="25"/>
      <c r="B280" s="25"/>
      <c r="C280" s="25"/>
    </row>
    <row r="281" spans="1:3" ht="15.75">
      <c r="A281" s="25"/>
      <c r="B281" s="25"/>
      <c r="C281" s="25"/>
    </row>
    <row r="282" spans="1:3" ht="15.75">
      <c r="A282" s="25"/>
      <c r="B282" s="25"/>
      <c r="C282" s="25"/>
    </row>
    <row r="283" spans="1:3" ht="15.75">
      <c r="A283" s="25"/>
      <c r="B283" s="25"/>
      <c r="C283" s="25"/>
    </row>
    <row r="284" spans="1:3" ht="15.75">
      <c r="A284" s="25"/>
      <c r="B284" s="25"/>
      <c r="C284" s="25"/>
    </row>
    <row r="285" spans="1:3" ht="15.75">
      <c r="A285" s="25"/>
      <c r="B285" s="25"/>
      <c r="C285" s="25"/>
    </row>
    <row r="286" spans="1:3" ht="15.75">
      <c r="A286" s="25"/>
      <c r="B286" s="25"/>
      <c r="C286" s="25"/>
    </row>
    <row r="287" spans="1:3" ht="15.75">
      <c r="A287" s="25"/>
      <c r="B287" s="25"/>
      <c r="C287" s="25"/>
    </row>
    <row r="288" spans="1:3" ht="15.75">
      <c r="A288" s="25"/>
      <c r="B288" s="25"/>
      <c r="C288" s="25"/>
    </row>
    <row r="289" spans="1:3" ht="15.75">
      <c r="A289" s="25"/>
      <c r="B289" s="25"/>
      <c r="C289" s="25"/>
    </row>
    <row r="290" spans="1:3" ht="15.75">
      <c r="A290" s="25"/>
      <c r="B290" s="25"/>
      <c r="C290" s="25"/>
    </row>
    <row r="291" spans="1:3" ht="15.75">
      <c r="A291" s="25"/>
      <c r="B291" s="25"/>
      <c r="C291" s="25"/>
    </row>
    <row r="292" spans="1:3" ht="15.75">
      <c r="A292" s="25"/>
      <c r="B292" s="25"/>
      <c r="C292" s="25"/>
    </row>
    <row r="293" spans="1:3" ht="15.75">
      <c r="A293" s="25"/>
      <c r="B293" s="25"/>
      <c r="C293" s="25"/>
    </row>
    <row r="294" spans="1:3" ht="15.75">
      <c r="A294" s="25"/>
      <c r="B294" s="25"/>
      <c r="C294" s="25"/>
    </row>
    <row r="295" spans="1:3" ht="15.75">
      <c r="A295" s="25"/>
      <c r="B295" s="25"/>
      <c r="C295" s="25"/>
    </row>
    <row r="296" spans="1:3" ht="15.75">
      <c r="A296" s="25"/>
      <c r="B296" s="25"/>
      <c r="C296" s="25"/>
    </row>
    <row r="297" spans="1:3" ht="15.75">
      <c r="A297" s="25"/>
      <c r="B297" s="25"/>
      <c r="C297" s="25"/>
    </row>
    <row r="298" spans="1:3" ht="15.75">
      <c r="A298" s="25"/>
      <c r="B298" s="25"/>
      <c r="C298" s="25"/>
    </row>
    <row r="299" spans="1:3" ht="15.75">
      <c r="A299" s="25"/>
      <c r="B299" s="25"/>
      <c r="C299" s="25"/>
    </row>
    <row r="300" spans="1:3" ht="15.75">
      <c r="A300" s="25"/>
      <c r="B300" s="25"/>
      <c r="C300" s="25"/>
    </row>
    <row r="301" spans="1:3" ht="15.75">
      <c r="A301" s="25"/>
      <c r="B301" s="25"/>
      <c r="C301" s="25"/>
    </row>
    <row r="302" spans="1:3" ht="15.75">
      <c r="A302" s="25"/>
      <c r="B302" s="25"/>
      <c r="C302" s="25"/>
    </row>
    <row r="303" spans="1:3" ht="15.75">
      <c r="A303" s="25"/>
      <c r="B303" s="25"/>
      <c r="C303" s="25"/>
    </row>
    <row r="304" spans="1:3" ht="15.75">
      <c r="A304" s="25"/>
      <c r="B304" s="25"/>
      <c r="C304" s="25"/>
    </row>
    <row r="305" spans="1:3" ht="15.75">
      <c r="A305" s="25"/>
      <c r="B305" s="25"/>
      <c r="C305" s="25"/>
    </row>
    <row r="306" spans="1:3" ht="15.75">
      <c r="A306" s="25"/>
      <c r="B306" s="25"/>
      <c r="C306" s="25"/>
    </row>
    <row r="307" spans="1:3" ht="15.75">
      <c r="A307" s="25"/>
      <c r="B307" s="25"/>
      <c r="C307" s="25"/>
    </row>
    <row r="308" spans="1:3" ht="15.75">
      <c r="A308" s="25"/>
      <c r="B308" s="25"/>
      <c r="C308" s="25"/>
    </row>
    <row r="309" spans="1:3" ht="15.75">
      <c r="A309" s="25"/>
      <c r="B309" s="25"/>
      <c r="C309" s="25"/>
    </row>
    <row r="310" spans="1:3" ht="15.75">
      <c r="A310" s="25"/>
      <c r="B310" s="25"/>
      <c r="C310" s="25"/>
    </row>
    <row r="311" spans="1:3" ht="15.75">
      <c r="A311" s="25"/>
      <c r="B311" s="25"/>
      <c r="C311" s="25"/>
    </row>
    <row r="312" spans="1:3" ht="15.75">
      <c r="A312" s="25"/>
      <c r="B312" s="25"/>
      <c r="C312" s="25"/>
    </row>
    <row r="313" spans="1:3" ht="15.75">
      <c r="A313" s="25"/>
      <c r="B313" s="25"/>
      <c r="C313" s="25"/>
    </row>
    <row r="314" spans="1:3" ht="15.75">
      <c r="A314" s="25"/>
      <c r="B314" s="25"/>
      <c r="C314" s="25"/>
    </row>
    <row r="315" spans="1:3" ht="15.75">
      <c r="A315" s="25"/>
      <c r="B315" s="25"/>
      <c r="C315" s="25"/>
    </row>
    <row r="316" spans="1:3" ht="15.75">
      <c r="A316" s="25"/>
      <c r="B316" s="25"/>
      <c r="C316" s="25"/>
    </row>
    <row r="317" spans="1:3" ht="15.75">
      <c r="A317" s="25"/>
      <c r="B317" s="25"/>
      <c r="C317" s="25"/>
    </row>
    <row r="318" spans="1:3" ht="15.75">
      <c r="A318" s="25"/>
      <c r="B318" s="25"/>
      <c r="C318" s="25"/>
    </row>
    <row r="319" spans="1:3" ht="15.75">
      <c r="A319" s="25"/>
      <c r="B319" s="25"/>
      <c r="C319" s="25"/>
    </row>
    <row r="320" spans="1:3" ht="15.75">
      <c r="A320" s="25"/>
      <c r="B320" s="25"/>
      <c r="C320" s="25"/>
    </row>
    <row r="321" spans="1:3" ht="15.75">
      <c r="A321" s="25"/>
      <c r="B321" s="25"/>
      <c r="C321" s="25"/>
    </row>
    <row r="322" spans="1:3" ht="15.75">
      <c r="A322" s="25"/>
      <c r="B322" s="25"/>
      <c r="C322" s="25"/>
    </row>
    <row r="323" spans="1:3" ht="15.75">
      <c r="A323" s="25"/>
      <c r="B323" s="25"/>
      <c r="C323" s="25"/>
    </row>
    <row r="324" spans="1:3" ht="15.75">
      <c r="A324" s="25"/>
      <c r="B324" s="25"/>
      <c r="C324" s="25"/>
    </row>
    <row r="325" spans="1:3" ht="15.75">
      <c r="A325" s="25"/>
      <c r="B325" s="25"/>
      <c r="C325" s="25"/>
    </row>
    <row r="326" spans="1:3" ht="15.75">
      <c r="A326" s="25"/>
      <c r="B326" s="25"/>
      <c r="C326" s="25"/>
    </row>
    <row r="327" spans="1:3" ht="15.75">
      <c r="A327" s="25"/>
      <c r="B327" s="25"/>
      <c r="C327" s="25"/>
    </row>
    <row r="328" spans="1:3" ht="15.75">
      <c r="A328" s="25"/>
      <c r="B328" s="25"/>
      <c r="C328" s="25"/>
    </row>
    <row r="329" spans="1:3" ht="15.75">
      <c r="A329" s="25"/>
      <c r="B329" s="25"/>
      <c r="C329" s="25"/>
    </row>
    <row r="330" spans="1:3" ht="15.75">
      <c r="A330" s="25"/>
      <c r="B330" s="25"/>
      <c r="C330" s="25"/>
    </row>
    <row r="331" spans="1:3" ht="15.75">
      <c r="A331" s="25"/>
      <c r="B331" s="25"/>
      <c r="C331" s="25"/>
    </row>
    <row r="332" spans="1:3" ht="15.75">
      <c r="A332" s="25"/>
      <c r="B332" s="25"/>
      <c r="C332" s="25"/>
    </row>
    <row r="333" spans="1:3" ht="15.75">
      <c r="A333" s="25"/>
      <c r="B333" s="25"/>
      <c r="C333" s="25"/>
    </row>
    <row r="334" spans="1:3" ht="15.75">
      <c r="A334" s="25"/>
      <c r="B334" s="25"/>
      <c r="C334" s="25"/>
    </row>
    <row r="335" spans="1:3" ht="15.75">
      <c r="A335" s="25"/>
      <c r="B335" s="25"/>
      <c r="C335" s="25"/>
    </row>
    <row r="336" spans="1:3" ht="15.75">
      <c r="A336" s="25"/>
      <c r="B336" s="25"/>
      <c r="C336" s="25"/>
    </row>
    <row r="337" spans="1:3" ht="15.75">
      <c r="A337" s="25"/>
      <c r="B337" s="25"/>
      <c r="C337" s="25"/>
    </row>
    <row r="338" spans="1:3" ht="15.75">
      <c r="A338" s="25"/>
      <c r="B338" s="25"/>
      <c r="C338" s="25"/>
    </row>
    <row r="339" spans="1:3" ht="15.75">
      <c r="A339" s="25"/>
      <c r="B339" s="25"/>
      <c r="C339" s="25"/>
    </row>
    <row r="340" spans="1:3" ht="15.75">
      <c r="A340" s="25"/>
      <c r="B340" s="25"/>
      <c r="C340" s="25"/>
    </row>
    <row r="341" spans="1:3" ht="15.75">
      <c r="A341" s="25"/>
      <c r="B341" s="25"/>
      <c r="C341" s="25"/>
    </row>
    <row r="342" spans="1:3" ht="15.75">
      <c r="A342" s="25"/>
      <c r="B342" s="25"/>
      <c r="C342" s="25"/>
    </row>
    <row r="343" spans="1:3" ht="15.75">
      <c r="A343" s="25"/>
      <c r="B343" s="25"/>
      <c r="C343" s="25"/>
    </row>
    <row r="344" spans="1:3" ht="15.75">
      <c r="A344" s="25"/>
      <c r="B344" s="25"/>
      <c r="C344" s="25"/>
    </row>
    <row r="345" spans="1:3" ht="15.75">
      <c r="A345" s="25"/>
      <c r="B345" s="25"/>
      <c r="C345" s="25"/>
    </row>
    <row r="346" spans="1:3" ht="15.75">
      <c r="A346" s="25"/>
      <c r="B346" s="25"/>
      <c r="C346" s="25"/>
    </row>
    <row r="347" spans="1:3" ht="15.75">
      <c r="A347" s="25"/>
      <c r="B347" s="25"/>
      <c r="C347" s="25"/>
    </row>
    <row r="348" spans="1:3" ht="15.75">
      <c r="A348" s="25"/>
      <c r="B348" s="25"/>
      <c r="C348" s="25"/>
    </row>
    <row r="349" spans="1:3" ht="15.75">
      <c r="A349" s="25"/>
      <c r="B349" s="25"/>
      <c r="C349" s="25"/>
    </row>
    <row r="350" spans="1:3" ht="15.75">
      <c r="A350" s="25"/>
      <c r="B350" s="25"/>
      <c r="C350" s="25"/>
    </row>
    <row r="351" spans="1:3" ht="15.75">
      <c r="A351" s="25"/>
      <c r="B351" s="25"/>
      <c r="C351" s="25"/>
    </row>
    <row r="352" spans="1:3" ht="15.75">
      <c r="A352" s="25"/>
      <c r="B352" s="25"/>
      <c r="C352" s="25"/>
    </row>
    <row r="353" spans="1:3" ht="15.75">
      <c r="A353" s="25"/>
      <c r="B353" s="25"/>
      <c r="C353" s="25"/>
    </row>
    <row r="354" spans="1:3" ht="15.75">
      <c r="A354" s="25"/>
      <c r="B354" s="25"/>
      <c r="C354" s="25"/>
    </row>
    <row r="355" spans="1:3" ht="15.75">
      <c r="A355" s="25"/>
      <c r="B355" s="25"/>
      <c r="C355" s="25"/>
    </row>
    <row r="356" spans="1:3" ht="15.75">
      <c r="A356" s="25"/>
      <c r="B356" s="25"/>
      <c r="C356" s="25"/>
    </row>
    <row r="357" spans="1:3" ht="15.75">
      <c r="A357" s="25"/>
      <c r="B357" s="25"/>
      <c r="C357" s="25"/>
    </row>
    <row r="358" spans="1:3" ht="15.75">
      <c r="A358" s="25"/>
      <c r="B358" s="25"/>
      <c r="C358" s="25"/>
    </row>
    <row r="359" spans="1:3" ht="15.75">
      <c r="A359" s="25"/>
      <c r="B359" s="25"/>
      <c r="C359" s="25"/>
    </row>
    <row r="360" spans="1:3" ht="15.75">
      <c r="A360" s="25"/>
      <c r="B360" s="25"/>
      <c r="C360" s="25"/>
    </row>
    <row r="361" spans="1:3" ht="15.75">
      <c r="A361" s="25"/>
      <c r="B361" s="25"/>
      <c r="C361" s="25"/>
    </row>
    <row r="362" spans="1:3" ht="15.75">
      <c r="A362" s="25"/>
      <c r="B362" s="25"/>
      <c r="C362" s="25"/>
    </row>
    <row r="363" spans="1:3" ht="15.75">
      <c r="A363" s="25"/>
      <c r="B363" s="25"/>
      <c r="C363" s="25"/>
    </row>
    <row r="364" spans="1:3" ht="15.75">
      <c r="A364" s="25"/>
      <c r="B364" s="25"/>
      <c r="C364" s="25"/>
    </row>
    <row r="365" spans="1:3" ht="15.75">
      <c r="A365" s="25"/>
      <c r="B365" s="25"/>
      <c r="C365" s="25"/>
    </row>
    <row r="366" spans="1:3" ht="15.75">
      <c r="A366" s="25"/>
      <c r="B366" s="25"/>
      <c r="C366" s="25"/>
    </row>
    <row r="367" spans="1:3" ht="15.75">
      <c r="A367" s="25"/>
      <c r="B367" s="25"/>
      <c r="C367" s="25"/>
    </row>
    <row r="368" spans="1:3" ht="15.75">
      <c r="A368" s="25"/>
      <c r="B368" s="25"/>
      <c r="C368" s="25"/>
    </row>
    <row r="369" spans="1:3" ht="15.75">
      <c r="A369" s="25"/>
      <c r="B369" s="25"/>
      <c r="C369" s="25"/>
    </row>
    <row r="370" spans="1:3" ht="15.75">
      <c r="A370" s="25"/>
      <c r="B370" s="25"/>
      <c r="C370" s="25"/>
    </row>
    <row r="371" spans="1:3" ht="15.75">
      <c r="A371" s="25"/>
      <c r="B371" s="25"/>
      <c r="C371" s="25"/>
    </row>
    <row r="372" spans="1:3" ht="15.75">
      <c r="A372" s="25"/>
      <c r="B372" s="25"/>
      <c r="C372" s="25"/>
    </row>
    <row r="373" spans="1:3" ht="15.75">
      <c r="A373" s="25"/>
      <c r="B373" s="25"/>
      <c r="C373" s="25"/>
    </row>
    <row r="374" spans="1:3" ht="15.75">
      <c r="A374" s="25"/>
      <c r="B374" s="25"/>
      <c r="C374" s="25"/>
    </row>
    <row r="375" spans="1:3" ht="15.75">
      <c r="A375" s="25"/>
      <c r="B375" s="25"/>
      <c r="C375" s="25"/>
    </row>
    <row r="376" spans="1:3" ht="15.75">
      <c r="A376" s="25"/>
      <c r="B376" s="25"/>
      <c r="C376" s="25"/>
    </row>
    <row r="377" spans="1:3" ht="15.75">
      <c r="A377" s="25"/>
      <c r="B377" s="25"/>
      <c r="C377" s="25"/>
    </row>
    <row r="378" spans="1:3" ht="15.75">
      <c r="A378" s="25"/>
      <c r="B378" s="25"/>
      <c r="C378" s="25"/>
    </row>
    <row r="379" spans="1:3" ht="15.75">
      <c r="A379" s="25"/>
      <c r="B379" s="25"/>
      <c r="C379" s="25"/>
    </row>
    <row r="380" spans="1:3" ht="15.75">
      <c r="A380" s="25"/>
      <c r="B380" s="25"/>
      <c r="C380" s="25"/>
    </row>
    <row r="381" spans="1:3" ht="15.75">
      <c r="A381" s="25"/>
      <c r="B381" s="25"/>
      <c r="C381" s="25"/>
    </row>
    <row r="382" spans="1:3" ht="15.75">
      <c r="A382" s="25"/>
      <c r="B382" s="25"/>
      <c r="C382" s="25"/>
    </row>
    <row r="383" spans="1:3" ht="15.75">
      <c r="A383" s="25"/>
      <c r="B383" s="25"/>
      <c r="C383" s="25"/>
    </row>
    <row r="384" spans="1:3" ht="15.75">
      <c r="A384" s="25"/>
      <c r="B384" s="25"/>
      <c r="C384" s="25"/>
    </row>
    <row r="385" spans="1:3" ht="15.75">
      <c r="A385" s="25"/>
      <c r="B385" s="25"/>
      <c r="C385" s="25"/>
    </row>
    <row r="386" spans="1:3" ht="15.75">
      <c r="A386" s="25"/>
      <c r="B386" s="25"/>
      <c r="C386" s="25"/>
    </row>
    <row r="387" spans="1:3" ht="15.75">
      <c r="A387" s="25"/>
      <c r="B387" s="25"/>
      <c r="C387" s="25"/>
    </row>
    <row r="388" spans="1:3" ht="15.75">
      <c r="A388" s="25"/>
      <c r="B388" s="25"/>
      <c r="C388" s="25"/>
    </row>
    <row r="389" spans="1:3" ht="15.75">
      <c r="A389" s="25"/>
      <c r="B389" s="25"/>
      <c r="C389" s="25"/>
    </row>
    <row r="390" spans="1:3" ht="15.75">
      <c r="A390" s="25"/>
      <c r="B390" s="25"/>
      <c r="C390" s="25"/>
    </row>
    <row r="391" spans="1:3" ht="15.75">
      <c r="A391" s="25"/>
      <c r="B391" s="25"/>
      <c r="C391" s="25"/>
    </row>
    <row r="392" spans="1:3" ht="15.75">
      <c r="A392" s="25"/>
      <c r="B392" s="25"/>
      <c r="C392" s="25"/>
    </row>
    <row r="393" spans="1:3" ht="15.75">
      <c r="A393" s="25"/>
      <c r="B393" s="25"/>
      <c r="C393" s="25"/>
    </row>
    <row r="394" spans="1:3" ht="15.75">
      <c r="A394" s="25"/>
      <c r="B394" s="25"/>
      <c r="C394" s="25"/>
    </row>
    <row r="395" spans="1:3" ht="15.75">
      <c r="A395" s="25"/>
      <c r="B395" s="25"/>
      <c r="C395" s="25"/>
    </row>
    <row r="396" spans="1:3" ht="15.75">
      <c r="A396" s="25"/>
      <c r="B396" s="25"/>
      <c r="C396" s="25"/>
    </row>
    <row r="397" spans="1:3" ht="15.75">
      <c r="A397" s="25"/>
      <c r="B397" s="25"/>
      <c r="C397" s="25"/>
    </row>
    <row r="398" spans="1:3" ht="15.75">
      <c r="A398" s="25"/>
      <c r="B398" s="25"/>
      <c r="C398" s="25"/>
    </row>
    <row r="399" spans="1:3" ht="15.75">
      <c r="A399" s="25"/>
      <c r="B399" s="25"/>
      <c r="C399" s="25"/>
    </row>
    <row r="400" spans="1:3" ht="15.75">
      <c r="A400" s="25"/>
      <c r="B400" s="25"/>
      <c r="C400" s="25"/>
    </row>
    <row r="401" spans="1:3" ht="15.75">
      <c r="A401" s="25"/>
      <c r="B401" s="25"/>
      <c r="C401" s="25"/>
    </row>
    <row r="402" spans="1:3" ht="15.75">
      <c r="A402" s="25"/>
      <c r="B402" s="25"/>
      <c r="C402" s="25"/>
    </row>
    <row r="403" spans="1:3" ht="15.75">
      <c r="A403" s="25"/>
      <c r="B403" s="25"/>
      <c r="C403" s="25"/>
    </row>
    <row r="404" spans="1:3" ht="15.75">
      <c r="A404" s="25"/>
      <c r="B404" s="25"/>
      <c r="C404" s="25"/>
    </row>
    <row r="405" spans="1:3" ht="15.75">
      <c r="A405" s="25"/>
      <c r="B405" s="25"/>
      <c r="C405" s="25"/>
    </row>
    <row r="406" spans="1:3" ht="15.75">
      <c r="A406" s="25"/>
      <c r="B406" s="25"/>
      <c r="C406" s="25"/>
    </row>
    <row r="407" spans="1:3" ht="15.75">
      <c r="A407" s="25"/>
      <c r="B407" s="25"/>
      <c r="C407" s="25"/>
    </row>
    <row r="408" spans="1:3" ht="15.75">
      <c r="A408" s="25"/>
      <c r="B408" s="25"/>
      <c r="C408" s="25"/>
    </row>
    <row r="409" spans="1:3" ht="15.75">
      <c r="A409" s="25"/>
      <c r="B409" s="25"/>
      <c r="C409" s="25"/>
    </row>
    <row r="410" spans="1:3" ht="15.75">
      <c r="A410" s="25"/>
      <c r="B410" s="25"/>
      <c r="C410" s="25"/>
    </row>
    <row r="411" spans="1:3" ht="15.75">
      <c r="A411" s="25"/>
      <c r="B411" s="25"/>
      <c r="C411" s="25"/>
    </row>
    <row r="412" spans="1:3" ht="15.75">
      <c r="A412" s="25"/>
      <c r="B412" s="25"/>
      <c r="C412" s="25"/>
    </row>
    <row r="413" spans="1:3" ht="15.75">
      <c r="A413" s="25"/>
      <c r="B413" s="25"/>
      <c r="C413" s="25"/>
    </row>
    <row r="414" spans="1:3" ht="15.75">
      <c r="A414" s="25"/>
      <c r="B414" s="25"/>
      <c r="C414" s="25"/>
    </row>
    <row r="415" spans="1:3" ht="15.75">
      <c r="A415" s="25"/>
      <c r="B415" s="25"/>
      <c r="C415" s="25"/>
    </row>
    <row r="416" spans="1:3" ht="15.75">
      <c r="A416" s="25"/>
      <c r="B416" s="25"/>
      <c r="C416" s="25"/>
    </row>
    <row r="417" spans="1:3" ht="15.75">
      <c r="A417" s="25"/>
      <c r="B417" s="25"/>
      <c r="C417" s="25"/>
    </row>
    <row r="418" spans="1:3" ht="15.75">
      <c r="A418" s="25"/>
      <c r="B418" s="25"/>
      <c r="C418" s="25"/>
    </row>
    <row r="419" spans="1:3" ht="15.75">
      <c r="A419" s="25"/>
      <c r="B419" s="25"/>
      <c r="C419" s="25"/>
    </row>
    <row r="420" spans="1:3" ht="15.75">
      <c r="A420" s="25"/>
      <c r="B420" s="25"/>
      <c r="C420" s="25"/>
    </row>
    <row r="421" spans="1:3" ht="15.75">
      <c r="A421" s="25"/>
      <c r="B421" s="25"/>
      <c r="C421" s="25"/>
    </row>
    <row r="422" spans="1:3" ht="15.75">
      <c r="A422" s="25"/>
      <c r="B422" s="25"/>
      <c r="C422" s="25"/>
    </row>
    <row r="423" spans="1:3" ht="15.75">
      <c r="A423" s="25"/>
      <c r="B423" s="25"/>
      <c r="C423" s="2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AE2D5-4B7C-4F31-B91F-10610E422B2B}">
  <dimension ref="A1:CS523"/>
  <sheetViews>
    <sheetView view="pageBreakPreview" topLeftCell="BX7" zoomScale="91" zoomScaleNormal="100" zoomScaleSheetLayoutView="91" workbookViewId="0">
      <selection activeCell="BS19" sqref="BS19"/>
    </sheetView>
  </sheetViews>
  <sheetFormatPr defaultColWidth="10.5703125" defaultRowHeight="15.75"/>
  <cols>
    <col min="1" max="1" width="19.140625" style="27" customWidth="1"/>
    <col min="2" max="2" width="8.42578125" style="28" bestFit="1" customWidth="1"/>
    <col min="3" max="3" width="69.85546875" style="28" bestFit="1" customWidth="1"/>
    <col min="4" max="4" width="22.140625" style="28" customWidth="1"/>
    <col min="5" max="5" width="137.5703125" style="28" customWidth="1"/>
    <col min="6" max="6" width="25.42578125" style="28" bestFit="1" customWidth="1"/>
    <col min="7" max="7" width="14.42578125" style="28" bestFit="1" customWidth="1"/>
    <col min="8" max="8" width="13.5703125" style="28" bestFit="1" customWidth="1"/>
    <col min="9" max="9" width="9.42578125" style="28" bestFit="1" customWidth="1"/>
    <col min="10" max="10" width="9" style="28" bestFit="1" customWidth="1"/>
    <col min="11" max="11" width="31.140625" style="28" customWidth="1"/>
    <col min="12" max="12" width="11.140625" style="28" bestFit="1" customWidth="1"/>
    <col min="13" max="13" width="12" style="28" bestFit="1" customWidth="1"/>
    <col min="14" max="14" width="22" style="28" bestFit="1" customWidth="1"/>
    <col min="15" max="15" width="24" style="28" bestFit="1" customWidth="1"/>
    <col min="16" max="16" width="12.85546875" style="28" bestFit="1" customWidth="1"/>
    <col min="17" max="17" width="14.140625" style="28" bestFit="1" customWidth="1"/>
    <col min="18" max="18" width="9.42578125" style="28" bestFit="1" customWidth="1"/>
    <col min="19" max="19" width="13.5703125" style="28" bestFit="1" customWidth="1"/>
    <col min="20" max="20" width="15.5703125" style="28" bestFit="1" customWidth="1"/>
    <col min="21" max="21" width="17.140625" style="28" bestFit="1" customWidth="1"/>
    <col min="22" max="22" width="11" style="28" bestFit="1" customWidth="1"/>
    <col min="23" max="23" width="18" style="28" bestFit="1" customWidth="1"/>
    <col min="24" max="24" width="8.85546875" style="28" bestFit="1" customWidth="1"/>
    <col min="25" max="25" width="9.42578125" style="28" bestFit="1" customWidth="1"/>
    <col min="26" max="26" width="12.5703125" style="28" bestFit="1" customWidth="1"/>
    <col min="27" max="27" width="12.140625" style="28" bestFit="1" customWidth="1"/>
    <col min="28" max="28" width="12.42578125" style="28" bestFit="1" customWidth="1"/>
    <col min="29" max="29" width="19.42578125" style="28" bestFit="1" customWidth="1"/>
    <col min="30" max="30" width="18.85546875" style="28" bestFit="1" customWidth="1"/>
    <col min="31" max="31" width="10.85546875" style="28" bestFit="1" customWidth="1"/>
    <col min="32" max="32" width="9.5703125" style="28" bestFit="1" customWidth="1"/>
    <col min="33" max="33" width="10.42578125" style="28" bestFit="1" customWidth="1"/>
    <col min="34" max="34" width="11.140625" style="28" bestFit="1" customWidth="1"/>
    <col min="35" max="37" width="9" style="28" bestFit="1" customWidth="1"/>
    <col min="38" max="38" width="8.5703125" style="28" bestFit="1" customWidth="1"/>
    <col min="39" max="39" width="9.140625" style="28" bestFit="1" customWidth="1"/>
    <col min="40" max="40" width="8.5703125" style="28" bestFit="1" customWidth="1"/>
    <col min="41" max="41" width="10" style="28" bestFit="1" customWidth="1"/>
    <col min="42" max="42" width="8.140625" style="28" bestFit="1" customWidth="1"/>
    <col min="43" max="43" width="31" style="28" bestFit="1" customWidth="1"/>
    <col min="44" max="44" width="30.85546875" style="28" bestFit="1" customWidth="1"/>
    <col min="45" max="45" width="16.85546875" style="28" bestFit="1" customWidth="1"/>
    <col min="46" max="46" width="30.42578125" style="28" bestFit="1" customWidth="1"/>
    <col min="47" max="47" width="26.5703125" style="28" bestFit="1" customWidth="1"/>
    <col min="48" max="48" width="15.5703125" style="28" bestFit="1" customWidth="1"/>
    <col min="49" max="49" width="14" style="28" bestFit="1" customWidth="1"/>
    <col min="50" max="50" width="11.140625" style="28" bestFit="1" customWidth="1"/>
    <col min="51" max="51" width="12.85546875" style="28" bestFit="1" customWidth="1"/>
    <col min="52" max="52" width="15" style="28" bestFit="1" customWidth="1"/>
    <col min="53" max="53" width="17.85546875" style="28" bestFit="1" customWidth="1"/>
    <col min="54" max="54" width="27" style="28" bestFit="1" customWidth="1"/>
    <col min="55" max="55" width="30.5703125" style="28" bestFit="1" customWidth="1"/>
    <col min="56" max="56" width="9.140625" style="28" bestFit="1" customWidth="1"/>
    <col min="57" max="57" width="11" style="28" bestFit="1" customWidth="1"/>
    <col min="58" max="58" width="8.5703125" style="28" bestFit="1" customWidth="1"/>
    <col min="59" max="59" width="11.5703125" style="28" bestFit="1" customWidth="1"/>
    <col min="60" max="60" width="12.85546875" style="28" bestFit="1" customWidth="1"/>
    <col min="61" max="61" width="11" style="28" bestFit="1" customWidth="1"/>
    <col min="62" max="62" width="8.5703125" style="28" bestFit="1" customWidth="1"/>
    <col min="63" max="63" width="14" style="28" bestFit="1" customWidth="1"/>
    <col min="64" max="64" width="15" style="28" bestFit="1" customWidth="1"/>
    <col min="65" max="67" width="10" style="28" bestFit="1" customWidth="1"/>
    <col min="68" max="68" width="11.5703125" style="28" bestFit="1" customWidth="1"/>
    <col min="69" max="69" width="16.85546875" style="28" bestFit="1" customWidth="1"/>
    <col min="70" max="72" width="10" style="28" bestFit="1" customWidth="1"/>
    <col min="73" max="73" width="11.5703125" style="28" bestFit="1" customWidth="1"/>
    <col min="74" max="74" width="14.85546875" style="28" bestFit="1" customWidth="1"/>
    <col min="75" max="75" width="12.140625" style="28" bestFit="1" customWidth="1"/>
    <col min="76" max="76" width="15" style="28" bestFit="1" customWidth="1"/>
    <col min="77" max="77" width="12.5703125" style="28" bestFit="1" customWidth="1"/>
    <col min="78" max="78" width="27.85546875" style="28" bestFit="1" customWidth="1"/>
    <col min="79" max="82" width="15.5703125" style="28" bestFit="1" customWidth="1"/>
    <col min="83" max="83" width="15.5703125" style="28" customWidth="1"/>
    <col min="84" max="89" width="15.5703125" style="28" bestFit="1" customWidth="1"/>
    <col min="90" max="91" width="15.85546875" style="28" bestFit="1" customWidth="1"/>
    <col min="92" max="92" width="15.85546875" style="28" customWidth="1"/>
    <col min="93" max="93" width="15.5703125" style="28" bestFit="1" customWidth="1"/>
    <col min="94" max="94" width="86.5703125" style="28" bestFit="1" customWidth="1"/>
    <col min="95" max="95" width="14.140625" style="28" bestFit="1" customWidth="1"/>
    <col min="96" max="96" width="235.42578125" style="28" bestFit="1" customWidth="1"/>
    <col min="97" max="97" width="10.5703125" style="28"/>
    <col min="98" max="16384" width="10.5703125" style="27"/>
  </cols>
  <sheetData>
    <row r="1" spans="1:97" s="2" customFormat="1" ht="13.5" thickBot="1">
      <c r="A1" s="1" t="s">
        <v>132</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row>
    <row r="2" spans="1:97" s="2" customFormat="1">
      <c r="A2" s="34" t="s">
        <v>133</v>
      </c>
      <c r="B2" s="34" t="s">
        <v>134</v>
      </c>
      <c r="C2" s="34" t="s">
        <v>1</v>
      </c>
      <c r="D2" s="36" t="s">
        <v>135</v>
      </c>
      <c r="E2" s="34" t="s">
        <v>136</v>
      </c>
      <c r="F2" s="34" t="s">
        <v>137</v>
      </c>
      <c r="G2" s="34" t="s">
        <v>138</v>
      </c>
      <c r="H2" s="34" t="s">
        <v>139</v>
      </c>
      <c r="I2" s="34" t="s">
        <v>140</v>
      </c>
      <c r="J2" s="34" t="s">
        <v>141</v>
      </c>
      <c r="K2" s="34" t="s">
        <v>142</v>
      </c>
      <c r="L2" s="34" t="s">
        <v>143</v>
      </c>
      <c r="M2" s="34" t="s">
        <v>144</v>
      </c>
      <c r="N2" s="34" t="s">
        <v>145</v>
      </c>
      <c r="O2" s="3" t="s">
        <v>146</v>
      </c>
      <c r="P2" s="3" t="s">
        <v>147</v>
      </c>
      <c r="Q2" s="3" t="s">
        <v>148</v>
      </c>
      <c r="R2" s="3" t="s">
        <v>149</v>
      </c>
      <c r="S2" s="3" t="s">
        <v>150</v>
      </c>
      <c r="T2" s="3" t="s">
        <v>151</v>
      </c>
      <c r="U2" s="3" t="s">
        <v>152</v>
      </c>
      <c r="V2" s="3" t="s">
        <v>153</v>
      </c>
      <c r="W2" s="3" t="s">
        <v>154</v>
      </c>
      <c r="X2" s="3" t="s">
        <v>155</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c r="AO2" s="3" t="s">
        <v>171</v>
      </c>
      <c r="AP2" s="3" t="s">
        <v>172</v>
      </c>
      <c r="AQ2" s="3" t="s">
        <v>173</v>
      </c>
      <c r="AR2" s="3" t="s">
        <v>174</v>
      </c>
      <c r="AS2" s="3" t="s">
        <v>175</v>
      </c>
      <c r="AT2" s="3" t="s">
        <v>176</v>
      </c>
      <c r="AU2" s="3" t="s">
        <v>177</v>
      </c>
      <c r="AV2" s="3" t="s">
        <v>178</v>
      </c>
      <c r="AW2" s="3" t="s">
        <v>179</v>
      </c>
      <c r="AX2" s="3" t="s">
        <v>180</v>
      </c>
      <c r="AY2" s="3" t="s">
        <v>181</v>
      </c>
      <c r="AZ2" s="3" t="s">
        <v>182</v>
      </c>
      <c r="BA2" s="3" t="s">
        <v>183</v>
      </c>
      <c r="BB2" s="3" t="s">
        <v>184</v>
      </c>
      <c r="BC2" s="3" t="s">
        <v>185</v>
      </c>
      <c r="BD2" s="3" t="s">
        <v>186</v>
      </c>
      <c r="BE2" s="3" t="s">
        <v>187</v>
      </c>
      <c r="BF2" s="3" t="s">
        <v>188</v>
      </c>
      <c r="BG2" s="3" t="s">
        <v>189</v>
      </c>
      <c r="BH2" s="3" t="s">
        <v>190</v>
      </c>
      <c r="BI2" s="3" t="s">
        <v>191</v>
      </c>
      <c r="BJ2" s="3" t="s">
        <v>192</v>
      </c>
      <c r="BK2" s="3" t="s">
        <v>193</v>
      </c>
      <c r="BL2" s="3" t="s">
        <v>194</v>
      </c>
      <c r="BM2" s="3" t="s">
        <v>195</v>
      </c>
      <c r="BN2" s="3" t="s">
        <v>196</v>
      </c>
      <c r="BO2" s="3" t="s">
        <v>197</v>
      </c>
      <c r="BP2" s="3" t="s">
        <v>198</v>
      </c>
      <c r="BQ2" s="3" t="s">
        <v>199</v>
      </c>
      <c r="BR2" s="3" t="s">
        <v>200</v>
      </c>
      <c r="BS2" s="3" t="s">
        <v>201</v>
      </c>
      <c r="BT2" s="3" t="s">
        <v>202</v>
      </c>
      <c r="BU2" s="3" t="s">
        <v>203</v>
      </c>
      <c r="BV2" s="3" t="s">
        <v>204</v>
      </c>
      <c r="BW2" s="3" t="s">
        <v>205</v>
      </c>
      <c r="BX2" s="3" t="s">
        <v>206</v>
      </c>
      <c r="BY2" s="3" t="s">
        <v>207</v>
      </c>
      <c r="BZ2" s="3" t="s">
        <v>208</v>
      </c>
      <c r="CA2" s="3" t="s">
        <v>209</v>
      </c>
      <c r="CB2" s="3" t="s">
        <v>210</v>
      </c>
      <c r="CC2" s="3" t="s">
        <v>211</v>
      </c>
      <c r="CD2" s="3" t="s">
        <v>212</v>
      </c>
      <c r="CE2" s="3" t="s">
        <v>213</v>
      </c>
      <c r="CF2" s="3" t="s">
        <v>214</v>
      </c>
      <c r="CG2" s="3" t="s">
        <v>215</v>
      </c>
      <c r="CH2" s="3" t="s">
        <v>216</v>
      </c>
      <c r="CI2" s="3" t="s">
        <v>217</v>
      </c>
      <c r="CJ2" s="3" t="s">
        <v>218</v>
      </c>
      <c r="CK2" s="3" t="s">
        <v>219</v>
      </c>
      <c r="CL2" s="3" t="s">
        <v>220</v>
      </c>
      <c r="CM2" s="3" t="s">
        <v>221</v>
      </c>
      <c r="CN2" s="3" t="s">
        <v>222</v>
      </c>
      <c r="CO2" s="3" t="s">
        <v>223</v>
      </c>
      <c r="CP2" s="40" t="s">
        <v>224</v>
      </c>
      <c r="CQ2" s="40" t="s">
        <v>225</v>
      </c>
      <c r="CR2" s="40" t="s">
        <v>226</v>
      </c>
      <c r="CS2" s="38" t="s">
        <v>227</v>
      </c>
    </row>
    <row r="3" spans="1:97" s="2" customFormat="1">
      <c r="A3" s="35"/>
      <c r="B3" s="35"/>
      <c r="C3" s="35"/>
      <c r="D3" s="37"/>
      <c r="E3" s="35"/>
      <c r="F3" s="35"/>
      <c r="G3" s="35"/>
      <c r="H3" s="35"/>
      <c r="I3" s="35"/>
      <c r="J3" s="35"/>
      <c r="K3" s="35"/>
      <c r="L3" s="35"/>
      <c r="M3" s="35"/>
      <c r="N3" s="35"/>
      <c r="O3" s="4" t="s">
        <v>228</v>
      </c>
      <c r="P3" s="4"/>
      <c r="Q3" s="4" t="s">
        <v>93</v>
      </c>
      <c r="R3" s="4" t="s">
        <v>229</v>
      </c>
      <c r="S3" s="4" t="s">
        <v>94</v>
      </c>
      <c r="T3" s="4" t="s">
        <v>230</v>
      </c>
      <c r="U3" s="4" t="s">
        <v>231</v>
      </c>
      <c r="V3" s="4" t="s">
        <v>232</v>
      </c>
      <c r="W3" s="4" t="s">
        <v>233</v>
      </c>
      <c r="X3" s="4" t="s">
        <v>234</v>
      </c>
      <c r="Y3" s="4" t="s">
        <v>235</v>
      </c>
      <c r="Z3" s="4" t="s">
        <v>236</v>
      </c>
      <c r="AA3" s="4" t="s">
        <v>236</v>
      </c>
      <c r="AB3" s="4" t="s">
        <v>236</v>
      </c>
      <c r="AC3" s="4" t="s">
        <v>237</v>
      </c>
      <c r="AD3" s="4" t="s">
        <v>237</v>
      </c>
      <c r="AE3" s="4" t="s">
        <v>238</v>
      </c>
      <c r="AF3" s="4" t="s">
        <v>239</v>
      </c>
      <c r="AG3" s="4" t="s">
        <v>239</v>
      </c>
      <c r="AH3" s="4" t="s">
        <v>239</v>
      </c>
      <c r="AI3" s="4" t="s">
        <v>240</v>
      </c>
      <c r="AJ3" s="4" t="s">
        <v>240</v>
      </c>
      <c r="AK3" s="4" t="s">
        <v>240</v>
      </c>
      <c r="AL3" s="4" t="s">
        <v>241</v>
      </c>
      <c r="AM3" s="4" t="s">
        <v>241</v>
      </c>
      <c r="AN3" s="4" t="s">
        <v>241</v>
      </c>
      <c r="AO3" s="4" t="s">
        <v>241</v>
      </c>
      <c r="AP3" s="4" t="s">
        <v>241</v>
      </c>
      <c r="AQ3" s="4" t="s">
        <v>241</v>
      </c>
      <c r="AR3" s="4" t="s">
        <v>241</v>
      </c>
      <c r="AS3" s="4" t="s">
        <v>241</v>
      </c>
      <c r="AT3" s="4" t="s">
        <v>242</v>
      </c>
      <c r="AU3" s="4" t="s">
        <v>242</v>
      </c>
      <c r="AV3" s="4" t="s">
        <v>242</v>
      </c>
      <c r="AW3" s="4" t="s">
        <v>243</v>
      </c>
      <c r="AX3" s="4" t="s">
        <v>109</v>
      </c>
      <c r="AY3" s="4" t="s">
        <v>94</v>
      </c>
      <c r="AZ3" s="4" t="s">
        <v>244</v>
      </c>
      <c r="BA3" s="4" t="s">
        <v>230</v>
      </c>
      <c r="BB3" s="4" t="s">
        <v>245</v>
      </c>
      <c r="BC3" s="4" t="s">
        <v>245</v>
      </c>
      <c r="BD3" s="4" t="s">
        <v>230</v>
      </c>
      <c r="BE3" s="4" t="s">
        <v>230</v>
      </c>
      <c r="BF3" s="4" t="s">
        <v>230</v>
      </c>
      <c r="BG3" s="4" t="s">
        <v>230</v>
      </c>
      <c r="BH3" s="4" t="s">
        <v>230</v>
      </c>
      <c r="BI3" s="4" t="s">
        <v>230</v>
      </c>
      <c r="BJ3" s="4" t="s">
        <v>230</v>
      </c>
      <c r="BK3" s="4" t="s">
        <v>230</v>
      </c>
      <c r="BL3" s="4" t="s">
        <v>230</v>
      </c>
      <c r="BM3" s="4" t="s">
        <v>246</v>
      </c>
      <c r="BN3" s="4" t="s">
        <v>246</v>
      </c>
      <c r="BO3" s="4" t="s">
        <v>246</v>
      </c>
      <c r="BP3" s="4" t="s">
        <v>246</v>
      </c>
      <c r="BQ3" s="4"/>
      <c r="BR3" s="4" t="s">
        <v>246</v>
      </c>
      <c r="BS3" s="4" t="s">
        <v>246</v>
      </c>
      <c r="BT3" s="4" t="s">
        <v>246</v>
      </c>
      <c r="BU3" s="4" t="s">
        <v>246</v>
      </c>
      <c r="BV3" s="4" t="s">
        <v>246</v>
      </c>
      <c r="BW3" s="4" t="s">
        <v>246</v>
      </c>
      <c r="BX3" s="4" t="s">
        <v>246</v>
      </c>
      <c r="BY3" s="4" t="s">
        <v>246</v>
      </c>
      <c r="BZ3" s="4" t="s">
        <v>246</v>
      </c>
      <c r="CA3" s="4" t="s">
        <v>247</v>
      </c>
      <c r="CB3" s="4" t="s">
        <v>247</v>
      </c>
      <c r="CC3" s="4" t="s">
        <v>247</v>
      </c>
      <c r="CD3" s="4" t="s">
        <v>247</v>
      </c>
      <c r="CE3" s="4"/>
      <c r="CF3" s="4" t="s">
        <v>247</v>
      </c>
      <c r="CG3" s="4" t="s">
        <v>247</v>
      </c>
      <c r="CH3" s="4" t="s">
        <v>247</v>
      </c>
      <c r="CI3" s="4" t="s">
        <v>247</v>
      </c>
      <c r="CJ3" s="4" t="s">
        <v>247</v>
      </c>
      <c r="CK3" s="4" t="s">
        <v>247</v>
      </c>
      <c r="CL3" s="4" t="s">
        <v>247</v>
      </c>
      <c r="CM3" s="4" t="s">
        <v>247</v>
      </c>
      <c r="CN3" s="4" t="s">
        <v>247</v>
      </c>
      <c r="CO3" s="4" t="s">
        <v>247</v>
      </c>
      <c r="CP3" s="41"/>
      <c r="CQ3" s="41"/>
      <c r="CR3" s="41"/>
      <c r="CS3" s="39"/>
    </row>
    <row r="4" spans="1:97" s="2" customFormat="1" ht="12.75">
      <c r="A4" s="2">
        <v>1</v>
      </c>
      <c r="B4" s="5" t="s">
        <v>248</v>
      </c>
      <c r="C4" s="5" t="s">
        <v>249</v>
      </c>
      <c r="D4" s="6" t="s">
        <v>250</v>
      </c>
      <c r="E4" s="5" t="s">
        <v>251</v>
      </c>
      <c r="F4" s="5" t="s">
        <v>252</v>
      </c>
      <c r="G4" s="5">
        <v>2011</v>
      </c>
      <c r="H4" s="5">
        <v>2011</v>
      </c>
      <c r="I4" s="5">
        <v>1</v>
      </c>
      <c r="J4" s="5">
        <v>1</v>
      </c>
      <c r="K4" s="5">
        <v>1</v>
      </c>
      <c r="L4" s="5">
        <v>1</v>
      </c>
      <c r="M4" s="5">
        <v>0</v>
      </c>
      <c r="N4" s="5">
        <v>0</v>
      </c>
      <c r="O4" s="6">
        <v>19.3</v>
      </c>
      <c r="P4" s="6">
        <f t="shared" ref="P4:P15" si="0">(O4-5)*12</f>
        <v>171.60000000000002</v>
      </c>
      <c r="Q4" s="6">
        <v>1700</v>
      </c>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5"/>
      <c r="AV4" s="6"/>
      <c r="AW4" s="6">
        <v>3430</v>
      </c>
      <c r="AX4" s="6"/>
      <c r="AY4" s="6"/>
      <c r="AZ4" s="6"/>
      <c r="BA4" s="6"/>
      <c r="BB4" s="6"/>
      <c r="BC4" s="6"/>
      <c r="BD4" s="6"/>
      <c r="BE4" s="6"/>
      <c r="BF4" s="6"/>
      <c r="BG4" s="6"/>
      <c r="BH4" s="6"/>
      <c r="BI4" s="6"/>
      <c r="BJ4" s="6"/>
      <c r="BK4" s="6"/>
      <c r="BL4" s="6"/>
      <c r="BM4" s="6"/>
      <c r="BN4" s="6">
        <f>47.35*0.145</f>
        <v>6.8657499999999994</v>
      </c>
      <c r="BO4" s="6">
        <f>47.35*0.6</f>
        <v>28.41</v>
      </c>
      <c r="BP4" s="6">
        <f>SUM(BM4:BO4)</f>
        <v>35.275750000000002</v>
      </c>
      <c r="BQ4" s="6">
        <f t="shared" ref="BQ4:BQ11" si="1">BU4/BP4</f>
        <v>0.34228187919463082</v>
      </c>
      <c r="BR4" s="6">
        <f>47.35*0.125</f>
        <v>5.9187500000000002</v>
      </c>
      <c r="BS4" s="6">
        <f>47.35*0.13</f>
        <v>6.1555</v>
      </c>
      <c r="BT4" s="6"/>
      <c r="BU4" s="6">
        <f>SUM(BR4:BT4)</f>
        <v>12.074249999999999</v>
      </c>
      <c r="BV4" s="6">
        <f t="shared" ref="BV4:BV11" si="2">BU4+BP4</f>
        <v>47.35</v>
      </c>
      <c r="BW4" s="6"/>
      <c r="BX4" s="6">
        <v>96.45</v>
      </c>
      <c r="BY4" s="6"/>
      <c r="BZ4" s="6">
        <f>BV4+BX4</f>
        <v>143.80000000000001</v>
      </c>
      <c r="CA4" s="6"/>
      <c r="CB4" s="6"/>
      <c r="CC4" s="6"/>
      <c r="CD4" s="6">
        <v>1.63</v>
      </c>
      <c r="CE4" s="6"/>
      <c r="CF4" s="6"/>
      <c r="CG4" s="6"/>
      <c r="CH4" s="6"/>
      <c r="CI4" s="6"/>
      <c r="CJ4" s="6"/>
      <c r="CK4" s="6"/>
      <c r="CL4" s="6"/>
      <c r="CM4" s="6"/>
      <c r="CN4" s="6"/>
      <c r="CO4" s="6"/>
      <c r="CP4" s="5" t="s">
        <v>253</v>
      </c>
      <c r="CQ4" s="5" t="s">
        <v>254</v>
      </c>
      <c r="CR4" s="7" t="s">
        <v>255</v>
      </c>
      <c r="CS4" s="8" t="s">
        <v>256</v>
      </c>
    </row>
    <row r="5" spans="1:97" s="2" customFormat="1" ht="12.75">
      <c r="A5" s="2">
        <v>2</v>
      </c>
      <c r="B5" s="2" t="s">
        <v>248</v>
      </c>
      <c r="C5" s="2" t="s">
        <v>257</v>
      </c>
      <c r="D5" s="4" t="s">
        <v>250</v>
      </c>
      <c r="E5" s="2" t="s">
        <v>251</v>
      </c>
      <c r="F5" s="2" t="s">
        <v>258</v>
      </c>
      <c r="G5" s="2">
        <v>2011</v>
      </c>
      <c r="H5" s="2">
        <v>2011</v>
      </c>
      <c r="I5" s="2">
        <v>1</v>
      </c>
      <c r="J5" s="2">
        <v>1</v>
      </c>
      <c r="K5" s="2">
        <v>1</v>
      </c>
      <c r="L5" s="2">
        <v>1</v>
      </c>
      <c r="M5" s="2">
        <v>0</v>
      </c>
      <c r="N5" s="2">
        <v>0</v>
      </c>
      <c r="O5" s="4">
        <v>19.3</v>
      </c>
      <c r="P5" s="4">
        <f t="shared" si="0"/>
        <v>171.60000000000002</v>
      </c>
      <c r="Q5" s="4">
        <v>1700</v>
      </c>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V5" s="4"/>
      <c r="AW5" s="4">
        <v>3800</v>
      </c>
      <c r="AX5" s="4"/>
      <c r="AY5" s="4"/>
      <c r="AZ5" s="4"/>
      <c r="BA5" s="4"/>
      <c r="BB5" s="4"/>
      <c r="BC5" s="4"/>
      <c r="BD5" s="4"/>
      <c r="BE5" s="4"/>
      <c r="BF5" s="4"/>
      <c r="BG5" s="4"/>
      <c r="BH5" s="4"/>
      <c r="BI5" s="4"/>
      <c r="BJ5" s="4"/>
      <c r="BK5" s="4"/>
      <c r="BL5" s="4"/>
      <c r="BM5" s="4"/>
      <c r="BN5" s="4">
        <f>51.95*0.145</f>
        <v>7.5327500000000001</v>
      </c>
      <c r="BO5" s="4">
        <f>51.95*0.6</f>
        <v>31.17</v>
      </c>
      <c r="BP5" s="4">
        <f>SUM(BM5:BO5)</f>
        <v>38.702750000000002</v>
      </c>
      <c r="BQ5" s="4">
        <f t="shared" si="1"/>
        <v>0.34228187919463088</v>
      </c>
      <c r="BR5" s="4">
        <f>51.95*0.125</f>
        <v>6.4937500000000004</v>
      </c>
      <c r="BS5" s="4">
        <f>51.95*0.13</f>
        <v>6.7535000000000007</v>
      </c>
      <c r="BT5" s="4"/>
      <c r="BU5" s="4">
        <f>SUM(BR5:BT5)</f>
        <v>13.247250000000001</v>
      </c>
      <c r="BV5" s="4">
        <f t="shared" si="2"/>
        <v>51.95</v>
      </c>
      <c r="BW5" s="4"/>
      <c r="BX5" s="4">
        <v>107.54</v>
      </c>
      <c r="BY5" s="4"/>
      <c r="BZ5" s="4">
        <f>BV5+BX5</f>
        <v>159.49</v>
      </c>
      <c r="CA5" s="4"/>
      <c r="CB5" s="4"/>
      <c r="CC5" s="4"/>
      <c r="CD5" s="4">
        <v>1.58</v>
      </c>
      <c r="CE5" s="4"/>
      <c r="CF5" s="4"/>
      <c r="CG5" s="4"/>
      <c r="CH5" s="4"/>
      <c r="CI5" s="4"/>
      <c r="CJ5" s="4"/>
      <c r="CK5" s="4"/>
      <c r="CL5" s="4"/>
      <c r="CM5" s="4"/>
      <c r="CN5" s="4"/>
      <c r="CO5" s="4"/>
      <c r="CP5" s="2" t="s">
        <v>259</v>
      </c>
      <c r="CQ5" s="2" t="s">
        <v>254</v>
      </c>
      <c r="CR5" s="7" t="s">
        <v>255</v>
      </c>
      <c r="CS5" s="9" t="s">
        <v>256</v>
      </c>
    </row>
    <row r="6" spans="1:97" s="2" customFormat="1" ht="12.75">
      <c r="A6" s="2">
        <v>3</v>
      </c>
      <c r="B6" s="2" t="s">
        <v>248</v>
      </c>
      <c r="C6" s="2" t="s">
        <v>260</v>
      </c>
      <c r="D6" s="4" t="s">
        <v>261</v>
      </c>
      <c r="E6" s="2" t="s">
        <v>262</v>
      </c>
      <c r="F6" s="2" t="s">
        <v>263</v>
      </c>
      <c r="G6" s="2">
        <v>1993</v>
      </c>
      <c r="H6" s="2">
        <v>2000</v>
      </c>
      <c r="I6" s="2">
        <v>0</v>
      </c>
      <c r="J6" s="2">
        <v>0</v>
      </c>
      <c r="K6" s="2">
        <v>0</v>
      </c>
      <c r="L6" s="2">
        <v>0</v>
      </c>
      <c r="M6" s="2">
        <v>0</v>
      </c>
      <c r="N6" s="2">
        <v>0</v>
      </c>
      <c r="O6" s="4">
        <v>12.8</v>
      </c>
      <c r="P6" s="4">
        <f t="shared" si="0"/>
        <v>93.600000000000009</v>
      </c>
      <c r="Q6" s="4">
        <v>2678.8</v>
      </c>
      <c r="R6" s="4"/>
      <c r="S6" s="4">
        <v>1100</v>
      </c>
      <c r="T6" s="4">
        <v>86.6</v>
      </c>
      <c r="U6" s="4">
        <v>1434.3</v>
      </c>
      <c r="V6" s="4">
        <v>0.91</v>
      </c>
      <c r="W6" s="4"/>
      <c r="X6" s="4"/>
      <c r="Y6" s="4">
        <v>5</v>
      </c>
      <c r="Z6" s="4"/>
      <c r="AA6" s="4"/>
      <c r="AB6" s="4"/>
      <c r="AC6" s="4"/>
      <c r="AD6" s="4"/>
      <c r="AE6" s="4"/>
      <c r="AF6" s="4"/>
      <c r="AG6" s="4"/>
      <c r="AH6" s="4"/>
      <c r="AI6" s="4"/>
      <c r="AJ6" s="4"/>
      <c r="AK6" s="4"/>
      <c r="AL6" s="4"/>
      <c r="AM6" s="4"/>
      <c r="AN6" s="4"/>
      <c r="AO6" s="4"/>
      <c r="AP6" s="4"/>
      <c r="AQ6" s="4">
        <f>(448.91/1000/1000)*10000</f>
        <v>4.4891000000000005</v>
      </c>
      <c r="AR6" s="4"/>
      <c r="AS6" s="4"/>
      <c r="AT6" s="4">
        <f>(95.75/1000/1000)*10000</f>
        <v>0.95750000000000002</v>
      </c>
      <c r="AU6" s="4">
        <f>(68.43/1000/1000)*10000</f>
        <v>0.68430000000000002</v>
      </c>
      <c r="AV6" s="4">
        <f>(27.32/1000/1000)*10000</f>
        <v>0.2732</v>
      </c>
      <c r="AW6" s="4"/>
      <c r="AX6" s="4"/>
      <c r="AY6" s="4"/>
      <c r="AZ6" s="4"/>
      <c r="BA6" s="4"/>
      <c r="BB6" s="4"/>
      <c r="BC6" s="4"/>
      <c r="BD6" s="4"/>
      <c r="BE6" s="4"/>
      <c r="BF6" s="4"/>
      <c r="BG6" s="4"/>
      <c r="BH6" s="4"/>
      <c r="BI6" s="4"/>
      <c r="BJ6" s="4"/>
      <c r="BK6" s="4"/>
      <c r="BL6" s="4"/>
      <c r="BM6" s="4"/>
      <c r="BN6" s="4"/>
      <c r="BO6" s="4"/>
      <c r="BP6" s="4">
        <f>71.6*0.5</f>
        <v>35.799999999999997</v>
      </c>
      <c r="BQ6" s="4">
        <f t="shared" si="1"/>
        <v>0.85474860335195546</v>
      </c>
      <c r="BR6" s="4"/>
      <c r="BS6" s="4"/>
      <c r="BT6" s="4"/>
      <c r="BU6" s="4">
        <f>61.2*0.5</f>
        <v>30.6</v>
      </c>
      <c r="BV6" s="4">
        <f t="shared" si="2"/>
        <v>66.400000000000006</v>
      </c>
      <c r="BW6" s="4"/>
      <c r="BX6" s="4"/>
      <c r="BY6" s="4"/>
      <c r="BZ6" s="4"/>
      <c r="CA6" s="4"/>
      <c r="CB6" s="4"/>
      <c r="CC6" s="4">
        <f>16.1281*0.5</f>
        <v>8.0640499999999999</v>
      </c>
      <c r="CD6" s="4">
        <f>(1.2989+0.2015+0.296)*0.5</f>
        <v>0.8982</v>
      </c>
      <c r="CE6" s="4"/>
      <c r="CF6" s="4">
        <f>SUM(CA6:CD6)</f>
        <v>8.9622499999999992</v>
      </c>
      <c r="CG6" s="4"/>
      <c r="CH6" s="4"/>
      <c r="CI6" s="4"/>
      <c r="CJ6" s="4"/>
      <c r="CK6" s="4"/>
      <c r="CL6" s="4"/>
      <c r="CM6" s="4"/>
      <c r="CN6" s="4"/>
      <c r="CO6" s="4"/>
      <c r="CP6" s="2" t="s">
        <v>264</v>
      </c>
      <c r="CQ6" s="2" t="s">
        <v>254</v>
      </c>
      <c r="CR6" s="10" t="s">
        <v>265</v>
      </c>
      <c r="CS6" s="9" t="s">
        <v>256</v>
      </c>
    </row>
    <row r="7" spans="1:97" s="2" customFormat="1" ht="12.75">
      <c r="A7" s="2">
        <v>4</v>
      </c>
      <c r="B7" s="2" t="s">
        <v>248</v>
      </c>
      <c r="C7" s="2" t="s">
        <v>266</v>
      </c>
      <c r="D7" s="4" t="s">
        <v>250</v>
      </c>
      <c r="E7" s="2" t="s">
        <v>251</v>
      </c>
      <c r="F7" s="2" t="s">
        <v>267</v>
      </c>
      <c r="G7" s="2">
        <v>2011</v>
      </c>
      <c r="H7" s="2">
        <v>2011</v>
      </c>
      <c r="I7" s="2">
        <v>1</v>
      </c>
      <c r="J7" s="2">
        <v>1</v>
      </c>
      <c r="K7" s="2">
        <v>1</v>
      </c>
      <c r="L7" s="2">
        <v>1</v>
      </c>
      <c r="M7" s="2">
        <v>0</v>
      </c>
      <c r="N7" s="2">
        <v>0</v>
      </c>
      <c r="O7" s="4">
        <v>19.3</v>
      </c>
      <c r="P7" s="4">
        <f t="shared" si="0"/>
        <v>171.60000000000002</v>
      </c>
      <c r="Q7" s="4">
        <v>1700</v>
      </c>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V7" s="4"/>
      <c r="AW7" s="4">
        <v>3330</v>
      </c>
      <c r="AX7" s="4"/>
      <c r="AY7" s="4"/>
      <c r="AZ7" s="4"/>
      <c r="BA7" s="4"/>
      <c r="BB7" s="4"/>
      <c r="BC7" s="4"/>
      <c r="BD7" s="4"/>
      <c r="BE7" s="4"/>
      <c r="BF7" s="4"/>
      <c r="BG7" s="4"/>
      <c r="BH7" s="4"/>
      <c r="BI7" s="4"/>
      <c r="BJ7" s="4"/>
      <c r="BK7" s="4"/>
      <c r="BL7" s="4"/>
      <c r="BM7" s="4"/>
      <c r="BN7" s="4">
        <f>58.7*0.145</f>
        <v>8.5114999999999998</v>
      </c>
      <c r="BO7" s="4">
        <f>58.7*0.6</f>
        <v>35.22</v>
      </c>
      <c r="BP7" s="4">
        <f>SUM(BM7:BO7)</f>
        <v>43.731499999999997</v>
      </c>
      <c r="BQ7" s="4">
        <f t="shared" si="1"/>
        <v>0.34228187919463093</v>
      </c>
      <c r="BR7" s="4">
        <f>58.7*0.125</f>
        <v>7.3375000000000004</v>
      </c>
      <c r="BS7" s="4">
        <f>58.7*0.13</f>
        <v>7.6310000000000002</v>
      </c>
      <c r="BT7" s="4"/>
      <c r="BU7" s="4">
        <f>SUM(BR7:BT7)</f>
        <v>14.968500000000001</v>
      </c>
      <c r="BV7" s="4">
        <f t="shared" si="2"/>
        <v>58.699999999999996</v>
      </c>
      <c r="BW7" s="4"/>
      <c r="BX7" s="4">
        <v>79.14</v>
      </c>
      <c r="BY7" s="4"/>
      <c r="BZ7" s="4">
        <f>BV7+BX7</f>
        <v>137.84</v>
      </c>
      <c r="CA7" s="4"/>
      <c r="CB7" s="4"/>
      <c r="CC7" s="4"/>
      <c r="CD7" s="4">
        <v>1.71</v>
      </c>
      <c r="CE7" s="4"/>
      <c r="CF7" s="4"/>
      <c r="CG7" s="4"/>
      <c r="CH7" s="4"/>
      <c r="CI7" s="4"/>
      <c r="CJ7" s="4"/>
      <c r="CK7" s="4"/>
      <c r="CL7" s="4"/>
      <c r="CM7" s="4"/>
      <c r="CN7" s="4"/>
      <c r="CO7" s="4"/>
      <c r="CP7" s="2" t="s">
        <v>253</v>
      </c>
      <c r="CQ7" s="2" t="s">
        <v>254</v>
      </c>
      <c r="CR7" s="10" t="s">
        <v>268</v>
      </c>
      <c r="CS7" s="9" t="s">
        <v>256</v>
      </c>
    </row>
    <row r="8" spans="1:97" s="2" customFormat="1" ht="12.75">
      <c r="A8" s="2">
        <v>5</v>
      </c>
      <c r="B8" s="2" t="s">
        <v>248</v>
      </c>
      <c r="C8" s="2" t="s">
        <v>269</v>
      </c>
      <c r="D8" s="4" t="s">
        <v>261</v>
      </c>
      <c r="E8" s="2" t="s">
        <v>270</v>
      </c>
      <c r="F8" s="2" t="s">
        <v>271</v>
      </c>
      <c r="G8" s="2">
        <v>1995</v>
      </c>
      <c r="H8" s="2">
        <v>2008</v>
      </c>
      <c r="I8" s="2">
        <v>1</v>
      </c>
      <c r="J8" s="2">
        <v>1</v>
      </c>
      <c r="K8" s="2">
        <v>1</v>
      </c>
      <c r="L8" s="2">
        <v>1</v>
      </c>
      <c r="M8" s="2">
        <v>0</v>
      </c>
      <c r="N8" s="2">
        <v>0</v>
      </c>
      <c r="O8" s="4">
        <v>23</v>
      </c>
      <c r="P8" s="4">
        <f t="shared" si="0"/>
        <v>216</v>
      </c>
      <c r="Q8" s="4">
        <v>2000</v>
      </c>
      <c r="R8" s="4"/>
      <c r="S8" s="4">
        <v>800</v>
      </c>
      <c r="T8" s="4"/>
      <c r="U8" s="4"/>
      <c r="V8" s="4"/>
      <c r="W8" s="4"/>
      <c r="X8" s="4"/>
      <c r="Y8" s="4"/>
      <c r="Z8" s="4"/>
      <c r="AA8" s="4"/>
      <c r="AB8" s="4"/>
      <c r="AC8" s="4"/>
      <c r="AD8" s="4"/>
      <c r="AE8" s="4"/>
      <c r="AF8" s="4"/>
      <c r="AG8" s="4"/>
      <c r="AH8" s="4"/>
      <c r="AI8" s="4"/>
      <c r="AJ8" s="4"/>
      <c r="AK8" s="4"/>
      <c r="AL8" s="4"/>
      <c r="AM8" s="4"/>
      <c r="AN8" s="4"/>
      <c r="AO8" s="4"/>
      <c r="AP8" s="4"/>
      <c r="AQ8" s="4"/>
      <c r="AR8" s="4"/>
      <c r="AS8" s="4"/>
      <c r="AT8" s="4"/>
      <c r="AW8" s="4">
        <v>2566.67</v>
      </c>
      <c r="AX8" s="4">
        <f>(10.5+13.5)/2</f>
        <v>12</v>
      </c>
      <c r="AY8" s="4"/>
      <c r="AZ8" s="4">
        <f>(AX8/2)^2*PI()*AW8/10000</f>
        <v>29.028353818281531</v>
      </c>
      <c r="BA8" s="4"/>
      <c r="BB8" s="4"/>
      <c r="BC8" s="4"/>
      <c r="BD8" s="4"/>
      <c r="BE8" s="4"/>
      <c r="BF8" s="4"/>
      <c r="BG8" s="4"/>
      <c r="BH8" s="4"/>
      <c r="BI8" s="4"/>
      <c r="BJ8" s="4"/>
      <c r="BK8" s="4"/>
      <c r="BL8" s="4"/>
      <c r="BM8" s="4">
        <f>4.825*0.5</f>
        <v>2.4125000000000001</v>
      </c>
      <c r="BN8" s="4">
        <f>9.3586*0.5</f>
        <v>4.6792999999999996</v>
      </c>
      <c r="BO8" s="4">
        <f>58.5427*0.5</f>
        <v>29.271350000000002</v>
      </c>
      <c r="BP8" s="4">
        <f>SUM(BM8:BO8)</f>
        <v>36.363150000000005</v>
      </c>
      <c r="BQ8" s="4">
        <f t="shared" si="1"/>
        <v>0.25643267978709211</v>
      </c>
      <c r="BR8" s="4">
        <f>9.7892*0.5</f>
        <v>4.8945999999999996</v>
      </c>
      <c r="BS8" s="4"/>
      <c r="BT8" s="4">
        <f>8.8602*0.5</f>
        <v>4.4301000000000004</v>
      </c>
      <c r="BU8" s="4">
        <f>SUM(BR8:BT8)</f>
        <v>9.3247</v>
      </c>
      <c r="BV8" s="4">
        <f t="shared" si="2"/>
        <v>45.687850000000005</v>
      </c>
      <c r="BW8" s="4"/>
      <c r="BX8" s="4"/>
      <c r="BY8" s="4"/>
      <c r="BZ8" s="4"/>
      <c r="CA8" s="4"/>
      <c r="CB8" s="4"/>
      <c r="CC8" s="4"/>
      <c r="CD8" s="4"/>
      <c r="CE8" s="4"/>
      <c r="CF8" s="4"/>
      <c r="CG8" s="4"/>
      <c r="CH8" s="4"/>
      <c r="CI8" s="4"/>
      <c r="CJ8" s="4"/>
      <c r="CK8" s="4"/>
      <c r="CL8" s="4"/>
      <c r="CM8" s="4"/>
      <c r="CN8" s="4"/>
      <c r="CO8" s="4"/>
      <c r="CP8" s="2" t="s">
        <v>272</v>
      </c>
      <c r="CQ8" s="2" t="s">
        <v>254</v>
      </c>
      <c r="CR8" s="10" t="s">
        <v>273</v>
      </c>
      <c r="CS8" s="9" t="s">
        <v>256</v>
      </c>
    </row>
    <row r="9" spans="1:97" s="2" customFormat="1">
      <c r="A9" s="2">
        <v>6</v>
      </c>
      <c r="B9" s="2" t="s">
        <v>248</v>
      </c>
      <c r="C9" s="2" t="s">
        <v>274</v>
      </c>
      <c r="D9" s="4" t="s">
        <v>261</v>
      </c>
      <c r="E9" s="2" t="s">
        <v>275</v>
      </c>
      <c r="F9" s="2" t="s">
        <v>276</v>
      </c>
      <c r="G9" s="2">
        <v>2007</v>
      </c>
      <c r="H9" s="2">
        <v>2008</v>
      </c>
      <c r="I9" s="2">
        <v>1</v>
      </c>
      <c r="J9" s="2">
        <v>1</v>
      </c>
      <c r="K9" s="2">
        <v>1</v>
      </c>
      <c r="L9" s="2">
        <v>1</v>
      </c>
      <c r="M9" s="2">
        <v>0</v>
      </c>
      <c r="N9" s="2">
        <v>0</v>
      </c>
      <c r="O9" s="4">
        <v>23</v>
      </c>
      <c r="P9" s="4">
        <f t="shared" si="0"/>
        <v>216</v>
      </c>
      <c r="Q9" s="4">
        <v>2000</v>
      </c>
      <c r="R9" s="4"/>
      <c r="S9" s="4">
        <f>(580+1604.8)/2</f>
        <v>1092.4000000000001</v>
      </c>
      <c r="T9" s="4">
        <v>80</v>
      </c>
      <c r="U9" s="4"/>
      <c r="V9" s="4"/>
      <c r="W9" s="4"/>
      <c r="X9" s="4"/>
      <c r="Y9" s="4"/>
      <c r="Z9" s="4"/>
      <c r="AA9" s="4"/>
      <c r="AB9" s="4"/>
      <c r="AC9" s="4"/>
      <c r="AD9" s="4"/>
      <c r="AE9" s="4"/>
      <c r="AF9" s="4"/>
      <c r="AG9" s="4"/>
      <c r="AH9" s="4"/>
      <c r="AI9" s="4"/>
      <c r="AJ9" s="4"/>
      <c r="AK9" s="4"/>
      <c r="AL9" s="4"/>
      <c r="AM9" s="4"/>
      <c r="AN9" s="4"/>
      <c r="AO9" s="4"/>
      <c r="AP9" s="4"/>
      <c r="AQ9" s="4"/>
      <c r="AR9" s="4"/>
      <c r="AS9" s="4"/>
      <c r="AT9" s="4"/>
      <c r="AW9" s="4">
        <v>2770.33</v>
      </c>
      <c r="AX9" s="4">
        <f>(10.5+12.5)/2</f>
        <v>11.5</v>
      </c>
      <c r="AY9" s="4"/>
      <c r="AZ9" s="4">
        <f>(AX9/2)^2*PI()*AW9/10000</f>
        <v>28.775114943214181</v>
      </c>
      <c r="BA9" s="4"/>
      <c r="BB9" s="4"/>
      <c r="BC9" s="4"/>
      <c r="BD9" s="4"/>
      <c r="BE9" s="4"/>
      <c r="BF9" s="4"/>
      <c r="BG9" s="4"/>
      <c r="BH9" s="4"/>
      <c r="BI9" s="4"/>
      <c r="BJ9" s="4"/>
      <c r="BK9" s="4"/>
      <c r="BL9" s="4"/>
      <c r="BM9" s="4">
        <f>6.537*0.5</f>
        <v>3.2685</v>
      </c>
      <c r="BN9" s="4">
        <f>12.664*0.5</f>
        <v>6.3319999999999999</v>
      </c>
      <c r="BO9" s="4">
        <f>85.905*0.5</f>
        <v>42.952500000000001</v>
      </c>
      <c r="BP9" s="4">
        <f>SUM(BM9:BO9)</f>
        <v>52.552999999999997</v>
      </c>
      <c r="BQ9" s="4">
        <f t="shared" si="1"/>
        <v>0.36447015393983223</v>
      </c>
      <c r="BR9" s="4">
        <f>(13.56+3.552)*0.5</f>
        <v>8.5560000000000009</v>
      </c>
      <c r="BS9" s="4">
        <f>9.17*0.5</f>
        <v>4.585</v>
      </c>
      <c r="BT9" s="4">
        <f>12.026*0.5</f>
        <v>6.0129999999999999</v>
      </c>
      <c r="BU9" s="4">
        <f>SUM(BR9:BT9)</f>
        <v>19.154000000000003</v>
      </c>
      <c r="BV9" s="4">
        <f t="shared" si="2"/>
        <v>71.706999999999994</v>
      </c>
      <c r="BW9" s="4"/>
      <c r="BX9" s="4"/>
      <c r="BY9" s="4"/>
      <c r="BZ9" s="4"/>
      <c r="CA9" s="4">
        <f>5.886*0.5</f>
        <v>2.9430000000000001</v>
      </c>
      <c r="CB9" s="4">
        <f>5.53581*0.5</f>
        <v>2.7679049999999998</v>
      </c>
      <c r="CC9" s="4">
        <f>35.28824*0.5</f>
        <v>17.644120000000001</v>
      </c>
      <c r="CD9" s="4"/>
      <c r="CE9" s="4"/>
      <c r="CF9" s="4">
        <f>SUM(CA9:CD9)</f>
        <v>23.355025000000001</v>
      </c>
      <c r="CG9" s="4">
        <f>(3.18106+1.45924)*0.5</f>
        <v>2.3201499999999999</v>
      </c>
      <c r="CH9" s="4">
        <f>3.76702*0.5</f>
        <v>1.88351</v>
      </c>
      <c r="CI9" s="4">
        <f>4.66874*0.5</f>
        <v>2.3343699999999998</v>
      </c>
      <c r="CJ9" s="4">
        <f>SUM(CG9:CI9)</f>
        <v>6.53803</v>
      </c>
      <c r="CK9" s="4">
        <f>CJ9+CF9</f>
        <v>29.893055</v>
      </c>
      <c r="CL9" s="4"/>
      <c r="CM9" s="4"/>
      <c r="CN9" s="4"/>
      <c r="CO9" s="4"/>
      <c r="CP9" s="2" t="s">
        <v>277</v>
      </c>
      <c r="CQ9" s="2" t="s">
        <v>254</v>
      </c>
      <c r="CR9" s="10" t="s">
        <v>278</v>
      </c>
      <c r="CS9" s="9" t="s">
        <v>256</v>
      </c>
    </row>
    <row r="10" spans="1:97" s="2" customFormat="1" ht="12.75">
      <c r="A10" s="2">
        <v>7</v>
      </c>
      <c r="B10" s="2" t="s">
        <v>248</v>
      </c>
      <c r="C10" s="2" t="s">
        <v>269</v>
      </c>
      <c r="D10" s="4" t="s">
        <v>261</v>
      </c>
      <c r="E10" s="2" t="s">
        <v>279</v>
      </c>
      <c r="F10" s="2" t="s">
        <v>280</v>
      </c>
      <c r="G10" s="2">
        <v>1995</v>
      </c>
      <c r="H10" s="2">
        <v>2008</v>
      </c>
      <c r="I10" s="2">
        <v>1</v>
      </c>
      <c r="J10" s="2">
        <v>1</v>
      </c>
      <c r="K10" s="2">
        <v>1</v>
      </c>
      <c r="L10" s="2">
        <v>1</v>
      </c>
      <c r="M10" s="2">
        <v>0</v>
      </c>
      <c r="N10" s="2">
        <v>0</v>
      </c>
      <c r="O10" s="4">
        <v>23</v>
      </c>
      <c r="P10" s="4">
        <f t="shared" si="0"/>
        <v>216</v>
      </c>
      <c r="Q10" s="4">
        <v>2000</v>
      </c>
      <c r="R10" s="4"/>
      <c r="S10" s="4">
        <v>800</v>
      </c>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W10" s="4">
        <v>2833.33</v>
      </c>
      <c r="AX10" s="4">
        <f>(10.5+13.5)/2</f>
        <v>12</v>
      </c>
      <c r="AY10" s="4"/>
      <c r="AZ10" s="4">
        <f>(AX10/2)^2*PI()*AW10/10000</f>
        <v>32.044207367504043</v>
      </c>
      <c r="BA10" s="4"/>
      <c r="BB10" s="4"/>
      <c r="BC10" s="4"/>
      <c r="BD10" s="4"/>
      <c r="BE10" s="4"/>
      <c r="BF10" s="4"/>
      <c r="BG10" s="4"/>
      <c r="BH10" s="4"/>
      <c r="BI10" s="4"/>
      <c r="BJ10" s="4"/>
      <c r="BK10" s="4"/>
      <c r="BL10" s="4"/>
      <c r="BM10" s="4">
        <f>5.1296*0.5</f>
        <v>2.5648</v>
      </c>
      <c r="BN10" s="4">
        <f>9.8915*0.5</f>
        <v>4.9457500000000003</v>
      </c>
      <c r="BO10" s="4">
        <f>66.7851*0.5</f>
        <v>33.39255</v>
      </c>
      <c r="BP10" s="4">
        <f>SUM(BM10:BO10)</f>
        <v>40.903100000000002</v>
      </c>
      <c r="BQ10" s="4">
        <f t="shared" si="1"/>
        <v>0.23887798235341573</v>
      </c>
      <c r="BR10" s="4">
        <f>10.1972*0.5</f>
        <v>5.0986000000000002</v>
      </c>
      <c r="BS10" s="4"/>
      <c r="BT10" s="4">
        <f>9.3445*0.5</f>
        <v>4.67225</v>
      </c>
      <c r="BU10" s="4">
        <f>SUM(BR10:BT10)</f>
        <v>9.7708499999999994</v>
      </c>
      <c r="BV10" s="4">
        <f t="shared" si="2"/>
        <v>50.673950000000005</v>
      </c>
      <c r="BW10" s="4"/>
      <c r="BX10" s="4"/>
      <c r="BY10" s="4"/>
      <c r="BZ10" s="4"/>
      <c r="CA10" s="4"/>
      <c r="CB10" s="4"/>
      <c r="CC10" s="4"/>
      <c r="CD10" s="4"/>
      <c r="CE10" s="4"/>
      <c r="CF10" s="4"/>
      <c r="CG10" s="4"/>
      <c r="CH10" s="4"/>
      <c r="CI10" s="4"/>
      <c r="CJ10" s="4"/>
      <c r="CK10" s="4"/>
      <c r="CL10" s="4"/>
      <c r="CM10" s="4"/>
      <c r="CN10" s="4"/>
      <c r="CO10" s="4"/>
      <c r="CP10" s="2" t="s">
        <v>272</v>
      </c>
      <c r="CQ10" s="2" t="s">
        <v>254</v>
      </c>
      <c r="CR10" s="10" t="s">
        <v>273</v>
      </c>
      <c r="CS10" s="9" t="s">
        <v>256</v>
      </c>
    </row>
    <row r="11" spans="1:97" s="2" customFormat="1" ht="12.75">
      <c r="A11" s="2">
        <v>8</v>
      </c>
      <c r="B11" s="2" t="s">
        <v>248</v>
      </c>
      <c r="C11" s="2" t="s">
        <v>274</v>
      </c>
      <c r="D11" s="4" t="s">
        <v>261</v>
      </c>
      <c r="E11" s="2" t="s">
        <v>281</v>
      </c>
      <c r="F11" s="2" t="s">
        <v>282</v>
      </c>
      <c r="G11" s="2">
        <v>1995</v>
      </c>
      <c r="H11" s="2">
        <v>2008</v>
      </c>
      <c r="I11" s="2">
        <v>1</v>
      </c>
      <c r="J11" s="2">
        <v>0</v>
      </c>
      <c r="K11" s="2">
        <v>1</v>
      </c>
      <c r="L11" s="2">
        <v>1</v>
      </c>
      <c r="M11" s="2">
        <v>0</v>
      </c>
      <c r="N11" s="2">
        <v>0</v>
      </c>
      <c r="O11" s="4">
        <v>23</v>
      </c>
      <c r="P11" s="4">
        <f t="shared" si="0"/>
        <v>216</v>
      </c>
      <c r="Q11" s="4">
        <v>2000</v>
      </c>
      <c r="R11" s="4"/>
      <c r="S11" s="4">
        <v>800</v>
      </c>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W11" s="4">
        <v>2629</v>
      </c>
      <c r="AX11" s="4">
        <f>(8.5+11.5)/2</f>
        <v>10</v>
      </c>
      <c r="AY11" s="4"/>
      <c r="AZ11" s="4">
        <f>(AX11/2)^2*PI()*AW11/10000</f>
        <v>20.648117715718918</v>
      </c>
      <c r="BA11" s="4"/>
      <c r="BB11" s="4"/>
      <c r="BC11" s="4"/>
      <c r="BD11" s="4"/>
      <c r="BE11" s="4"/>
      <c r="BF11" s="4"/>
      <c r="BG11" s="4"/>
      <c r="BH11" s="4"/>
      <c r="BI11" s="4"/>
      <c r="BJ11" s="4"/>
      <c r="BK11" s="4"/>
      <c r="BL11" s="4"/>
      <c r="BM11" s="4">
        <f>3.0425*0.5</f>
        <v>1.52125</v>
      </c>
      <c r="BN11" s="4">
        <f>5.962*0.5</f>
        <v>2.9809999999999999</v>
      </c>
      <c r="BO11" s="4">
        <f>39.9792*0.5</f>
        <v>19.989599999999999</v>
      </c>
      <c r="BP11" s="4">
        <f>SUM(BM11:BO11)</f>
        <v>24.491849999999999</v>
      </c>
      <c r="BQ11" s="4">
        <f t="shared" si="1"/>
        <v>0.23912648493274294</v>
      </c>
      <c r="BR11" s="4">
        <f>6.2232*0.5</f>
        <v>3.1116000000000001</v>
      </c>
      <c r="BS11" s="4"/>
      <c r="BT11" s="4">
        <f>5.4901*0.5</f>
        <v>2.74505</v>
      </c>
      <c r="BU11" s="4">
        <f>SUM(BR11:BT11)</f>
        <v>5.8566500000000001</v>
      </c>
      <c r="BV11" s="4">
        <f t="shared" si="2"/>
        <v>30.348500000000001</v>
      </c>
      <c r="BW11" s="4"/>
      <c r="BX11" s="4"/>
      <c r="BY11" s="4"/>
      <c r="BZ11" s="4"/>
      <c r="CA11" s="4"/>
      <c r="CB11" s="4"/>
      <c r="CC11" s="4"/>
      <c r="CD11" s="4"/>
      <c r="CE11" s="4"/>
      <c r="CF11" s="4"/>
      <c r="CG11" s="4"/>
      <c r="CH11" s="4"/>
      <c r="CI11" s="4"/>
      <c r="CJ11" s="4"/>
      <c r="CK11" s="4"/>
      <c r="CL11" s="4"/>
      <c r="CM11" s="4"/>
      <c r="CN11" s="4"/>
      <c r="CO11" s="4"/>
      <c r="CP11" s="2" t="s">
        <v>272</v>
      </c>
      <c r="CQ11" s="2" t="s">
        <v>254</v>
      </c>
      <c r="CR11" s="10" t="s">
        <v>273</v>
      </c>
      <c r="CS11" s="9" t="s">
        <v>256</v>
      </c>
    </row>
    <row r="12" spans="1:97" s="2" customFormat="1" ht="12.75">
      <c r="A12" s="2">
        <v>9</v>
      </c>
      <c r="B12" s="2" t="s">
        <v>248</v>
      </c>
      <c r="C12" s="2" t="s">
        <v>283</v>
      </c>
      <c r="D12" s="4" t="s">
        <v>250</v>
      </c>
      <c r="E12" s="2" t="s">
        <v>284</v>
      </c>
      <c r="F12" s="2" t="s">
        <v>285</v>
      </c>
      <c r="G12" s="2">
        <v>2000</v>
      </c>
      <c r="H12" s="2">
        <v>2011</v>
      </c>
      <c r="I12" s="2">
        <v>1</v>
      </c>
      <c r="J12" s="2">
        <v>0</v>
      </c>
      <c r="K12" s="2">
        <v>1</v>
      </c>
      <c r="L12" s="2">
        <v>1</v>
      </c>
      <c r="M12" s="2">
        <v>0</v>
      </c>
      <c r="N12" s="2">
        <v>0</v>
      </c>
      <c r="O12" s="4">
        <v>16.899999999999999</v>
      </c>
      <c r="P12" s="4">
        <f t="shared" si="0"/>
        <v>142.79999999999998</v>
      </c>
      <c r="Q12" s="4">
        <f>(1251+1608)/2</f>
        <v>1429.5</v>
      </c>
      <c r="R12" s="4"/>
      <c r="S12" s="4">
        <v>112</v>
      </c>
      <c r="T12" s="4"/>
      <c r="U12" s="4"/>
      <c r="V12" s="4"/>
      <c r="W12" s="4"/>
      <c r="X12" s="4"/>
      <c r="Y12" s="4"/>
      <c r="Z12" s="4">
        <v>2.0299999999999998</v>
      </c>
      <c r="AA12" s="4">
        <v>0.37</v>
      </c>
      <c r="AB12" s="4">
        <v>15</v>
      </c>
      <c r="AC12" s="4"/>
      <c r="AD12" s="4"/>
      <c r="AE12" s="4"/>
      <c r="AF12" s="4"/>
      <c r="AG12" s="4"/>
      <c r="AH12" s="4"/>
      <c r="AI12" s="4"/>
      <c r="AJ12" s="4"/>
      <c r="AK12" s="4"/>
      <c r="AL12" s="4"/>
      <c r="AM12" s="4"/>
      <c r="AN12" s="4"/>
      <c r="AO12" s="4"/>
      <c r="AP12" s="4"/>
      <c r="AQ12" s="4"/>
      <c r="AR12" s="4"/>
      <c r="AS12" s="4"/>
      <c r="AT12" s="4"/>
      <c r="AV12" s="4"/>
      <c r="AW12" s="4"/>
      <c r="AX12" s="4">
        <v>8.3000000000000007</v>
      </c>
      <c r="AY12" s="4">
        <v>13.1</v>
      </c>
      <c r="AZ12" s="4"/>
      <c r="BA12" s="4"/>
      <c r="BB12" s="4"/>
      <c r="BC12" s="4"/>
      <c r="BD12" s="4"/>
      <c r="BE12" s="4"/>
      <c r="BF12" s="4"/>
      <c r="BG12" s="4"/>
      <c r="BH12" s="4"/>
      <c r="BI12" s="4"/>
      <c r="BJ12" s="4"/>
      <c r="BK12" s="4">
        <f>25.86/1000*100</f>
        <v>2.5860000000000003</v>
      </c>
      <c r="BL12" s="4">
        <f>25.86/1000*100</f>
        <v>2.5860000000000003</v>
      </c>
      <c r="BM12" s="4"/>
      <c r="BN12" s="4"/>
      <c r="BO12" s="4"/>
      <c r="BP12" s="4">
        <f>4006.1*10000/1000/1000*0.5</f>
        <v>20.0305</v>
      </c>
      <c r="BQ12" s="4"/>
      <c r="BR12" s="4">
        <f>(419.2+249.3)*10000/1000/1000*0.5</f>
        <v>3.3424999999999998</v>
      </c>
      <c r="BS12" s="4"/>
      <c r="BT12" s="4"/>
      <c r="BU12" s="4"/>
      <c r="BV12" s="4"/>
      <c r="BW12" s="4"/>
      <c r="BX12" s="4"/>
      <c r="BY12" s="4"/>
      <c r="BZ12" s="4"/>
      <c r="CA12" s="4"/>
      <c r="CB12" s="4"/>
      <c r="CC12" s="4"/>
      <c r="CD12" s="4">
        <f>384.9*10000/1000/1000*0.5</f>
        <v>1.9245000000000001</v>
      </c>
      <c r="CE12" s="4"/>
      <c r="CF12" s="4"/>
      <c r="CG12" s="4"/>
      <c r="CH12" s="4"/>
      <c r="CI12" s="4"/>
      <c r="CJ12" s="4"/>
      <c r="CK12" s="4"/>
      <c r="CL12" s="4"/>
      <c r="CM12" s="4"/>
      <c r="CN12" s="4"/>
      <c r="CO12" s="4"/>
      <c r="CP12" s="2" t="s">
        <v>286</v>
      </c>
      <c r="CQ12" s="2" t="s">
        <v>254</v>
      </c>
      <c r="CR12" s="10" t="s">
        <v>287</v>
      </c>
      <c r="CS12" s="9" t="s">
        <v>256</v>
      </c>
    </row>
    <row r="13" spans="1:97" s="2" customFormat="1" ht="12.75">
      <c r="A13" s="2">
        <v>10</v>
      </c>
      <c r="B13" s="2" t="s">
        <v>248</v>
      </c>
      <c r="C13" s="2" t="s">
        <v>283</v>
      </c>
      <c r="D13" s="4" t="s">
        <v>250</v>
      </c>
      <c r="E13" s="2" t="s">
        <v>288</v>
      </c>
      <c r="F13" s="2" t="s">
        <v>289</v>
      </c>
      <c r="G13" s="2">
        <v>2000</v>
      </c>
      <c r="H13" s="2">
        <v>2011</v>
      </c>
      <c r="I13" s="2">
        <v>1</v>
      </c>
      <c r="J13" s="2">
        <v>0</v>
      </c>
      <c r="K13" s="2">
        <v>1</v>
      </c>
      <c r="L13" s="2">
        <v>1</v>
      </c>
      <c r="M13" s="2">
        <v>0</v>
      </c>
      <c r="N13" s="2">
        <v>0</v>
      </c>
      <c r="O13" s="4">
        <v>16.899999999999999</v>
      </c>
      <c r="P13" s="4">
        <f t="shared" si="0"/>
        <v>142.79999999999998</v>
      </c>
      <c r="Q13" s="4">
        <f>(1251+1608)/2</f>
        <v>1429.5</v>
      </c>
      <c r="R13" s="4"/>
      <c r="S13" s="4">
        <v>168</v>
      </c>
      <c r="T13" s="4"/>
      <c r="U13" s="4"/>
      <c r="V13" s="4"/>
      <c r="W13" s="4"/>
      <c r="X13" s="4"/>
      <c r="Y13" s="4"/>
      <c r="Z13" s="4">
        <v>1.1200000000000001</v>
      </c>
      <c r="AA13" s="4">
        <v>0.31</v>
      </c>
      <c r="AB13" s="4">
        <v>12.7</v>
      </c>
      <c r="AC13" s="4"/>
      <c r="AD13" s="4"/>
      <c r="AE13" s="4"/>
      <c r="AF13" s="4"/>
      <c r="AG13" s="4"/>
      <c r="AH13" s="4"/>
      <c r="AI13" s="4"/>
      <c r="AJ13" s="4"/>
      <c r="AK13" s="4"/>
      <c r="AL13" s="4"/>
      <c r="AM13" s="4"/>
      <c r="AN13" s="4"/>
      <c r="AO13" s="4"/>
      <c r="AP13" s="4"/>
      <c r="AQ13" s="4"/>
      <c r="AR13" s="4"/>
      <c r="AS13" s="4"/>
      <c r="AT13" s="4"/>
      <c r="AV13" s="4"/>
      <c r="AW13" s="4"/>
      <c r="AX13" s="4">
        <v>8.8000000000000007</v>
      </c>
      <c r="AY13" s="4">
        <v>12.3</v>
      </c>
      <c r="AZ13" s="4"/>
      <c r="BA13" s="4"/>
      <c r="BB13" s="4"/>
      <c r="BC13" s="4"/>
      <c r="BD13" s="4"/>
      <c r="BE13" s="4"/>
      <c r="BF13" s="4"/>
      <c r="BG13" s="4"/>
      <c r="BH13" s="4"/>
      <c r="BI13" s="4"/>
      <c r="BJ13" s="4"/>
      <c r="BK13" s="4">
        <f>23.72/1000*100</f>
        <v>2.3719999999999999</v>
      </c>
      <c r="BL13" s="4">
        <f>23.72/1000*100</f>
        <v>2.3719999999999999</v>
      </c>
      <c r="BM13" s="4"/>
      <c r="BN13" s="4"/>
      <c r="BO13" s="4"/>
      <c r="BP13" s="4">
        <f>3421.4*10000/1000/1000*0.5</f>
        <v>17.106999999999999</v>
      </c>
      <c r="BQ13" s="4"/>
      <c r="BR13" s="4">
        <f>(638.7+372.1)*10000/1000/1000*0.5</f>
        <v>5.0540000000000003</v>
      </c>
      <c r="BS13" s="4"/>
      <c r="BT13" s="4"/>
      <c r="BU13" s="4"/>
      <c r="BV13" s="4"/>
      <c r="BW13" s="4"/>
      <c r="BX13" s="4"/>
      <c r="BY13" s="4"/>
      <c r="BZ13" s="4"/>
      <c r="CA13" s="4"/>
      <c r="CB13" s="4"/>
      <c r="CC13" s="4"/>
      <c r="CD13" s="4">
        <f>246.1*10000/1000/1000*0.5</f>
        <v>1.2304999999999999</v>
      </c>
      <c r="CE13" s="4"/>
      <c r="CF13" s="4"/>
      <c r="CG13" s="4"/>
      <c r="CH13" s="4"/>
      <c r="CI13" s="4"/>
      <c r="CJ13" s="4"/>
      <c r="CK13" s="4"/>
      <c r="CL13" s="4"/>
      <c r="CM13" s="4"/>
      <c r="CN13" s="4"/>
      <c r="CO13" s="4"/>
      <c r="CP13" s="2" t="s">
        <v>290</v>
      </c>
      <c r="CQ13" s="2" t="s">
        <v>254</v>
      </c>
      <c r="CR13" s="10" t="s">
        <v>287</v>
      </c>
      <c r="CS13" s="9" t="s">
        <v>256</v>
      </c>
    </row>
    <row r="14" spans="1:97" s="2" customFormat="1" ht="12.75">
      <c r="A14" s="2">
        <v>11</v>
      </c>
      <c r="B14" s="2" t="s">
        <v>248</v>
      </c>
      <c r="C14" s="2" t="s">
        <v>291</v>
      </c>
      <c r="D14" s="4" t="s">
        <v>250</v>
      </c>
      <c r="E14" s="2" t="s">
        <v>292</v>
      </c>
      <c r="F14" s="2" t="s">
        <v>293</v>
      </c>
      <c r="G14" s="2">
        <v>2000</v>
      </c>
      <c r="H14" s="2">
        <v>2011</v>
      </c>
      <c r="I14" s="2">
        <v>0</v>
      </c>
      <c r="J14" s="2">
        <v>0</v>
      </c>
      <c r="K14" s="2">
        <v>0</v>
      </c>
      <c r="L14" s="2">
        <v>0</v>
      </c>
      <c r="M14" s="2">
        <v>0</v>
      </c>
      <c r="N14" s="2">
        <v>0</v>
      </c>
      <c r="O14" s="4">
        <v>16.899999999999999</v>
      </c>
      <c r="P14" s="4">
        <f t="shared" si="0"/>
        <v>142.79999999999998</v>
      </c>
      <c r="Q14" s="4">
        <f>(1251+1608)/2</f>
        <v>1429.5</v>
      </c>
      <c r="R14" s="4"/>
      <c r="S14" s="4">
        <v>161</v>
      </c>
      <c r="T14" s="4"/>
      <c r="U14" s="4"/>
      <c r="V14" s="4"/>
      <c r="W14" s="4"/>
      <c r="X14" s="4"/>
      <c r="Y14" s="4"/>
      <c r="Z14" s="4">
        <v>1.33</v>
      </c>
      <c r="AA14" s="4">
        <v>0.32</v>
      </c>
      <c r="AB14" s="4">
        <v>9.68</v>
      </c>
      <c r="AC14" s="4"/>
      <c r="AD14" s="4"/>
      <c r="AE14" s="4"/>
      <c r="AF14" s="4"/>
      <c r="AG14" s="4"/>
      <c r="AH14" s="4"/>
      <c r="AI14" s="4"/>
      <c r="AJ14" s="4"/>
      <c r="AK14" s="4"/>
      <c r="AL14" s="4"/>
      <c r="AM14" s="4"/>
      <c r="AN14" s="4"/>
      <c r="AO14" s="4"/>
      <c r="AP14" s="4"/>
      <c r="AQ14" s="4"/>
      <c r="AR14" s="4"/>
      <c r="AS14" s="4"/>
      <c r="AT14" s="4"/>
      <c r="AV14" s="4"/>
      <c r="AW14" s="4"/>
      <c r="AX14" s="4">
        <v>8.1999999999999993</v>
      </c>
      <c r="AY14" s="4">
        <v>11.1</v>
      </c>
      <c r="AZ14" s="4"/>
      <c r="BA14" s="4"/>
      <c r="BB14" s="4"/>
      <c r="BC14" s="4"/>
      <c r="BD14" s="4"/>
      <c r="BE14" s="4"/>
      <c r="BF14" s="4"/>
      <c r="BG14" s="4"/>
      <c r="BH14" s="4"/>
      <c r="BI14" s="4"/>
      <c r="BJ14" s="4"/>
      <c r="BK14" s="4">
        <f>26.41/1000*100</f>
        <v>2.641</v>
      </c>
      <c r="BL14" s="4">
        <f>26.41/1000*100</f>
        <v>2.641</v>
      </c>
      <c r="BM14" s="4"/>
      <c r="BN14" s="4"/>
      <c r="BO14" s="4"/>
      <c r="BP14" s="4">
        <f>2857.7*10000/1000/1000*0.5</f>
        <v>14.288500000000001</v>
      </c>
      <c r="BQ14" s="4">
        <f>BU14/BP14</f>
        <v>0.27361164572908281</v>
      </c>
      <c r="BR14" s="4">
        <f>(781.9+371.3)*10000/1000/1000*0.5</f>
        <v>5.766</v>
      </c>
      <c r="BS14" s="4"/>
      <c r="BT14" s="4"/>
      <c r="BU14" s="4">
        <v>3.9095</v>
      </c>
      <c r="BV14" s="4">
        <v>18.1995</v>
      </c>
      <c r="BW14" s="4"/>
      <c r="BX14" s="4">
        <v>86.17</v>
      </c>
      <c r="BY14" s="4"/>
      <c r="BZ14" s="4">
        <v>104.3695</v>
      </c>
      <c r="CA14" s="4"/>
      <c r="CB14" s="4"/>
      <c r="CC14" s="4"/>
      <c r="CD14" s="4">
        <f>401.8*10000/1000/1000*0.5</f>
        <v>2.0089999999999999</v>
      </c>
      <c r="CE14" s="4"/>
      <c r="CF14" s="4"/>
      <c r="CG14" s="4"/>
      <c r="CH14" s="4"/>
      <c r="CI14" s="4"/>
      <c r="CJ14" s="4"/>
      <c r="CK14" s="4"/>
      <c r="CL14" s="4"/>
      <c r="CM14" s="4"/>
      <c r="CN14" s="4"/>
      <c r="CO14" s="4"/>
      <c r="CP14" s="2" t="s">
        <v>286</v>
      </c>
      <c r="CQ14" s="2" t="s">
        <v>254</v>
      </c>
      <c r="CR14" s="10" t="s">
        <v>287</v>
      </c>
      <c r="CS14" s="9" t="s">
        <v>256</v>
      </c>
    </row>
    <row r="15" spans="1:97" s="2" customFormat="1" ht="12.75">
      <c r="A15" s="2">
        <v>12</v>
      </c>
      <c r="B15" s="2" t="s">
        <v>248</v>
      </c>
      <c r="C15" s="2" t="s">
        <v>294</v>
      </c>
      <c r="D15" s="4" t="s">
        <v>250</v>
      </c>
      <c r="E15" s="2" t="s">
        <v>295</v>
      </c>
      <c r="F15" s="2" t="s">
        <v>296</v>
      </c>
      <c r="G15" s="2">
        <v>2005</v>
      </c>
      <c r="H15" s="2">
        <v>2006</v>
      </c>
      <c r="I15" s="2">
        <v>1</v>
      </c>
      <c r="J15" s="2">
        <v>0</v>
      </c>
      <c r="K15" s="2">
        <v>1</v>
      </c>
      <c r="L15" s="2">
        <v>0</v>
      </c>
      <c r="M15" s="2">
        <v>0</v>
      </c>
      <c r="N15" s="2">
        <v>0</v>
      </c>
      <c r="O15" s="4">
        <v>16.5</v>
      </c>
      <c r="P15" s="4">
        <f t="shared" si="0"/>
        <v>138</v>
      </c>
      <c r="Q15" s="4">
        <f>1300</f>
        <v>1300</v>
      </c>
      <c r="R15" s="4"/>
      <c r="S15" s="4">
        <v>379</v>
      </c>
      <c r="T15" s="4">
        <v>80</v>
      </c>
      <c r="U15" s="4">
        <v>1445.4</v>
      </c>
      <c r="V15" s="4"/>
      <c r="W15" s="4"/>
      <c r="X15" s="4"/>
      <c r="Y15" s="4"/>
      <c r="Z15" s="4">
        <v>1.33</v>
      </c>
      <c r="AA15" s="4">
        <v>0.57999999999999996</v>
      </c>
      <c r="AB15" s="4">
        <v>21.6</v>
      </c>
      <c r="AC15" s="4">
        <f>((30.973762*2+15.999*5)/30.973762)*1.96</f>
        <v>8.9820328263644562</v>
      </c>
      <c r="AD15" s="4"/>
      <c r="AE15" s="4"/>
      <c r="AF15" s="4"/>
      <c r="AG15" s="4"/>
      <c r="AH15" s="4"/>
      <c r="AI15" s="4"/>
      <c r="AJ15" s="4"/>
      <c r="AK15" s="4"/>
      <c r="AL15" s="4"/>
      <c r="AM15" s="4"/>
      <c r="AN15" s="4"/>
      <c r="AO15" s="4"/>
      <c r="AP15" s="4"/>
      <c r="AQ15" s="4"/>
      <c r="AR15" s="4"/>
      <c r="AS15" s="4"/>
      <c r="AT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v>31.97</v>
      </c>
      <c r="BW15" s="4">
        <v>0.74</v>
      </c>
      <c r="BX15" s="4">
        <v>110.95</v>
      </c>
      <c r="BY15" s="4">
        <v>0.64</v>
      </c>
      <c r="BZ15" s="4">
        <f>SUM(BV15:BY15)</f>
        <v>144.29999999999998</v>
      </c>
      <c r="CA15" s="4"/>
      <c r="CB15" s="4"/>
      <c r="CC15" s="4">
        <v>8.2899999999999991</v>
      </c>
      <c r="CD15" s="4">
        <v>1.1100000000000001</v>
      </c>
      <c r="CE15" s="4"/>
      <c r="CF15" s="4">
        <f>SUM(CA15:CD15)</f>
        <v>9.3999999999999986</v>
      </c>
      <c r="CG15" s="4">
        <v>0.96</v>
      </c>
      <c r="CH15" s="4"/>
      <c r="CI15" s="4"/>
      <c r="CJ15" s="4">
        <f>SUM(CG15:CI15)</f>
        <v>0.96</v>
      </c>
      <c r="CK15" s="4">
        <f>CJ15+CF15</f>
        <v>10.36</v>
      </c>
      <c r="CL15" s="4">
        <f>33.941*12/44</f>
        <v>9.256636363636364</v>
      </c>
      <c r="CM15" s="4">
        <f>20.19*12/44</f>
        <v>5.5063636363636368</v>
      </c>
      <c r="CN15" s="4">
        <f>CL15-CM15</f>
        <v>3.7502727272727272</v>
      </c>
      <c r="CO15" s="4">
        <f>CK15-CM15</f>
        <v>4.8536363636363626</v>
      </c>
      <c r="CP15" s="2" t="s">
        <v>297</v>
      </c>
      <c r="CQ15" s="2" t="s">
        <v>254</v>
      </c>
      <c r="CR15" s="10" t="s">
        <v>298</v>
      </c>
      <c r="CS15" s="9" t="s">
        <v>256</v>
      </c>
    </row>
    <row r="16" spans="1:97" s="2" customFormat="1" ht="12.75">
      <c r="A16" s="2">
        <v>13</v>
      </c>
      <c r="B16" s="2" t="s">
        <v>248</v>
      </c>
      <c r="C16" s="2" t="s">
        <v>299</v>
      </c>
      <c r="D16" s="4" t="s">
        <v>250</v>
      </c>
      <c r="E16" s="2" t="s">
        <v>300</v>
      </c>
      <c r="F16" s="2" t="s">
        <v>301</v>
      </c>
      <c r="G16" s="2">
        <v>2011</v>
      </c>
      <c r="H16" s="2">
        <v>2011</v>
      </c>
      <c r="I16" s="2">
        <v>0</v>
      </c>
      <c r="J16" s="2">
        <v>0</v>
      </c>
      <c r="K16" s="2">
        <v>0</v>
      </c>
      <c r="L16" s="2">
        <v>0</v>
      </c>
      <c r="M16" s="2">
        <v>0</v>
      </c>
      <c r="N16" s="2">
        <v>0</v>
      </c>
      <c r="O16" s="4">
        <f>(15.8+17.7)/2</f>
        <v>16.75</v>
      </c>
      <c r="P16" s="4">
        <v>141</v>
      </c>
      <c r="Q16" s="4">
        <v>1590.9</v>
      </c>
      <c r="R16" s="4"/>
      <c r="S16" s="4">
        <v>500</v>
      </c>
      <c r="T16" s="4"/>
      <c r="U16" s="4">
        <v>1657</v>
      </c>
      <c r="V16" s="4"/>
      <c r="W16" s="4"/>
      <c r="X16" s="4"/>
      <c r="Y16" s="4"/>
      <c r="Z16" s="4"/>
      <c r="AA16" s="4"/>
      <c r="AB16" s="4"/>
      <c r="AC16" s="4"/>
      <c r="AD16" s="4"/>
      <c r="AE16" s="4"/>
      <c r="AF16" s="4"/>
      <c r="AG16" s="4"/>
      <c r="AH16" s="4"/>
      <c r="AI16" s="4"/>
      <c r="AJ16" s="4"/>
      <c r="AK16" s="4"/>
      <c r="AL16" s="4"/>
      <c r="AM16" s="4"/>
      <c r="AN16" s="4"/>
      <c r="AO16" s="4"/>
      <c r="AP16" s="4"/>
      <c r="AQ16" s="4"/>
      <c r="AR16" s="4"/>
      <c r="AS16" s="4"/>
      <c r="AT16" s="4"/>
      <c r="AV16" s="4"/>
      <c r="AW16" s="4">
        <v>3000</v>
      </c>
      <c r="AX16" s="4">
        <v>9.5</v>
      </c>
      <c r="AY16" s="4"/>
      <c r="AZ16" s="4">
        <f>(AX16/2)^2*PI()*AW16/10000</f>
        <v>21.264655273985909</v>
      </c>
      <c r="BA16" s="4"/>
      <c r="BB16" s="4"/>
      <c r="BC16" s="4"/>
      <c r="BD16" s="4"/>
      <c r="BE16" s="4"/>
      <c r="BF16" s="4"/>
      <c r="BG16" s="4"/>
      <c r="BH16" s="4"/>
      <c r="BI16" s="4"/>
      <c r="BJ16" s="4"/>
      <c r="BK16" s="4"/>
      <c r="BL16" s="4"/>
      <c r="BM16" s="4"/>
      <c r="BN16" s="4"/>
      <c r="BO16" s="4"/>
      <c r="BP16" s="4">
        <f>16.42*100/37.73*0.5</f>
        <v>21.759872780280947</v>
      </c>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2" t="s">
        <v>302</v>
      </c>
      <c r="CQ16" s="2" t="s">
        <v>254</v>
      </c>
      <c r="CR16" s="10" t="s">
        <v>303</v>
      </c>
      <c r="CS16" s="9" t="s">
        <v>256</v>
      </c>
    </row>
    <row r="17" spans="1:97" s="2" customFormat="1" ht="12.75">
      <c r="A17" s="2">
        <v>14</v>
      </c>
      <c r="B17" s="2" t="s">
        <v>248</v>
      </c>
      <c r="C17" s="2" t="s">
        <v>304</v>
      </c>
      <c r="D17" s="4" t="s">
        <v>250</v>
      </c>
      <c r="E17" s="2" t="s">
        <v>305</v>
      </c>
      <c r="F17" s="2" t="s">
        <v>306</v>
      </c>
      <c r="G17" s="2">
        <v>1977</v>
      </c>
      <c r="H17" s="2">
        <v>2008</v>
      </c>
      <c r="I17" s="2">
        <v>1</v>
      </c>
      <c r="J17" s="2">
        <v>1</v>
      </c>
      <c r="K17" s="2">
        <v>1</v>
      </c>
      <c r="L17" s="2">
        <v>1</v>
      </c>
      <c r="M17" s="2">
        <v>0</v>
      </c>
      <c r="N17" s="2">
        <v>0</v>
      </c>
      <c r="O17" s="4">
        <f>(15.9+16.2+(15.8+17.7)/2+16.5+18.7)/5</f>
        <v>16.809999999999999</v>
      </c>
      <c r="P17" s="4">
        <f>(O17-5)*12</f>
        <v>141.71999999999997</v>
      </c>
      <c r="Q17" s="4">
        <f>(1424+1350+1591+1300+1568)/5</f>
        <v>1446.6</v>
      </c>
      <c r="R17" s="4"/>
      <c r="S17" s="4">
        <v>3</v>
      </c>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V17" s="4"/>
      <c r="AW17" s="4"/>
      <c r="AX17" s="4"/>
      <c r="AY17" s="4"/>
      <c r="AZ17" s="4"/>
      <c r="BA17" s="4"/>
      <c r="BB17" s="4"/>
      <c r="BC17" s="4"/>
      <c r="BD17" s="4"/>
      <c r="BE17" s="4"/>
      <c r="BF17" s="4"/>
      <c r="BG17" s="4"/>
      <c r="BH17" s="4"/>
      <c r="BI17" s="4"/>
      <c r="BJ17" s="4"/>
      <c r="BK17" s="4"/>
      <c r="BL17" s="4"/>
      <c r="BM17" s="4"/>
      <c r="BN17" s="4"/>
      <c r="BO17" s="4"/>
      <c r="BP17" s="4">
        <f>105.76*0.5</f>
        <v>52.88</v>
      </c>
      <c r="BQ17" s="4">
        <f>BU17/BP17</f>
        <v>0.63350983358547652</v>
      </c>
      <c r="BR17" s="4"/>
      <c r="BS17" s="4"/>
      <c r="BT17" s="4"/>
      <c r="BU17" s="4">
        <f>67*0.5</f>
        <v>33.5</v>
      </c>
      <c r="BV17" s="4">
        <f>BU17+BP17</f>
        <v>86.38</v>
      </c>
      <c r="BW17" s="4"/>
      <c r="BX17" s="4"/>
      <c r="BY17" s="4"/>
      <c r="BZ17" s="4">
        <v>95.42</v>
      </c>
      <c r="CA17" s="4"/>
      <c r="CB17" s="4"/>
      <c r="CC17" s="4"/>
      <c r="CD17" s="4"/>
      <c r="CE17" s="4"/>
      <c r="CF17" s="4"/>
      <c r="CG17" s="4"/>
      <c r="CH17" s="4"/>
      <c r="CI17" s="4"/>
      <c r="CJ17" s="4"/>
      <c r="CK17" s="4"/>
      <c r="CL17" s="4"/>
      <c r="CM17" s="4"/>
      <c r="CN17" s="4"/>
      <c r="CO17" s="4"/>
      <c r="CP17" s="2" t="s">
        <v>307</v>
      </c>
      <c r="CQ17" s="2" t="s">
        <v>254</v>
      </c>
      <c r="CR17" s="10" t="s">
        <v>308</v>
      </c>
      <c r="CS17" s="9" t="s">
        <v>256</v>
      </c>
    </row>
    <row r="18" spans="1:97" s="2" customFormat="1" ht="12.75">
      <c r="A18" s="2">
        <v>15</v>
      </c>
      <c r="B18" s="2" t="s">
        <v>248</v>
      </c>
      <c r="C18" s="2" t="s">
        <v>309</v>
      </c>
      <c r="D18" s="4" t="s">
        <v>250</v>
      </c>
      <c r="E18" s="2" t="s">
        <v>310</v>
      </c>
      <c r="F18" s="2" t="s">
        <v>311</v>
      </c>
      <c r="G18" s="2">
        <v>1977</v>
      </c>
      <c r="H18" s="2">
        <v>2008</v>
      </c>
      <c r="I18" s="2">
        <v>1</v>
      </c>
      <c r="J18" s="2">
        <v>1</v>
      </c>
      <c r="K18" s="2">
        <v>1</v>
      </c>
      <c r="L18" s="2">
        <v>1</v>
      </c>
      <c r="M18" s="2">
        <v>0</v>
      </c>
      <c r="N18" s="2">
        <v>0</v>
      </c>
      <c r="O18" s="4">
        <f>((14+19)/2+(12.2+15.6)/2)/2</f>
        <v>15.2</v>
      </c>
      <c r="P18" s="4">
        <f>(O18-5)*12</f>
        <v>122.39999999999999</v>
      </c>
      <c r="Q18" s="4">
        <f>((1150+1490)/2+(1100+1900)/2)/2</f>
        <v>1410</v>
      </c>
      <c r="R18" s="4"/>
      <c r="S18" s="4">
        <v>49</v>
      </c>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V18" s="4"/>
      <c r="AW18" s="4"/>
      <c r="AX18" s="4"/>
      <c r="AY18" s="4"/>
      <c r="AZ18" s="4"/>
      <c r="BA18" s="4"/>
      <c r="BB18" s="4"/>
      <c r="BC18" s="4"/>
      <c r="BD18" s="4"/>
      <c r="BE18" s="4"/>
      <c r="BF18" s="4"/>
      <c r="BG18" s="4"/>
      <c r="BH18" s="4"/>
      <c r="BI18" s="4"/>
      <c r="BJ18" s="4"/>
      <c r="BK18" s="4"/>
      <c r="BL18" s="4"/>
      <c r="BM18" s="4"/>
      <c r="BN18" s="4"/>
      <c r="BO18" s="4"/>
      <c r="BP18" s="4">
        <f>96.54*0.5</f>
        <v>48.27</v>
      </c>
      <c r="BQ18" s="4">
        <f>BU18/BP18</f>
        <v>0.48839859125750978</v>
      </c>
      <c r="BR18" s="4"/>
      <c r="BS18" s="4"/>
      <c r="BT18" s="4"/>
      <c r="BU18" s="4">
        <f>47.15*0.5</f>
        <v>23.574999999999999</v>
      </c>
      <c r="BV18" s="4">
        <f>BU18+BP18</f>
        <v>71.844999999999999</v>
      </c>
      <c r="BW18" s="4"/>
      <c r="BX18" s="4"/>
      <c r="BY18" s="4"/>
      <c r="BZ18" s="4">
        <v>69.63000000000001</v>
      </c>
      <c r="CA18" s="4"/>
      <c r="CB18" s="4"/>
      <c r="CC18" s="4"/>
      <c r="CD18" s="4"/>
      <c r="CE18" s="4"/>
      <c r="CF18" s="4"/>
      <c r="CG18" s="4"/>
      <c r="CH18" s="4"/>
      <c r="CI18" s="4"/>
      <c r="CJ18" s="4"/>
      <c r="CK18" s="4"/>
      <c r="CL18" s="4"/>
      <c r="CM18" s="4"/>
      <c r="CN18" s="4"/>
      <c r="CP18" s="2" t="s">
        <v>312</v>
      </c>
      <c r="CQ18" s="2" t="s">
        <v>254</v>
      </c>
      <c r="CR18" s="10" t="s">
        <v>308</v>
      </c>
      <c r="CS18" s="9" t="s">
        <v>256</v>
      </c>
    </row>
    <row r="19" spans="1:97" s="2" customFormat="1" ht="12.75">
      <c r="A19" s="2">
        <v>16</v>
      </c>
      <c r="B19" s="2" t="s">
        <v>248</v>
      </c>
      <c r="C19" s="2" t="s">
        <v>313</v>
      </c>
      <c r="D19" s="4" t="s">
        <v>261</v>
      </c>
      <c r="E19" s="2" t="s">
        <v>314</v>
      </c>
      <c r="F19" s="2" t="s">
        <v>315</v>
      </c>
      <c r="G19" s="2">
        <v>1977</v>
      </c>
      <c r="H19" s="2">
        <v>2008</v>
      </c>
      <c r="I19" s="2">
        <v>1</v>
      </c>
      <c r="J19" s="2">
        <v>0</v>
      </c>
      <c r="K19" s="2">
        <v>1</v>
      </c>
      <c r="L19" s="2">
        <v>1</v>
      </c>
      <c r="M19" s="2">
        <v>0</v>
      </c>
      <c r="N19" s="2">
        <v>0</v>
      </c>
      <c r="O19" s="4">
        <f>(18.3+19)/2</f>
        <v>18.649999999999999</v>
      </c>
      <c r="P19" s="4">
        <f>(O19-5)*12</f>
        <v>163.79999999999998</v>
      </c>
      <c r="Q19" s="4">
        <f>(1104+1250)/2</f>
        <v>1177</v>
      </c>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V19" s="4"/>
      <c r="AW19" s="4"/>
      <c r="AX19" s="4"/>
      <c r="AY19" s="4"/>
      <c r="AZ19" s="4"/>
      <c r="BA19" s="4"/>
      <c r="BB19" s="4"/>
      <c r="BC19" s="4"/>
      <c r="BD19" s="4"/>
      <c r="BE19" s="4"/>
      <c r="BF19" s="4"/>
      <c r="BG19" s="4"/>
      <c r="BH19" s="4"/>
      <c r="BI19" s="4"/>
      <c r="BJ19" s="4"/>
      <c r="BK19" s="4"/>
      <c r="BL19" s="4"/>
      <c r="BM19" s="4"/>
      <c r="BN19" s="4"/>
      <c r="BO19" s="4"/>
      <c r="BP19" s="4">
        <f>44.78*0.5</f>
        <v>22.39</v>
      </c>
      <c r="BQ19" s="4">
        <f>BU19/BP19</f>
        <v>0.47543546225993744</v>
      </c>
      <c r="BR19" s="4"/>
      <c r="BS19" s="4"/>
      <c r="BT19" s="4"/>
      <c r="BU19" s="4">
        <f>21.29*0.5</f>
        <v>10.645</v>
      </c>
      <c r="BV19" s="4">
        <f>BU19+BP19</f>
        <v>33.034999999999997</v>
      </c>
      <c r="BW19" s="4"/>
      <c r="BX19" s="4"/>
      <c r="BY19" s="4"/>
      <c r="BZ19" s="4"/>
      <c r="CA19" s="4"/>
      <c r="CB19" s="4"/>
      <c r="CC19" s="4"/>
      <c r="CD19" s="4"/>
      <c r="CE19" s="4"/>
      <c r="CF19" s="4"/>
      <c r="CG19" s="4"/>
      <c r="CH19" s="4"/>
      <c r="CI19" s="4"/>
      <c r="CJ19" s="4"/>
      <c r="CK19" s="4"/>
      <c r="CL19" s="4"/>
      <c r="CM19" s="4"/>
      <c r="CN19" s="4"/>
      <c r="CO19" s="4"/>
      <c r="CP19" s="2" t="s">
        <v>316</v>
      </c>
      <c r="CQ19" s="2" t="s">
        <v>254</v>
      </c>
      <c r="CR19" s="10" t="s">
        <v>308</v>
      </c>
      <c r="CS19" s="9" t="s">
        <v>256</v>
      </c>
    </row>
    <row r="20" spans="1:97" s="2" customFormat="1" ht="12.75">
      <c r="A20" s="2">
        <v>17</v>
      </c>
      <c r="B20" s="2" t="s">
        <v>248</v>
      </c>
      <c r="C20" s="2" t="s">
        <v>317</v>
      </c>
      <c r="D20" s="4" t="s">
        <v>261</v>
      </c>
      <c r="E20" s="2" t="s">
        <v>318</v>
      </c>
      <c r="F20" s="2" t="s">
        <v>319</v>
      </c>
      <c r="G20" s="2">
        <v>1977</v>
      </c>
      <c r="H20" s="2">
        <v>2008</v>
      </c>
      <c r="I20" s="2">
        <v>1</v>
      </c>
      <c r="J20" s="2">
        <v>1</v>
      </c>
      <c r="K20" s="2">
        <v>1</v>
      </c>
      <c r="L20" s="2">
        <v>1</v>
      </c>
      <c r="M20" s="2">
        <v>0</v>
      </c>
      <c r="N20" s="2">
        <v>0</v>
      </c>
      <c r="O20" s="4">
        <f>23</f>
        <v>23</v>
      </c>
      <c r="P20" s="4">
        <f>(O20-5)*12</f>
        <v>216</v>
      </c>
      <c r="Q20" s="4">
        <f>2000</f>
        <v>2000</v>
      </c>
      <c r="R20" s="4"/>
      <c r="S20" s="4">
        <v>877</v>
      </c>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V20" s="4"/>
      <c r="AW20" s="4"/>
      <c r="AX20" s="4"/>
      <c r="AY20" s="4"/>
      <c r="AZ20" s="4"/>
      <c r="BA20" s="4"/>
      <c r="BB20" s="4"/>
      <c r="BC20" s="4"/>
      <c r="BD20" s="4"/>
      <c r="BE20" s="4"/>
      <c r="BF20" s="4"/>
      <c r="BG20" s="4"/>
      <c r="BH20" s="4"/>
      <c r="BI20" s="4"/>
      <c r="BJ20" s="4"/>
      <c r="BK20" s="4"/>
      <c r="BL20" s="4"/>
      <c r="BM20" s="4"/>
      <c r="BN20" s="4"/>
      <c r="BO20" s="4"/>
      <c r="BP20" s="4">
        <f>64.72*0.5</f>
        <v>32.36</v>
      </c>
      <c r="BQ20" s="4">
        <f>BU20/BP20</f>
        <v>0.57586526576019781</v>
      </c>
      <c r="BR20" s="4"/>
      <c r="BS20" s="4"/>
      <c r="BT20" s="4"/>
      <c r="BU20" s="4">
        <f>37.27*0.5</f>
        <v>18.635000000000002</v>
      </c>
      <c r="BV20" s="4">
        <f>BU20+BP20</f>
        <v>50.995000000000005</v>
      </c>
      <c r="BW20" s="4"/>
      <c r="BX20" s="4"/>
      <c r="BY20" s="4"/>
      <c r="BZ20" s="4">
        <v>119.88</v>
      </c>
      <c r="CA20" s="4"/>
      <c r="CB20" s="4"/>
      <c r="CC20" s="4"/>
      <c r="CD20" s="4"/>
      <c r="CE20" s="4"/>
      <c r="CF20" s="4"/>
      <c r="CG20" s="4"/>
      <c r="CH20" s="4"/>
      <c r="CI20" s="4"/>
      <c r="CJ20" s="4"/>
      <c r="CK20" s="4"/>
      <c r="CL20" s="4"/>
      <c r="CM20" s="4"/>
      <c r="CN20" s="4"/>
      <c r="CO20" s="4"/>
      <c r="CP20" s="2" t="s">
        <v>320</v>
      </c>
      <c r="CQ20" s="2" t="s">
        <v>254</v>
      </c>
      <c r="CR20" s="10" t="s">
        <v>308</v>
      </c>
      <c r="CS20" s="9" t="s">
        <v>256</v>
      </c>
    </row>
    <row r="21" spans="1:97" s="2" customFormat="1" ht="12.75">
      <c r="A21" s="2">
        <v>18</v>
      </c>
      <c r="B21" s="2" t="s">
        <v>248</v>
      </c>
      <c r="C21" s="2" t="s">
        <v>321</v>
      </c>
      <c r="D21" s="4" t="s">
        <v>250</v>
      </c>
      <c r="E21" s="2" t="s">
        <v>322</v>
      </c>
      <c r="F21" s="2" t="s">
        <v>323</v>
      </c>
      <c r="G21" s="2">
        <v>2008</v>
      </c>
      <c r="H21" s="2">
        <v>2008</v>
      </c>
      <c r="I21" s="2">
        <v>1</v>
      </c>
      <c r="J21" s="2">
        <v>0</v>
      </c>
      <c r="K21" s="2">
        <v>1</v>
      </c>
      <c r="L21" s="2">
        <v>1</v>
      </c>
      <c r="M21" s="2">
        <v>0</v>
      </c>
      <c r="N21" s="2">
        <v>0</v>
      </c>
      <c r="O21" s="4">
        <f>(15.6+17.6)/2</f>
        <v>16.600000000000001</v>
      </c>
      <c r="P21" s="4">
        <f>(O21-5)*12</f>
        <v>139.20000000000002</v>
      </c>
      <c r="Q21" s="4">
        <v>1550</v>
      </c>
      <c r="R21" s="4"/>
      <c r="S21" s="4">
        <v>354</v>
      </c>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W21" s="4">
        <v>2734</v>
      </c>
      <c r="AX21" s="4">
        <f>(12.9+10/1)/2</f>
        <v>11.45</v>
      </c>
      <c r="AY21" s="4"/>
      <c r="AZ21" s="4">
        <f>(AX21/2)^2*PI()*AW21/10000</f>
        <v>28.151358986776938</v>
      </c>
      <c r="BA21" s="4"/>
      <c r="BB21" s="4"/>
      <c r="BC21" s="4"/>
      <c r="BD21" s="4"/>
      <c r="BE21" s="4"/>
      <c r="BF21" s="4"/>
      <c r="BG21" s="4"/>
      <c r="BH21" s="4"/>
      <c r="BI21" s="4"/>
      <c r="BJ21" s="4"/>
      <c r="BK21" s="4"/>
      <c r="BL21" s="4"/>
      <c r="BM21" s="4"/>
      <c r="BN21" s="4"/>
      <c r="BO21" s="4"/>
      <c r="BP21" s="4">
        <v>23.718</v>
      </c>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2" t="s">
        <v>324</v>
      </c>
      <c r="CQ21" s="2" t="s">
        <v>254</v>
      </c>
      <c r="CR21" s="10" t="s">
        <v>325</v>
      </c>
      <c r="CS21" s="9" t="s">
        <v>256</v>
      </c>
    </row>
    <row r="22" spans="1:97" s="2" customFormat="1" ht="12.75">
      <c r="A22" s="2">
        <v>19</v>
      </c>
      <c r="B22" s="2" t="s">
        <v>248</v>
      </c>
      <c r="C22" s="2" t="s">
        <v>326</v>
      </c>
      <c r="D22" s="4" t="s">
        <v>250</v>
      </c>
      <c r="E22" s="2" t="s">
        <v>327</v>
      </c>
      <c r="F22" s="2" t="s">
        <v>328</v>
      </c>
      <c r="G22" s="2">
        <v>2014</v>
      </c>
      <c r="H22" s="2">
        <v>2014</v>
      </c>
      <c r="I22" s="2">
        <v>1</v>
      </c>
      <c r="J22" s="2">
        <v>0</v>
      </c>
      <c r="K22" s="2">
        <v>0</v>
      </c>
      <c r="L22" s="2">
        <v>1</v>
      </c>
      <c r="M22" s="2">
        <v>0</v>
      </c>
      <c r="N22" s="2">
        <v>0</v>
      </c>
      <c r="O22" s="4">
        <v>15.6</v>
      </c>
      <c r="P22" s="4">
        <v>127.19999999999999</v>
      </c>
      <c r="Q22" s="4">
        <v>1400</v>
      </c>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W22" s="4">
        <v>3129</v>
      </c>
      <c r="AX22" s="4">
        <v>9.09</v>
      </c>
      <c r="AY22" s="4"/>
      <c r="AZ22" s="4">
        <f>(AX22/2)^2*PI()*AW22/10000</f>
        <v>20.305945253512977</v>
      </c>
      <c r="BA22" s="4"/>
      <c r="BB22" s="4"/>
      <c r="BC22" s="4"/>
      <c r="BD22" s="4"/>
      <c r="BE22" s="4"/>
      <c r="BF22" s="4"/>
      <c r="BG22" s="4"/>
      <c r="BH22" s="4"/>
      <c r="BI22" s="4"/>
      <c r="BJ22" s="4"/>
      <c r="BK22" s="4"/>
      <c r="BL22" s="4"/>
      <c r="BM22" s="4"/>
      <c r="BN22" s="4"/>
      <c r="BO22" s="4"/>
      <c r="BP22" s="4">
        <v>18.899999999999999</v>
      </c>
      <c r="BQ22" s="4"/>
      <c r="BR22" s="4"/>
      <c r="BS22" s="4"/>
      <c r="BT22" s="4"/>
      <c r="BU22" s="4"/>
      <c r="BV22" s="4"/>
      <c r="BW22" s="4"/>
      <c r="BX22" s="4">
        <v>120.2</v>
      </c>
      <c r="BY22" s="4"/>
      <c r="BZ22" s="4"/>
      <c r="CA22" s="4"/>
      <c r="CB22" s="4"/>
      <c r="CC22" s="4"/>
      <c r="CD22" s="4"/>
      <c r="CE22" s="4"/>
      <c r="CF22" s="4"/>
      <c r="CG22" s="4"/>
      <c r="CH22" s="4"/>
      <c r="CI22" s="4"/>
      <c r="CJ22" s="4"/>
      <c r="CK22" s="4"/>
      <c r="CL22" s="4"/>
      <c r="CM22" s="4"/>
      <c r="CN22" s="4"/>
      <c r="CO22" s="4"/>
      <c r="CP22" s="2" t="s">
        <v>329</v>
      </c>
      <c r="CQ22" s="2" t="s">
        <v>254</v>
      </c>
      <c r="CR22" s="10" t="s">
        <v>330</v>
      </c>
      <c r="CS22" s="9" t="s">
        <v>256</v>
      </c>
    </row>
    <row r="23" spans="1:97" s="2" customFormat="1" ht="12.75">
      <c r="A23" s="2">
        <v>20</v>
      </c>
      <c r="B23" s="2" t="s">
        <v>248</v>
      </c>
      <c r="C23" s="2" t="s">
        <v>331</v>
      </c>
      <c r="D23" s="4" t="s">
        <v>250</v>
      </c>
      <c r="E23" s="2" t="s">
        <v>332</v>
      </c>
      <c r="F23" s="2" t="s">
        <v>333</v>
      </c>
      <c r="G23" s="2">
        <v>2014</v>
      </c>
      <c r="H23" s="2">
        <v>2014</v>
      </c>
      <c r="I23" s="2">
        <v>1</v>
      </c>
      <c r="J23" s="2">
        <v>1</v>
      </c>
      <c r="K23" s="2">
        <v>1</v>
      </c>
      <c r="L23" s="2">
        <v>1</v>
      </c>
      <c r="M23" s="2">
        <v>0</v>
      </c>
      <c r="N23" s="2">
        <v>0</v>
      </c>
      <c r="O23" s="4">
        <v>15.6</v>
      </c>
      <c r="P23" s="4">
        <v>127.19999999999999</v>
      </c>
      <c r="Q23" s="4">
        <v>1400</v>
      </c>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W23" s="4">
        <v>3555</v>
      </c>
      <c r="AX23" s="4">
        <v>9.73</v>
      </c>
      <c r="AY23" s="4"/>
      <c r="AZ23" s="4">
        <f>(AX23/2)^2*PI()*AW23/10000</f>
        <v>26.433530194037907</v>
      </c>
      <c r="BA23" s="4"/>
      <c r="BB23" s="4"/>
      <c r="BC23" s="4"/>
      <c r="BD23" s="4"/>
      <c r="BE23" s="4"/>
      <c r="BF23" s="4"/>
      <c r="BG23" s="4"/>
      <c r="BH23" s="4"/>
      <c r="BI23" s="4"/>
      <c r="BJ23" s="4"/>
      <c r="BK23" s="4"/>
      <c r="BL23" s="4"/>
      <c r="BM23" s="4"/>
      <c r="BN23" s="4"/>
      <c r="BO23" s="4"/>
      <c r="BP23" s="4">
        <v>24.75</v>
      </c>
      <c r="BQ23" s="4"/>
      <c r="BR23" s="4"/>
      <c r="BS23" s="4"/>
      <c r="BT23" s="4"/>
      <c r="BU23" s="4"/>
      <c r="BV23" s="4"/>
      <c r="BW23" s="4"/>
      <c r="BX23" s="4">
        <v>108.1</v>
      </c>
      <c r="BY23" s="4"/>
      <c r="BZ23" s="4"/>
      <c r="CA23" s="4"/>
      <c r="CB23" s="4"/>
      <c r="CC23" s="4"/>
      <c r="CD23" s="4"/>
      <c r="CE23" s="4"/>
      <c r="CF23" s="4"/>
      <c r="CG23" s="4"/>
      <c r="CH23" s="4"/>
      <c r="CI23" s="4"/>
      <c r="CJ23" s="4"/>
      <c r="CK23" s="4"/>
      <c r="CL23" s="4"/>
      <c r="CM23" s="4"/>
      <c r="CN23" s="4"/>
      <c r="CO23" s="4"/>
      <c r="CP23" s="2" t="s">
        <v>334</v>
      </c>
      <c r="CQ23" s="2" t="s">
        <v>254</v>
      </c>
      <c r="CR23" s="10" t="s">
        <v>330</v>
      </c>
      <c r="CS23" s="9" t="s">
        <v>256</v>
      </c>
    </row>
    <row r="24" spans="1:97" s="2" customFormat="1" ht="12.75">
      <c r="A24" s="2">
        <v>21</v>
      </c>
      <c r="B24" s="2" t="s">
        <v>248</v>
      </c>
      <c r="C24" s="2" t="s">
        <v>331</v>
      </c>
      <c r="D24" s="4" t="s">
        <v>250</v>
      </c>
      <c r="E24" s="2" t="s">
        <v>335</v>
      </c>
      <c r="F24" s="2" t="s">
        <v>336</v>
      </c>
      <c r="G24" s="2">
        <v>2014</v>
      </c>
      <c r="H24" s="2">
        <v>2014</v>
      </c>
      <c r="I24" s="2">
        <v>1</v>
      </c>
      <c r="J24" s="2">
        <v>0</v>
      </c>
      <c r="K24" s="2">
        <v>1</v>
      </c>
      <c r="L24" s="2">
        <v>1</v>
      </c>
      <c r="M24" s="2">
        <v>0</v>
      </c>
      <c r="N24" s="2">
        <v>0</v>
      </c>
      <c r="O24" s="4">
        <v>15.6</v>
      </c>
      <c r="P24" s="4">
        <v>127.19999999999999</v>
      </c>
      <c r="Q24" s="4">
        <v>1400</v>
      </c>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W24" s="4">
        <v>3182</v>
      </c>
      <c r="AX24" s="4">
        <v>9.35</v>
      </c>
      <c r="AY24" s="4"/>
      <c r="AZ24" s="4">
        <f>(AX24/2)^2*PI()*AW24/10000</f>
        <v>21.848080052984994</v>
      </c>
      <c r="BA24" s="4"/>
      <c r="BB24" s="4"/>
      <c r="BC24" s="4"/>
      <c r="BD24" s="4"/>
      <c r="BE24" s="4"/>
      <c r="BF24" s="4"/>
      <c r="BG24" s="4"/>
      <c r="BH24" s="4"/>
      <c r="BI24" s="4"/>
      <c r="BJ24" s="4"/>
      <c r="BK24" s="4"/>
      <c r="BL24" s="4"/>
      <c r="BM24" s="4"/>
      <c r="BN24" s="4"/>
      <c r="BO24" s="4"/>
      <c r="BP24" s="4">
        <v>20.76</v>
      </c>
      <c r="BQ24" s="4"/>
      <c r="BR24" s="4"/>
      <c r="BS24" s="4"/>
      <c r="BT24" s="4"/>
      <c r="BU24" s="4"/>
      <c r="BV24" s="4"/>
      <c r="BW24" s="4"/>
      <c r="BX24" s="4">
        <v>111.7</v>
      </c>
      <c r="BY24" s="4"/>
      <c r="BZ24" s="4"/>
      <c r="CA24" s="4"/>
      <c r="CB24" s="4"/>
      <c r="CC24" s="4"/>
      <c r="CD24" s="4"/>
      <c r="CE24" s="4"/>
      <c r="CF24" s="4"/>
      <c r="CG24" s="4"/>
      <c r="CH24" s="4"/>
      <c r="CI24" s="4"/>
      <c r="CJ24" s="4"/>
      <c r="CK24" s="4"/>
      <c r="CL24" s="4"/>
      <c r="CM24" s="4"/>
      <c r="CN24" s="4"/>
      <c r="CO24" s="4"/>
      <c r="CP24" s="2" t="s">
        <v>334</v>
      </c>
      <c r="CQ24" s="2" t="s">
        <v>254</v>
      </c>
      <c r="CR24" s="10" t="s">
        <v>330</v>
      </c>
      <c r="CS24" s="9" t="s">
        <v>256</v>
      </c>
    </row>
    <row r="25" spans="1:97" s="2" customFormat="1" ht="12.75">
      <c r="A25" s="2">
        <v>22</v>
      </c>
      <c r="B25" s="2" t="s">
        <v>248</v>
      </c>
      <c r="C25" s="2" t="s">
        <v>337</v>
      </c>
      <c r="D25" s="4" t="s">
        <v>250</v>
      </c>
      <c r="E25" s="2" t="s">
        <v>338</v>
      </c>
      <c r="F25" s="2" t="s">
        <v>339</v>
      </c>
      <c r="G25" s="2">
        <v>2010</v>
      </c>
      <c r="H25" s="2">
        <v>2010</v>
      </c>
      <c r="I25" s="2">
        <v>1</v>
      </c>
      <c r="J25" s="2">
        <v>1</v>
      </c>
      <c r="K25" s="2">
        <v>1</v>
      </c>
      <c r="L25" s="2">
        <v>1</v>
      </c>
      <c r="M25" s="2">
        <v>0</v>
      </c>
      <c r="N25" s="2">
        <v>0</v>
      </c>
      <c r="O25" s="4">
        <v>15.9</v>
      </c>
      <c r="P25" s="4">
        <f>(O25-5)*12</f>
        <v>130.80000000000001</v>
      </c>
      <c r="Q25" s="4">
        <v>1424</v>
      </c>
      <c r="R25" s="4"/>
      <c r="S25" s="4">
        <f>(100+250)/2</f>
        <v>175</v>
      </c>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W25" s="4">
        <f>(3475+3325+3300+3250+4025+3625+3625+3575+4250+3375+2750+3025+2550+2475+3075+3550+2425+3225)/18</f>
        <v>3272.2222222222222</v>
      </c>
      <c r="AX25" s="4">
        <f>(9.7+9.1+8.8+9.5+8+8.3+9+10.1+8.8+8.3+8.7+9+9+9.5+9.2+8.8+11.3+10.7)/18</f>
        <v>9.2111111111111104</v>
      </c>
      <c r="AY25" s="4"/>
      <c r="AZ25" s="4">
        <f>(AX25/2)^2*PI()*AW25/10000</f>
        <v>21.805031242491747</v>
      </c>
      <c r="BA25" s="4"/>
      <c r="BB25" s="4"/>
      <c r="BC25" s="4"/>
      <c r="BD25" s="4"/>
      <c r="BE25" s="4"/>
      <c r="BF25" s="4"/>
      <c r="BG25" s="4"/>
      <c r="BH25" s="4"/>
      <c r="BI25" s="4"/>
      <c r="BJ25" s="4"/>
      <c r="BK25" s="4"/>
      <c r="BL25" s="4"/>
      <c r="BM25" s="4"/>
      <c r="BN25" s="4"/>
      <c r="BO25" s="4"/>
      <c r="BP25" s="4">
        <f>40.708*0.5</f>
        <v>20.353999999999999</v>
      </c>
      <c r="BQ25" s="4"/>
      <c r="BR25" s="4"/>
      <c r="BS25" s="4"/>
      <c r="BT25" s="4"/>
      <c r="BU25" s="4"/>
      <c r="BV25" s="4"/>
      <c r="BW25" s="4"/>
      <c r="BX25" s="4">
        <v>80.834999999999994</v>
      </c>
      <c r="BY25" s="4"/>
      <c r="BZ25" s="4"/>
      <c r="CA25" s="4"/>
      <c r="CB25" s="4"/>
      <c r="CC25" s="4"/>
      <c r="CD25" s="4"/>
      <c r="CE25" s="4"/>
      <c r="CF25" s="4"/>
      <c r="CG25" s="4"/>
      <c r="CH25" s="4"/>
      <c r="CI25" s="4"/>
      <c r="CJ25" s="4"/>
      <c r="CK25" s="4"/>
      <c r="CL25" s="4"/>
      <c r="CM25" s="4"/>
      <c r="CN25" s="4"/>
      <c r="CO25" s="4"/>
      <c r="CP25" s="2" t="s">
        <v>340</v>
      </c>
      <c r="CQ25" s="2" t="s">
        <v>254</v>
      </c>
      <c r="CR25" s="10" t="s">
        <v>341</v>
      </c>
      <c r="CS25" s="9" t="s">
        <v>256</v>
      </c>
    </row>
    <row r="26" spans="1:97" s="2" customFormat="1" ht="12.75">
      <c r="A26" s="2">
        <v>23</v>
      </c>
      <c r="B26" s="2" t="s">
        <v>248</v>
      </c>
      <c r="C26" s="2" t="s">
        <v>342</v>
      </c>
      <c r="D26" s="4" t="s">
        <v>250</v>
      </c>
      <c r="E26" s="2" t="s">
        <v>343</v>
      </c>
      <c r="F26" s="2" t="s">
        <v>344</v>
      </c>
      <c r="G26" s="2">
        <v>2013</v>
      </c>
      <c r="H26" s="2">
        <v>2016</v>
      </c>
      <c r="I26" s="2">
        <v>1</v>
      </c>
      <c r="J26" s="2">
        <v>0</v>
      </c>
      <c r="K26" s="2">
        <v>1</v>
      </c>
      <c r="L26" s="2">
        <v>1</v>
      </c>
      <c r="M26" s="2">
        <v>0</v>
      </c>
      <c r="N26" s="11">
        <v>0</v>
      </c>
      <c r="O26" s="4">
        <v>15.6</v>
      </c>
      <c r="P26" s="4">
        <f>(O26-5)*12+(5-3)</f>
        <v>129.19999999999999</v>
      </c>
      <c r="Q26" s="4">
        <v>1420</v>
      </c>
      <c r="R26" s="4"/>
      <c r="S26" s="4"/>
      <c r="T26" s="4"/>
      <c r="U26" s="4">
        <v>1847</v>
      </c>
      <c r="V26" s="4"/>
      <c r="W26" s="4"/>
      <c r="X26" s="4"/>
      <c r="Y26" s="4"/>
      <c r="Z26" s="4"/>
      <c r="AA26" s="4"/>
      <c r="AB26" s="4"/>
      <c r="AC26" s="4"/>
      <c r="AD26" s="4"/>
      <c r="AE26" s="4"/>
      <c r="AF26" s="4"/>
      <c r="AG26" s="4"/>
      <c r="AH26" s="4"/>
      <c r="AI26" s="4"/>
      <c r="AJ26" s="4"/>
      <c r="AK26" s="4"/>
      <c r="AL26" s="4"/>
      <c r="AM26" s="4"/>
      <c r="AN26" s="4"/>
      <c r="AO26" s="4"/>
      <c r="AP26" s="4"/>
      <c r="AQ26" s="4"/>
      <c r="AR26" s="4"/>
      <c r="AS26" s="4"/>
      <c r="AT26" s="4"/>
      <c r="AW26" s="4"/>
      <c r="AX26" s="4"/>
      <c r="AY26" s="4"/>
      <c r="AZ26" s="4"/>
      <c r="BA26" s="4"/>
      <c r="BB26" s="4"/>
      <c r="BC26" s="4"/>
      <c r="BD26" s="4"/>
      <c r="BE26" s="4"/>
      <c r="BF26" s="4"/>
      <c r="BG26" s="4"/>
      <c r="BH26" s="4"/>
      <c r="BI26" s="4"/>
      <c r="BJ26" s="4"/>
      <c r="BK26" s="4"/>
      <c r="BL26" s="4"/>
      <c r="BM26" s="4"/>
      <c r="BN26" s="4"/>
      <c r="BO26" s="4"/>
      <c r="BP26" s="4">
        <v>27</v>
      </c>
      <c r="BQ26" s="4"/>
      <c r="BR26" s="4"/>
      <c r="BS26" s="4"/>
      <c r="BT26" s="4"/>
      <c r="BU26" s="4">
        <v>19</v>
      </c>
      <c r="BV26" s="4">
        <f t="shared" ref="BV26:BV34" si="3">BU26+BP26</f>
        <v>46</v>
      </c>
      <c r="BW26" s="4"/>
      <c r="BX26" s="4">
        <v>68.099999999999994</v>
      </c>
      <c r="BY26" s="4"/>
      <c r="BZ26" s="4">
        <f>BV26+BX26</f>
        <v>114.1</v>
      </c>
      <c r="CA26" s="4"/>
      <c r="CB26" s="4"/>
      <c r="CC26" s="4"/>
      <c r="CD26" s="4"/>
      <c r="CE26" s="4"/>
      <c r="CF26" s="4">
        <v>4.17</v>
      </c>
      <c r="CG26" s="4"/>
      <c r="CH26" s="4"/>
      <c r="CI26" s="4"/>
      <c r="CJ26" s="4">
        <v>3.11</v>
      </c>
      <c r="CK26" s="4">
        <v>7.28</v>
      </c>
      <c r="CL26" s="4"/>
      <c r="CM26" s="4">
        <v>0.51</v>
      </c>
      <c r="CN26" s="4"/>
      <c r="CO26" s="4">
        <f>CK26-CM26</f>
        <v>6.7700000000000005</v>
      </c>
      <c r="CP26" s="2" t="s">
        <v>345</v>
      </c>
      <c r="CQ26" s="2" t="s">
        <v>254</v>
      </c>
      <c r="CR26" s="10" t="s">
        <v>346</v>
      </c>
      <c r="CS26" s="9" t="s">
        <v>256</v>
      </c>
    </row>
    <row r="27" spans="1:97" s="2" customFormat="1" ht="12.75">
      <c r="A27" s="2">
        <v>24</v>
      </c>
      <c r="B27" s="2" t="s">
        <v>248</v>
      </c>
      <c r="C27" s="2" t="s">
        <v>342</v>
      </c>
      <c r="D27" s="4" t="s">
        <v>250</v>
      </c>
      <c r="E27" s="2" t="s">
        <v>347</v>
      </c>
      <c r="F27" s="2" t="s">
        <v>348</v>
      </c>
      <c r="G27" s="2">
        <v>2013</v>
      </c>
      <c r="H27" s="2">
        <v>2016</v>
      </c>
      <c r="I27" s="2">
        <v>1</v>
      </c>
      <c r="J27" s="2">
        <v>3</v>
      </c>
      <c r="K27" s="2">
        <v>1</v>
      </c>
      <c r="L27" s="2">
        <v>1</v>
      </c>
      <c r="M27" s="2">
        <v>1</v>
      </c>
      <c r="N27" s="11">
        <v>1</v>
      </c>
      <c r="O27" s="4">
        <v>15.6</v>
      </c>
      <c r="P27" s="4">
        <f>(O27-5)*12+(5-3)</f>
        <v>129.19999999999999</v>
      </c>
      <c r="Q27" s="4">
        <v>1420</v>
      </c>
      <c r="R27" s="4"/>
      <c r="S27" s="4"/>
      <c r="T27" s="4"/>
      <c r="U27" s="4">
        <v>1847</v>
      </c>
      <c r="V27" s="4"/>
      <c r="W27" s="4"/>
      <c r="X27" s="4"/>
      <c r="Y27" s="4"/>
      <c r="Z27" s="4"/>
      <c r="AA27" s="4"/>
      <c r="AB27" s="4"/>
      <c r="AC27" s="4"/>
      <c r="AD27" s="4"/>
      <c r="AE27" s="4"/>
      <c r="AF27" s="4"/>
      <c r="AG27" s="4"/>
      <c r="AH27" s="4"/>
      <c r="AI27" s="4"/>
      <c r="AJ27" s="4"/>
      <c r="AK27" s="4"/>
      <c r="AL27" s="4"/>
      <c r="AM27" s="4"/>
      <c r="AN27" s="4"/>
      <c r="AO27" s="4"/>
      <c r="AP27" s="4"/>
      <c r="AQ27" s="4"/>
      <c r="AR27" s="4"/>
      <c r="AS27" s="4"/>
      <c r="AT27" s="4"/>
      <c r="AW27" s="4"/>
      <c r="AX27" s="4"/>
      <c r="AY27" s="4"/>
      <c r="AZ27" s="4"/>
      <c r="BA27" s="4"/>
      <c r="BB27" s="4"/>
      <c r="BC27" s="4"/>
      <c r="BD27" s="4"/>
      <c r="BE27" s="4"/>
      <c r="BF27" s="4"/>
      <c r="BG27" s="4"/>
      <c r="BH27" s="4"/>
      <c r="BI27" s="4"/>
      <c r="BJ27" s="4"/>
      <c r="BK27" s="4"/>
      <c r="BL27" s="4"/>
      <c r="BM27" s="4"/>
      <c r="BN27" s="4"/>
      <c r="BO27" s="4"/>
      <c r="BP27" s="4">
        <v>33</v>
      </c>
      <c r="BQ27" s="4"/>
      <c r="BR27" s="4"/>
      <c r="BS27" s="4"/>
      <c r="BT27" s="4"/>
      <c r="BU27" s="4">
        <v>24</v>
      </c>
      <c r="BV27" s="4">
        <f t="shared" si="3"/>
        <v>57</v>
      </c>
      <c r="BW27" s="4"/>
      <c r="BX27" s="4">
        <v>66</v>
      </c>
      <c r="BY27" s="4"/>
      <c r="BZ27" s="4">
        <f>BV27+BX27</f>
        <v>123</v>
      </c>
      <c r="CA27" s="4"/>
      <c r="CB27" s="4"/>
      <c r="CC27" s="4"/>
      <c r="CD27" s="4"/>
      <c r="CE27" s="4"/>
      <c r="CF27" s="4">
        <v>5.08</v>
      </c>
      <c r="CG27" s="4"/>
      <c r="CH27" s="4"/>
      <c r="CI27" s="4"/>
      <c r="CJ27" s="4">
        <v>4.0199999999999996</v>
      </c>
      <c r="CK27" s="4">
        <v>9.1</v>
      </c>
      <c r="CL27" s="4"/>
      <c r="CM27" s="4">
        <v>1.0900000000000001</v>
      </c>
      <c r="CN27" s="4"/>
      <c r="CO27" s="4">
        <f>CK27-CM27</f>
        <v>8.01</v>
      </c>
      <c r="CP27" s="2" t="s">
        <v>345</v>
      </c>
      <c r="CQ27" s="2" t="s">
        <v>254</v>
      </c>
      <c r="CR27" s="10" t="s">
        <v>349</v>
      </c>
      <c r="CS27" s="9" t="s">
        <v>256</v>
      </c>
    </row>
    <row r="28" spans="1:97" s="2" customFormat="1" ht="12.75">
      <c r="A28" s="2">
        <v>25</v>
      </c>
      <c r="B28" s="2" t="s">
        <v>248</v>
      </c>
      <c r="C28" s="2" t="s">
        <v>342</v>
      </c>
      <c r="D28" s="4" t="s">
        <v>250</v>
      </c>
      <c r="E28" s="2" t="s">
        <v>350</v>
      </c>
      <c r="F28" s="2" t="s">
        <v>351</v>
      </c>
      <c r="G28" s="2">
        <v>2013</v>
      </c>
      <c r="H28" s="2">
        <v>2016</v>
      </c>
      <c r="I28" s="2">
        <v>1</v>
      </c>
      <c r="J28" s="2">
        <v>1</v>
      </c>
      <c r="K28" s="2">
        <v>1</v>
      </c>
      <c r="L28" s="2">
        <v>1</v>
      </c>
      <c r="M28" s="2">
        <v>1</v>
      </c>
      <c r="N28" s="11">
        <v>1</v>
      </c>
      <c r="O28" s="4">
        <v>15.6</v>
      </c>
      <c r="P28" s="4">
        <f>(O28-5)*12+(5-3)</f>
        <v>129.19999999999999</v>
      </c>
      <c r="Q28" s="4">
        <v>1420</v>
      </c>
      <c r="R28" s="4"/>
      <c r="S28" s="4"/>
      <c r="T28" s="4"/>
      <c r="U28" s="4">
        <v>1847</v>
      </c>
      <c r="V28" s="4"/>
      <c r="W28" s="4"/>
      <c r="X28" s="4"/>
      <c r="Y28" s="4"/>
      <c r="Z28" s="4"/>
      <c r="AA28" s="4"/>
      <c r="AB28" s="4"/>
      <c r="AC28" s="4"/>
      <c r="AD28" s="4"/>
      <c r="AE28" s="4"/>
      <c r="AF28" s="4"/>
      <c r="AG28" s="4"/>
      <c r="AH28" s="4"/>
      <c r="AI28" s="4"/>
      <c r="AJ28" s="4"/>
      <c r="AK28" s="4"/>
      <c r="AL28" s="4"/>
      <c r="AM28" s="4"/>
      <c r="AN28" s="4"/>
      <c r="AO28" s="4"/>
      <c r="AP28" s="4"/>
      <c r="AQ28" s="4"/>
      <c r="AR28" s="4"/>
      <c r="AS28" s="4"/>
      <c r="AT28" s="4"/>
      <c r="AW28" s="4"/>
      <c r="AX28" s="4"/>
      <c r="AY28" s="4"/>
      <c r="AZ28" s="4"/>
      <c r="BA28" s="4"/>
      <c r="BB28" s="4"/>
      <c r="BC28" s="4"/>
      <c r="BD28" s="4"/>
      <c r="BE28" s="4"/>
      <c r="BF28" s="4"/>
      <c r="BG28" s="4"/>
      <c r="BH28" s="4"/>
      <c r="BI28" s="4"/>
      <c r="BJ28" s="4"/>
      <c r="BK28" s="4"/>
      <c r="BL28" s="4"/>
      <c r="BM28" s="4"/>
      <c r="BN28" s="4"/>
      <c r="BO28" s="4"/>
      <c r="BP28" s="4">
        <v>35.1</v>
      </c>
      <c r="BQ28" s="4"/>
      <c r="BR28" s="4"/>
      <c r="BS28" s="4"/>
      <c r="BT28" s="4"/>
      <c r="BU28" s="4">
        <v>26.1</v>
      </c>
      <c r="BV28" s="4">
        <f t="shared" si="3"/>
        <v>61.2</v>
      </c>
      <c r="BW28" s="4"/>
      <c r="BX28" s="4">
        <v>64.099999999999994</v>
      </c>
      <c r="BY28" s="4"/>
      <c r="BZ28" s="4">
        <f>BV28+BX28</f>
        <v>125.3</v>
      </c>
      <c r="CA28" s="4"/>
      <c r="CB28" s="4"/>
      <c r="CC28" s="4"/>
      <c r="CD28" s="4"/>
      <c r="CE28" s="4"/>
      <c r="CF28" s="4">
        <v>5.46</v>
      </c>
      <c r="CG28" s="4"/>
      <c r="CH28" s="4"/>
      <c r="CI28" s="4"/>
      <c r="CJ28" s="4">
        <v>4.34</v>
      </c>
      <c r="CK28" s="4">
        <v>9.8000000000000007</v>
      </c>
      <c r="CL28" s="4"/>
      <c r="CM28" s="4">
        <v>1.37</v>
      </c>
      <c r="CN28" s="4"/>
      <c r="CO28" s="4">
        <f>CK28-CM28</f>
        <v>8.43</v>
      </c>
      <c r="CP28" s="2" t="s">
        <v>345</v>
      </c>
      <c r="CQ28" s="2" t="s">
        <v>254</v>
      </c>
      <c r="CR28" s="10" t="s">
        <v>352</v>
      </c>
      <c r="CS28" s="9" t="s">
        <v>256</v>
      </c>
    </row>
    <row r="29" spans="1:97" s="2" customFormat="1" ht="12.75">
      <c r="A29" s="2">
        <v>26</v>
      </c>
      <c r="B29" s="2" t="s">
        <v>248</v>
      </c>
      <c r="C29" s="2" t="s">
        <v>342</v>
      </c>
      <c r="D29" s="4" t="s">
        <v>250</v>
      </c>
      <c r="E29" s="2" t="s">
        <v>353</v>
      </c>
      <c r="F29" s="2" t="s">
        <v>354</v>
      </c>
      <c r="G29" s="2">
        <v>2013</v>
      </c>
      <c r="H29" s="2">
        <v>2016</v>
      </c>
      <c r="I29" s="2">
        <v>1</v>
      </c>
      <c r="J29" s="2">
        <v>2</v>
      </c>
      <c r="K29" s="2">
        <v>1</v>
      </c>
      <c r="L29" s="2">
        <v>1</v>
      </c>
      <c r="M29" s="2">
        <v>1</v>
      </c>
      <c r="N29" s="11">
        <v>1</v>
      </c>
      <c r="O29" s="4">
        <v>15.6</v>
      </c>
      <c r="P29" s="4">
        <f>(O29-5)*12+(5-3)</f>
        <v>129.19999999999999</v>
      </c>
      <c r="Q29" s="4">
        <v>1420</v>
      </c>
      <c r="R29" s="4"/>
      <c r="S29" s="4"/>
      <c r="T29" s="4"/>
      <c r="U29" s="4">
        <v>1847</v>
      </c>
      <c r="V29" s="4"/>
      <c r="W29" s="4"/>
      <c r="X29" s="4"/>
      <c r="Y29" s="4"/>
      <c r="Z29" s="4"/>
      <c r="AA29" s="4"/>
      <c r="AB29" s="4"/>
      <c r="AC29" s="4"/>
      <c r="AD29" s="4"/>
      <c r="AE29" s="4"/>
      <c r="AF29" s="4"/>
      <c r="AG29" s="4"/>
      <c r="AH29" s="4"/>
      <c r="AI29" s="4"/>
      <c r="AJ29" s="4"/>
      <c r="AK29" s="4"/>
      <c r="AL29" s="4"/>
      <c r="AM29" s="4"/>
      <c r="AN29" s="4"/>
      <c r="AO29" s="4"/>
      <c r="AP29" s="4"/>
      <c r="AQ29" s="4"/>
      <c r="AR29" s="4"/>
      <c r="AS29" s="4"/>
      <c r="AT29" s="4"/>
      <c r="AW29" s="4"/>
      <c r="AX29" s="4"/>
      <c r="AY29" s="4"/>
      <c r="AZ29" s="4"/>
      <c r="BA29" s="4"/>
      <c r="BB29" s="4"/>
      <c r="BC29" s="4"/>
      <c r="BD29" s="4"/>
      <c r="BE29" s="4"/>
      <c r="BF29" s="4"/>
      <c r="BG29" s="4"/>
      <c r="BH29" s="4"/>
      <c r="BI29" s="4"/>
      <c r="BJ29" s="4"/>
      <c r="BK29" s="4"/>
      <c r="BL29" s="4"/>
      <c r="BM29" s="4"/>
      <c r="BN29" s="4"/>
      <c r="BO29" s="4"/>
      <c r="BP29" s="4">
        <v>37.700000000000003</v>
      </c>
      <c r="BQ29" s="4"/>
      <c r="BR29" s="4"/>
      <c r="BS29" s="4"/>
      <c r="BT29" s="4"/>
      <c r="BU29" s="4">
        <v>26</v>
      </c>
      <c r="BV29" s="4">
        <f t="shared" si="3"/>
        <v>63.7</v>
      </c>
      <c r="BW29" s="4"/>
      <c r="BX29" s="4">
        <v>63</v>
      </c>
      <c r="BY29" s="4"/>
      <c r="BZ29" s="4">
        <f>BV29+BX29</f>
        <v>126.7</v>
      </c>
      <c r="CA29" s="4"/>
      <c r="CB29" s="4"/>
      <c r="CC29" s="4"/>
      <c r="CD29" s="4"/>
      <c r="CE29" s="4"/>
      <c r="CF29" s="4">
        <v>5.76</v>
      </c>
      <c r="CG29" s="4"/>
      <c r="CH29" s="4"/>
      <c r="CI29" s="4"/>
      <c r="CJ29" s="4">
        <v>4.33</v>
      </c>
      <c r="CK29" s="4">
        <v>10.09</v>
      </c>
      <c r="CL29" s="4"/>
      <c r="CM29" s="4">
        <v>1.29</v>
      </c>
      <c r="CN29" s="4"/>
      <c r="CO29" s="4">
        <f>CK29-CM29</f>
        <v>8.8000000000000007</v>
      </c>
      <c r="CP29" s="2" t="s">
        <v>345</v>
      </c>
      <c r="CQ29" s="2" t="s">
        <v>254</v>
      </c>
      <c r="CR29" s="10" t="s">
        <v>355</v>
      </c>
      <c r="CS29" s="9" t="s">
        <v>256</v>
      </c>
    </row>
    <row r="30" spans="1:97" s="2" customFormat="1" ht="12.75">
      <c r="A30" s="2">
        <v>27</v>
      </c>
      <c r="B30" s="2" t="s">
        <v>248</v>
      </c>
      <c r="C30" s="2" t="s">
        <v>356</v>
      </c>
      <c r="D30" s="4" t="s">
        <v>250</v>
      </c>
      <c r="E30" s="2" t="s">
        <v>357</v>
      </c>
      <c r="F30" s="2" t="s">
        <v>358</v>
      </c>
      <c r="G30" s="2">
        <v>1980</v>
      </c>
      <c r="H30" s="2">
        <v>1989</v>
      </c>
      <c r="I30" s="2">
        <v>1</v>
      </c>
      <c r="J30" s="2">
        <v>1</v>
      </c>
      <c r="K30" s="2">
        <v>1</v>
      </c>
      <c r="L30" s="2">
        <v>1</v>
      </c>
      <c r="M30" s="2">
        <v>0</v>
      </c>
      <c r="N30" s="11">
        <v>0</v>
      </c>
      <c r="O30" s="4">
        <v>16</v>
      </c>
      <c r="P30" s="4">
        <f>(O30-5)*12</f>
        <v>132</v>
      </c>
      <c r="Q30" s="4">
        <v>1800</v>
      </c>
      <c r="R30" s="4"/>
      <c r="S30" s="4">
        <v>31</v>
      </c>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W30" s="4">
        <v>3750</v>
      </c>
      <c r="AX30" s="4"/>
      <c r="AY30" s="4"/>
      <c r="AZ30" s="4"/>
      <c r="BA30" s="4"/>
      <c r="BB30" s="4"/>
      <c r="BC30" s="4">
        <v>11.17</v>
      </c>
      <c r="BD30" s="4"/>
      <c r="BE30" s="4"/>
      <c r="BF30" s="4"/>
      <c r="BG30" s="4"/>
      <c r="BH30" s="4"/>
      <c r="BI30" s="4"/>
      <c r="BJ30" s="4"/>
      <c r="BK30" s="4"/>
      <c r="BL30" s="4"/>
      <c r="BM30" s="4">
        <f>0.4314*10000/1000*50%</f>
        <v>2.157</v>
      </c>
      <c r="BN30" s="4">
        <f>1.305*10000/1000*50%</f>
        <v>6.5250000000000004</v>
      </c>
      <c r="BO30" s="4">
        <f>(9.889)*10000/1000*50%</f>
        <v>49.445</v>
      </c>
      <c r="BP30" s="4">
        <f>SUM(BM30:BO30)</f>
        <v>58.127000000000002</v>
      </c>
      <c r="BQ30" s="4">
        <f>BU30/BP30</f>
        <v>0.56884064204242424</v>
      </c>
      <c r="BR30" s="4">
        <f>(3.864)*10000/1000*50%</f>
        <v>19.32</v>
      </c>
      <c r="BS30" s="4">
        <f>(1.449)*10000/1000*50%</f>
        <v>7.2450000000000001</v>
      </c>
      <c r="BT30" s="4">
        <f>(1.3)*10000/1000*50%</f>
        <v>6.5</v>
      </c>
      <c r="BU30" s="4">
        <f>SUM(BR30:BT30)</f>
        <v>33.064999999999998</v>
      </c>
      <c r="BV30" s="4">
        <f t="shared" si="3"/>
        <v>91.192000000000007</v>
      </c>
      <c r="BW30" s="4"/>
      <c r="BX30" s="4"/>
      <c r="BY30" s="4"/>
      <c r="BZ30" s="4"/>
      <c r="CA30" s="4"/>
      <c r="CB30" s="4"/>
      <c r="CC30" s="4"/>
      <c r="CD30" s="4"/>
      <c r="CE30" s="4"/>
      <c r="CF30" s="4">
        <f>((10.0169+1.0598)/10)*10000/1000*50%</f>
        <v>5.5383499999999994</v>
      </c>
      <c r="CG30" s="4"/>
      <c r="CH30" s="4"/>
      <c r="CI30" s="4"/>
      <c r="CJ30" s="4"/>
      <c r="CK30" s="4"/>
      <c r="CL30" s="4"/>
      <c r="CM30" s="4"/>
      <c r="CN30" s="4"/>
      <c r="CP30" s="2" t="s">
        <v>359</v>
      </c>
      <c r="CQ30" s="2" t="s">
        <v>254</v>
      </c>
      <c r="CR30" s="10" t="s">
        <v>360</v>
      </c>
      <c r="CS30" s="9" t="s">
        <v>256</v>
      </c>
    </row>
    <row r="31" spans="1:97" s="2" customFormat="1" ht="12.75">
      <c r="A31" s="2">
        <v>28</v>
      </c>
      <c r="B31" s="2" t="s">
        <v>248</v>
      </c>
      <c r="C31" s="2" t="s">
        <v>356</v>
      </c>
      <c r="D31" s="4" t="s">
        <v>250</v>
      </c>
      <c r="E31" s="2" t="s">
        <v>361</v>
      </c>
      <c r="F31" s="2" t="s">
        <v>362</v>
      </c>
      <c r="G31" s="2">
        <v>1982</v>
      </c>
      <c r="H31" s="2">
        <v>1989</v>
      </c>
      <c r="I31" s="2">
        <v>1</v>
      </c>
      <c r="J31" s="2">
        <v>0</v>
      </c>
      <c r="K31" s="2">
        <v>1</v>
      </c>
      <c r="L31" s="2">
        <v>1</v>
      </c>
      <c r="M31" s="2">
        <v>0</v>
      </c>
      <c r="N31" s="11">
        <v>0</v>
      </c>
      <c r="O31" s="4">
        <v>16</v>
      </c>
      <c r="P31" s="4">
        <f>(O31-5)*12</f>
        <v>132</v>
      </c>
      <c r="Q31" s="4">
        <v>1800</v>
      </c>
      <c r="R31" s="4"/>
      <c r="S31" s="4">
        <v>31</v>
      </c>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W31" s="4">
        <v>2700</v>
      </c>
      <c r="AX31" s="4"/>
      <c r="AY31" s="4"/>
      <c r="AZ31" s="4"/>
      <c r="BA31" s="4"/>
      <c r="BB31" s="4"/>
      <c r="BC31" s="4">
        <v>8.02</v>
      </c>
      <c r="BD31" s="4"/>
      <c r="BE31" s="4"/>
      <c r="BF31" s="4"/>
      <c r="BG31" s="4"/>
      <c r="BH31" s="4"/>
      <c r="BI31" s="4"/>
      <c r="BJ31" s="4"/>
      <c r="BK31" s="4"/>
      <c r="BL31" s="4"/>
      <c r="BM31" s="4">
        <f>0.2886*10000/1000*50%</f>
        <v>1.4430000000000003</v>
      </c>
      <c r="BN31" s="4">
        <f>0.8213*10000/1000*50%</f>
        <v>4.1064999999999996</v>
      </c>
      <c r="BO31" s="4">
        <f>4.199*10000/1000*50%</f>
        <v>20.995000000000001</v>
      </c>
      <c r="BP31" s="4">
        <f>SUM(BM31:BO31)</f>
        <v>26.544499999999999</v>
      </c>
      <c r="BQ31" s="4"/>
      <c r="BR31" s="4">
        <f>(4.857)*10000/1000*50%</f>
        <v>24.285</v>
      </c>
      <c r="BS31" s="4">
        <f>(1.337)*10000/1000*50%</f>
        <v>6.6849999999999996</v>
      </c>
      <c r="BT31" s="4">
        <f>(0.5091)*10000/1000*50%</f>
        <v>2.5455000000000001</v>
      </c>
      <c r="BU31" s="4">
        <f>SUM(BR31:BT31)</f>
        <v>33.515499999999996</v>
      </c>
      <c r="BV31" s="4">
        <f t="shared" si="3"/>
        <v>60.059999999999995</v>
      </c>
      <c r="BW31" s="4"/>
      <c r="BX31" s="4"/>
      <c r="BY31" s="4"/>
      <c r="BZ31" s="4"/>
      <c r="CA31" s="4"/>
      <c r="CB31" s="4"/>
      <c r="CC31" s="4"/>
      <c r="CD31" s="4"/>
      <c r="CE31" s="4"/>
      <c r="CF31" s="4">
        <f>((4.2415+0.3274)/8)*10000/1000*50%</f>
        <v>2.8555625</v>
      </c>
      <c r="CG31" s="4"/>
      <c r="CH31" s="4"/>
      <c r="CI31" s="4"/>
      <c r="CJ31" s="4"/>
      <c r="CK31" s="4"/>
      <c r="CL31" s="4"/>
      <c r="CM31" s="4"/>
      <c r="CN31" s="4"/>
      <c r="CP31" s="2" t="s">
        <v>359</v>
      </c>
      <c r="CQ31" s="2" t="s">
        <v>254</v>
      </c>
      <c r="CR31" s="10" t="s">
        <v>360</v>
      </c>
      <c r="CS31" s="9" t="s">
        <v>256</v>
      </c>
    </row>
    <row r="32" spans="1:97" s="2" customFormat="1" ht="12.75">
      <c r="A32" s="2">
        <v>29</v>
      </c>
      <c r="B32" s="2" t="s">
        <v>363</v>
      </c>
      <c r="C32" s="2" t="s">
        <v>364</v>
      </c>
      <c r="D32" s="4" t="s">
        <v>365</v>
      </c>
      <c r="E32" s="2" t="s">
        <v>366</v>
      </c>
      <c r="F32" s="2" t="s">
        <v>367</v>
      </c>
      <c r="G32" s="2">
        <v>2008</v>
      </c>
      <c r="H32" s="2">
        <v>2009</v>
      </c>
      <c r="I32" s="2">
        <v>0</v>
      </c>
      <c r="J32" s="2">
        <v>0</v>
      </c>
      <c r="K32" s="2">
        <v>0</v>
      </c>
      <c r="L32" s="2">
        <v>0</v>
      </c>
      <c r="M32" s="2">
        <v>0</v>
      </c>
      <c r="N32" s="12">
        <v>0</v>
      </c>
      <c r="O32" s="4">
        <v>14.8</v>
      </c>
      <c r="P32" s="4">
        <f>(O32-5)*12</f>
        <v>117.60000000000001</v>
      </c>
      <c r="Q32" s="4">
        <v>1451.4</v>
      </c>
      <c r="R32" s="4">
        <v>7</v>
      </c>
      <c r="S32" s="4">
        <v>110</v>
      </c>
      <c r="T32" s="4">
        <v>61.208329999999997</v>
      </c>
      <c r="U32" s="4">
        <v>2161.15</v>
      </c>
      <c r="V32" s="4">
        <v>1.5333300000000001</v>
      </c>
      <c r="W32" s="4">
        <v>0.4</v>
      </c>
      <c r="X32" s="4"/>
      <c r="Y32" s="4">
        <v>4.55</v>
      </c>
      <c r="Z32" s="4"/>
      <c r="AA32" s="4"/>
      <c r="AB32" s="4"/>
      <c r="AC32" s="4"/>
      <c r="AD32" s="4">
        <f>(0.023)*1000</f>
        <v>23</v>
      </c>
      <c r="AE32" s="4"/>
      <c r="AF32" s="4"/>
      <c r="AG32" s="4"/>
      <c r="AH32" s="4"/>
      <c r="AI32" s="4"/>
      <c r="AJ32" s="4"/>
      <c r="AK32" s="4"/>
      <c r="AL32" s="4"/>
      <c r="AM32" s="4"/>
      <c r="AN32" s="4"/>
      <c r="AO32" s="4"/>
      <c r="AP32" s="4"/>
      <c r="AQ32" s="4">
        <v>203</v>
      </c>
      <c r="AR32" s="4">
        <v>176</v>
      </c>
      <c r="AS32" s="4"/>
      <c r="AT32" s="4"/>
      <c r="AV32" s="4">
        <v>290</v>
      </c>
      <c r="AW32" s="4">
        <v>2660</v>
      </c>
      <c r="AX32" s="4">
        <v>8.1999999999999993</v>
      </c>
      <c r="AY32" s="4"/>
      <c r="AZ32" s="4">
        <f t="shared" ref="AZ32:AZ40" si="4">(AX32/2)^2*PI()*AW32/10000</f>
        <v>14.047505886820614</v>
      </c>
      <c r="BA32" s="4"/>
      <c r="BB32" s="4"/>
      <c r="BC32" s="4"/>
      <c r="BD32" s="4"/>
      <c r="BE32" s="4"/>
      <c r="BF32" s="4"/>
      <c r="BG32" s="4"/>
      <c r="BH32" s="4"/>
      <c r="BI32" s="4"/>
      <c r="BJ32" s="4"/>
      <c r="BK32" s="4"/>
      <c r="BL32" s="4"/>
      <c r="BM32" s="4">
        <f>1.29*50%</f>
        <v>0.64500000000000002</v>
      </c>
      <c r="BN32" s="4">
        <f>3.72*50%</f>
        <v>1.86</v>
      </c>
      <c r="BO32" s="4">
        <f>26.4*50%</f>
        <v>13.2</v>
      </c>
      <c r="BP32" s="4">
        <f>SUM(BM32:BO32)</f>
        <v>15.704999999999998</v>
      </c>
      <c r="BQ32" s="4">
        <f>BU32/BP32</f>
        <v>1.1464501751034704</v>
      </c>
      <c r="BR32" s="4">
        <f>(18.7+7.47)*50%</f>
        <v>13.084999999999999</v>
      </c>
      <c r="BS32" s="4">
        <f>9.84*50%</f>
        <v>4.92</v>
      </c>
      <c r="BT32" s="4"/>
      <c r="BU32" s="4">
        <f>SUM(BR32:BT32)</f>
        <v>18.004999999999999</v>
      </c>
      <c r="BV32" s="4">
        <f t="shared" si="3"/>
        <v>33.709999999999994</v>
      </c>
      <c r="BX32" s="4"/>
      <c r="BY32" s="4"/>
      <c r="BZ32" s="4"/>
      <c r="CA32" s="4"/>
      <c r="CB32" s="4"/>
      <c r="CC32" s="4"/>
      <c r="CD32" s="4">
        <f>7.19*50%</f>
        <v>3.5950000000000002</v>
      </c>
      <c r="CE32" s="4"/>
      <c r="CF32" s="4"/>
      <c r="CG32" s="4"/>
      <c r="CH32" s="4"/>
      <c r="CI32" s="4"/>
      <c r="CJ32" s="4"/>
      <c r="CK32" s="4"/>
      <c r="CL32" s="4"/>
      <c r="CM32" s="4"/>
      <c r="CN32" s="4"/>
      <c r="CP32" s="2" t="s">
        <v>368</v>
      </c>
      <c r="CQ32" s="2" t="s">
        <v>254</v>
      </c>
      <c r="CR32" s="10" t="s">
        <v>369</v>
      </c>
      <c r="CS32" s="9" t="s">
        <v>256</v>
      </c>
    </row>
    <row r="33" spans="1:97" s="2" customFormat="1" ht="12.75">
      <c r="A33" s="2">
        <v>30</v>
      </c>
      <c r="B33" s="2" t="s">
        <v>363</v>
      </c>
      <c r="C33" s="2" t="s">
        <v>364</v>
      </c>
      <c r="D33" s="4" t="s">
        <v>365</v>
      </c>
      <c r="E33" s="2" t="s">
        <v>370</v>
      </c>
      <c r="F33" s="2" t="s">
        <v>371</v>
      </c>
      <c r="G33" s="2">
        <v>2008</v>
      </c>
      <c r="H33" s="2">
        <v>2009</v>
      </c>
      <c r="I33" s="2">
        <v>0</v>
      </c>
      <c r="J33" s="2">
        <v>0</v>
      </c>
      <c r="K33" s="2">
        <v>0</v>
      </c>
      <c r="L33" s="2">
        <v>0</v>
      </c>
      <c r="M33" s="2">
        <v>0</v>
      </c>
      <c r="N33" s="12">
        <v>0</v>
      </c>
      <c r="O33" s="4">
        <v>14.8</v>
      </c>
      <c r="P33" s="4">
        <f>(O33-5)*12</f>
        <v>117.60000000000001</v>
      </c>
      <c r="Q33" s="4">
        <v>1451.4</v>
      </c>
      <c r="R33" s="4">
        <v>7</v>
      </c>
      <c r="S33" s="4">
        <v>160</v>
      </c>
      <c r="T33" s="4">
        <v>61.208329999999997</v>
      </c>
      <c r="U33" s="4">
        <v>2161.15</v>
      </c>
      <c r="V33" s="4">
        <v>1.5333300000000001</v>
      </c>
      <c r="W33" s="4">
        <v>0.31</v>
      </c>
      <c r="X33" s="4"/>
      <c r="Y33" s="4">
        <v>4.79</v>
      </c>
      <c r="Z33" s="4"/>
      <c r="AA33" s="4"/>
      <c r="AB33" s="4"/>
      <c r="AC33" s="4"/>
      <c r="AD33" s="4">
        <f>(0.025)*1000</f>
        <v>25</v>
      </c>
      <c r="AE33" s="4"/>
      <c r="AF33" s="4"/>
      <c r="AG33" s="4"/>
      <c r="AH33" s="4"/>
      <c r="AI33" s="4"/>
      <c r="AJ33" s="4"/>
      <c r="AK33" s="4"/>
      <c r="AL33" s="4"/>
      <c r="AM33" s="4"/>
      <c r="AN33" s="4"/>
      <c r="AO33" s="4"/>
      <c r="AP33" s="4"/>
      <c r="AQ33" s="4">
        <v>357</v>
      </c>
      <c r="AR33" s="4">
        <v>463</v>
      </c>
      <c r="AS33" s="4"/>
      <c r="AT33" s="4"/>
      <c r="AV33" s="4">
        <v>67</v>
      </c>
      <c r="AW33" s="4">
        <v>4790</v>
      </c>
      <c r="AX33" s="4">
        <v>11.2</v>
      </c>
      <c r="AY33" s="4"/>
      <c r="AZ33" s="4">
        <f t="shared" si="4"/>
        <v>47.191245550339858</v>
      </c>
      <c r="BA33" s="4"/>
      <c r="BB33" s="4"/>
      <c r="BC33" s="4"/>
      <c r="BD33" s="4"/>
      <c r="BE33" s="4"/>
      <c r="BF33" s="4"/>
      <c r="BG33" s="4"/>
      <c r="BH33" s="4"/>
      <c r="BI33" s="4"/>
      <c r="BJ33" s="4"/>
      <c r="BK33" s="4"/>
      <c r="BL33" s="4"/>
      <c r="BM33" s="4">
        <f>4.06*50%</f>
        <v>2.0299999999999998</v>
      </c>
      <c r="BN33" s="4">
        <f>10.9*50%</f>
        <v>5.45</v>
      </c>
      <c r="BO33" s="4">
        <f>92.2*50%</f>
        <v>46.1</v>
      </c>
      <c r="BP33" s="4">
        <f>SUM(BM33:BO33)</f>
        <v>53.58</v>
      </c>
      <c r="BQ33" s="4">
        <f>BU33/BP33</f>
        <v>0.63176558417319884</v>
      </c>
      <c r="BR33" s="4">
        <f>(23.9+17.4)*50%</f>
        <v>20.65</v>
      </c>
      <c r="BS33" s="4">
        <f>26.4*50%</f>
        <v>13.2</v>
      </c>
      <c r="BT33" s="4"/>
      <c r="BU33" s="4">
        <f>SUM(BR33:BT33)</f>
        <v>33.849999999999994</v>
      </c>
      <c r="BV33" s="4">
        <f t="shared" si="3"/>
        <v>87.429999999999993</v>
      </c>
      <c r="BX33" s="4"/>
      <c r="BY33" s="4"/>
      <c r="BZ33" s="4"/>
      <c r="CA33" s="4"/>
      <c r="CB33" s="4"/>
      <c r="CC33" s="4"/>
      <c r="CD33" s="4">
        <f>3.03*50%</f>
        <v>1.5149999999999999</v>
      </c>
      <c r="CE33" s="4"/>
      <c r="CF33" s="4"/>
      <c r="CG33" s="4"/>
      <c r="CH33" s="4"/>
      <c r="CI33" s="4"/>
      <c r="CJ33" s="4"/>
      <c r="CK33" s="4"/>
      <c r="CL33" s="4"/>
      <c r="CM33" s="4"/>
      <c r="CN33" s="4"/>
      <c r="CP33" s="2" t="s">
        <v>368</v>
      </c>
      <c r="CQ33" s="2" t="s">
        <v>254</v>
      </c>
      <c r="CR33" s="10" t="s">
        <v>369</v>
      </c>
      <c r="CS33" s="9" t="s">
        <v>256</v>
      </c>
    </row>
    <row r="34" spans="1:97" s="2" customFormat="1" ht="12.75">
      <c r="A34" s="2">
        <v>31</v>
      </c>
      <c r="B34" s="2" t="s">
        <v>363</v>
      </c>
      <c r="C34" s="2" t="s">
        <v>364</v>
      </c>
      <c r="D34" s="4" t="s">
        <v>365</v>
      </c>
      <c r="E34" s="2" t="s">
        <v>372</v>
      </c>
      <c r="F34" s="2" t="s">
        <v>373</v>
      </c>
      <c r="G34" s="2">
        <v>2008</v>
      </c>
      <c r="H34" s="2">
        <v>2009</v>
      </c>
      <c r="I34" s="2">
        <v>0</v>
      </c>
      <c r="J34" s="2">
        <v>0</v>
      </c>
      <c r="K34" s="2">
        <v>0</v>
      </c>
      <c r="L34" s="2">
        <v>0</v>
      </c>
      <c r="M34" s="2">
        <v>0</v>
      </c>
      <c r="N34" s="12">
        <v>0</v>
      </c>
      <c r="O34" s="4">
        <v>14.8</v>
      </c>
      <c r="P34" s="4">
        <f>(O34-5)*12</f>
        <v>117.60000000000001</v>
      </c>
      <c r="Q34" s="4">
        <v>1451.4</v>
      </c>
      <c r="R34" s="4">
        <v>7</v>
      </c>
      <c r="S34" s="4">
        <v>200</v>
      </c>
      <c r="T34" s="4">
        <v>61.208329999999997</v>
      </c>
      <c r="U34" s="4">
        <v>2161.15</v>
      </c>
      <c r="V34" s="4">
        <v>1.5333300000000001</v>
      </c>
      <c r="W34" s="4">
        <v>0.48</v>
      </c>
      <c r="X34" s="4"/>
      <c r="Y34" s="4">
        <v>4.6900000000000004</v>
      </c>
      <c r="Z34" s="4"/>
      <c r="AA34" s="4"/>
      <c r="AB34" s="4"/>
      <c r="AC34" s="4"/>
      <c r="AD34" s="4">
        <f>(0.025)*1000</f>
        <v>25</v>
      </c>
      <c r="AE34" s="4"/>
      <c r="AF34" s="4"/>
      <c r="AG34" s="4"/>
      <c r="AH34" s="4"/>
      <c r="AI34" s="4"/>
      <c r="AJ34" s="4"/>
      <c r="AK34" s="4"/>
      <c r="AL34" s="4"/>
      <c r="AM34" s="4"/>
      <c r="AN34" s="4"/>
      <c r="AO34" s="4"/>
      <c r="AP34" s="4"/>
      <c r="AQ34" s="4">
        <v>256</v>
      </c>
      <c r="AR34" s="4">
        <v>368</v>
      </c>
      <c r="AS34" s="4"/>
      <c r="AT34" s="4"/>
      <c r="AV34" s="4">
        <v>324</v>
      </c>
      <c r="AW34" s="4">
        <v>2400</v>
      </c>
      <c r="AX34" s="4">
        <v>10.1</v>
      </c>
      <c r="AY34" s="4"/>
      <c r="AZ34" s="4">
        <f t="shared" si="4"/>
        <v>19.228431995561689</v>
      </c>
      <c r="BA34" s="4"/>
      <c r="BB34" s="4"/>
      <c r="BC34" s="4"/>
      <c r="BD34" s="4"/>
      <c r="BE34" s="4"/>
      <c r="BF34" s="4"/>
      <c r="BG34" s="4"/>
      <c r="BH34" s="4"/>
      <c r="BI34" s="4"/>
      <c r="BJ34" s="4"/>
      <c r="BK34" s="4"/>
      <c r="BL34" s="4"/>
      <c r="BM34" s="4">
        <f>1.69*50%</f>
        <v>0.84499999999999997</v>
      </c>
      <c r="BN34" s="4">
        <f>4.64*50%</f>
        <v>2.3199999999999998</v>
      </c>
      <c r="BO34" s="4">
        <f>37.3*50%</f>
        <v>18.649999999999999</v>
      </c>
      <c r="BP34" s="4">
        <f>SUM(BM34:BO34)</f>
        <v>21.814999999999998</v>
      </c>
      <c r="BQ34" s="4">
        <f>BU34/BP34</f>
        <v>1.3183589273435712</v>
      </c>
      <c r="BR34" s="4">
        <f>(23.1+9.92)*50%</f>
        <v>16.510000000000002</v>
      </c>
      <c r="BS34" s="4">
        <f>24.5*50%</f>
        <v>12.25</v>
      </c>
      <c r="BT34" s="4"/>
      <c r="BU34" s="4">
        <f>SUM(BR34:BT34)</f>
        <v>28.76</v>
      </c>
      <c r="BV34" s="4">
        <f t="shared" si="3"/>
        <v>50.575000000000003</v>
      </c>
      <c r="BX34" s="4"/>
      <c r="BY34" s="4"/>
      <c r="BZ34" s="4"/>
      <c r="CA34" s="4"/>
      <c r="CB34" s="4"/>
      <c r="CC34" s="4"/>
      <c r="CD34" s="4">
        <f>5.26*50%</f>
        <v>2.63</v>
      </c>
      <c r="CE34" s="4"/>
      <c r="CF34" s="4"/>
      <c r="CG34" s="4"/>
      <c r="CH34" s="4"/>
      <c r="CI34" s="4"/>
      <c r="CJ34" s="4"/>
      <c r="CK34" s="4"/>
      <c r="CL34" s="4"/>
      <c r="CM34" s="4"/>
      <c r="CN34" s="4"/>
      <c r="CP34" s="2" t="s">
        <v>368</v>
      </c>
      <c r="CQ34" s="2" t="s">
        <v>254</v>
      </c>
      <c r="CR34" s="10" t="s">
        <v>369</v>
      </c>
      <c r="CS34" s="9" t="s">
        <v>256</v>
      </c>
    </row>
    <row r="35" spans="1:97" s="2" customFormat="1" ht="12.75">
      <c r="A35" s="2">
        <v>32</v>
      </c>
      <c r="B35" s="2" t="s">
        <v>374</v>
      </c>
      <c r="C35" s="2" t="s">
        <v>375</v>
      </c>
      <c r="D35" s="4" t="s">
        <v>250</v>
      </c>
      <c r="E35" s="2" t="s">
        <v>376</v>
      </c>
      <c r="F35" s="2" t="s">
        <v>377</v>
      </c>
      <c r="G35" s="2">
        <v>2002</v>
      </c>
      <c r="H35" s="2">
        <v>2003</v>
      </c>
      <c r="I35" s="2">
        <v>0</v>
      </c>
      <c r="J35" s="2">
        <v>0</v>
      </c>
      <c r="K35" s="2">
        <v>0</v>
      </c>
      <c r="L35" s="2">
        <v>0</v>
      </c>
      <c r="M35" s="2">
        <v>0</v>
      </c>
      <c r="N35" s="2">
        <v>0</v>
      </c>
      <c r="O35" s="4">
        <v>16.087499999999999</v>
      </c>
      <c r="P35" s="4">
        <v>133.5</v>
      </c>
      <c r="Q35" s="4">
        <v>1556.5</v>
      </c>
      <c r="R35" s="4">
        <v>0</v>
      </c>
      <c r="S35" s="4">
        <f>(50+92)/2</f>
        <v>71</v>
      </c>
      <c r="U35" s="13">
        <v>1659.6</v>
      </c>
      <c r="V35" s="4">
        <v>2.329167</v>
      </c>
      <c r="W35" s="4"/>
      <c r="X35" s="4"/>
      <c r="Y35" s="4"/>
      <c r="Z35" s="4"/>
      <c r="AA35" s="4"/>
      <c r="AB35" s="4"/>
      <c r="AC35" s="4"/>
      <c r="AD35" s="4"/>
      <c r="AE35" s="4"/>
      <c r="AF35" s="4"/>
      <c r="AG35" s="4"/>
      <c r="AH35" s="4"/>
      <c r="AI35" s="4"/>
      <c r="AJ35" s="4"/>
      <c r="AK35" s="4"/>
      <c r="AL35" s="4"/>
      <c r="AM35" s="4"/>
      <c r="AN35" s="4"/>
      <c r="AO35" s="4"/>
      <c r="AP35" s="4"/>
      <c r="AQ35" s="4"/>
      <c r="AR35" s="4"/>
      <c r="AS35" s="4"/>
      <c r="AT35" s="4"/>
      <c r="AV35" s="4"/>
      <c r="AW35" s="4">
        <f>(8000+8791+5263)/3</f>
        <v>7351.333333333333</v>
      </c>
      <c r="AX35" s="4">
        <f>(8000*12.3+8791*9.8+5263*11.4)/(AW35*3)</f>
        <v>11.088691393851455</v>
      </c>
      <c r="AY35" s="4">
        <f>(8000*17+8791*14.2+5263*15.9)/(AW35*3)</f>
        <v>15.621379341616034</v>
      </c>
      <c r="AZ35" s="4">
        <f t="shared" si="4"/>
        <v>70.993173583070003</v>
      </c>
      <c r="BA35" s="4"/>
      <c r="BB35" s="4"/>
      <c r="BC35" s="4"/>
      <c r="BD35" s="4"/>
      <c r="BE35" s="4"/>
      <c r="BF35" s="4"/>
      <c r="BG35" s="4"/>
      <c r="BH35" s="4"/>
      <c r="BI35" s="4"/>
      <c r="BJ35" s="4"/>
      <c r="BK35" s="4"/>
      <c r="BL35" s="4"/>
      <c r="BM35" s="4"/>
      <c r="BN35" s="4"/>
      <c r="BO35" s="4"/>
      <c r="BP35" s="4">
        <f>((233.1+151.1+138.3)/3)*50%</f>
        <v>87.083333333333329</v>
      </c>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2" t="s">
        <v>378</v>
      </c>
      <c r="CQ35" s="2" t="s">
        <v>254</v>
      </c>
      <c r="CR35" s="10" t="s">
        <v>379</v>
      </c>
      <c r="CS35" s="9" t="s">
        <v>256</v>
      </c>
    </row>
    <row r="36" spans="1:97" s="2" customFormat="1" ht="12.75">
      <c r="A36" s="2">
        <v>33</v>
      </c>
      <c r="B36" s="2" t="s">
        <v>374</v>
      </c>
      <c r="C36" s="2" t="s">
        <v>380</v>
      </c>
      <c r="D36" s="4" t="s">
        <v>365</v>
      </c>
      <c r="E36" s="2" t="s">
        <v>381</v>
      </c>
      <c r="F36" s="2" t="s">
        <v>382</v>
      </c>
      <c r="G36" s="2">
        <v>2005</v>
      </c>
      <c r="H36" s="2">
        <v>2005</v>
      </c>
      <c r="I36" s="2">
        <v>0</v>
      </c>
      <c r="J36" s="2">
        <v>0</v>
      </c>
      <c r="K36" s="2">
        <v>0</v>
      </c>
      <c r="L36" s="2">
        <v>0</v>
      </c>
      <c r="M36" s="2">
        <v>0</v>
      </c>
      <c r="N36" s="12">
        <v>1</v>
      </c>
      <c r="O36" s="4">
        <v>11.3</v>
      </c>
      <c r="P36" s="4">
        <f>(O36-5)*12</f>
        <v>75.600000000000009</v>
      </c>
      <c r="Q36" s="4">
        <v>3244</v>
      </c>
      <c r="R36" s="4">
        <v>425</v>
      </c>
      <c r="S36" s="4">
        <v>330</v>
      </c>
      <c r="T36" s="4"/>
      <c r="U36" s="4">
        <v>1085.9000000000001</v>
      </c>
      <c r="V36" s="4">
        <v>0.74166699999999997</v>
      </c>
      <c r="W36" s="4"/>
      <c r="X36" s="4"/>
      <c r="Y36" s="4"/>
      <c r="Z36" s="4"/>
      <c r="AA36" s="4"/>
      <c r="AB36" s="4"/>
      <c r="AC36" s="4"/>
      <c r="AD36" s="4"/>
      <c r="AE36" s="4"/>
      <c r="AF36" s="4"/>
      <c r="AG36" s="4"/>
      <c r="AH36" s="4"/>
      <c r="AI36" s="4"/>
      <c r="AJ36" s="4"/>
      <c r="AK36" s="4"/>
      <c r="AL36" s="4"/>
      <c r="AM36" s="4"/>
      <c r="AN36" s="4"/>
      <c r="AO36" s="4"/>
      <c r="AP36" s="4"/>
      <c r="AQ36" s="4"/>
      <c r="AR36" s="4"/>
      <c r="AS36" s="4"/>
      <c r="AT36" s="4"/>
      <c r="AV36" s="4"/>
      <c r="AW36" s="4">
        <v>12500</v>
      </c>
      <c r="AX36" s="4">
        <f>(4.63*70+1.78*55)/125</f>
        <v>3.3759999999999999</v>
      </c>
      <c r="AY36" s="4"/>
      <c r="AZ36" s="4">
        <f t="shared" si="4"/>
        <v>11.189347722437693</v>
      </c>
      <c r="BA36" s="4"/>
      <c r="BB36" s="4"/>
      <c r="BC36" s="4"/>
      <c r="BD36" s="4"/>
      <c r="BE36" s="4"/>
      <c r="BF36" s="4"/>
      <c r="BG36" s="4"/>
      <c r="BH36" s="4"/>
      <c r="BI36" s="4"/>
      <c r="BJ36" s="4"/>
      <c r="BK36" s="4"/>
      <c r="BL36" s="4"/>
      <c r="BM36" s="4"/>
      <c r="BN36" s="4"/>
      <c r="BO36" s="4"/>
      <c r="BP36" s="4">
        <f>23.31*50%</f>
        <v>11.654999999999999</v>
      </c>
      <c r="BQ36" s="4">
        <f>BU36/BP36</f>
        <v>1.5096525096525097</v>
      </c>
      <c r="BR36" s="4">
        <f>9.51*50%</f>
        <v>4.7549999999999999</v>
      </c>
      <c r="BS36" s="4">
        <f>15.67*50%</f>
        <v>7.835</v>
      </c>
      <c r="BT36" s="4">
        <f>(7.56+2.45)*50%</f>
        <v>5.0049999999999999</v>
      </c>
      <c r="BU36" s="4">
        <f>SUM(BR36:BT36)</f>
        <v>17.594999999999999</v>
      </c>
      <c r="BV36" s="4">
        <f>BU36+BP36</f>
        <v>29.25</v>
      </c>
      <c r="BW36" s="4"/>
      <c r="BX36" s="4"/>
      <c r="BY36" s="4"/>
      <c r="BZ36" s="4"/>
      <c r="CB36" s="4"/>
      <c r="CC36" s="4"/>
      <c r="CD36" s="4"/>
      <c r="CE36" s="4"/>
      <c r="CF36" s="4"/>
      <c r="CG36" s="4"/>
      <c r="CH36" s="4"/>
      <c r="CI36" s="4"/>
      <c r="CJ36" s="4"/>
      <c r="CK36" s="4"/>
      <c r="CL36" s="4"/>
      <c r="CM36" s="4"/>
      <c r="CN36" s="4"/>
      <c r="CP36" s="2" t="s">
        <v>383</v>
      </c>
      <c r="CQ36" s="2" t="s">
        <v>254</v>
      </c>
      <c r="CR36" s="10" t="s">
        <v>384</v>
      </c>
      <c r="CS36" s="9" t="s">
        <v>256</v>
      </c>
    </row>
    <row r="37" spans="1:97" s="2" customFormat="1" ht="12.75">
      <c r="A37" s="2">
        <v>34</v>
      </c>
      <c r="B37" s="2" t="s">
        <v>374</v>
      </c>
      <c r="C37" s="2" t="s">
        <v>380</v>
      </c>
      <c r="D37" s="4" t="s">
        <v>365</v>
      </c>
      <c r="E37" s="2" t="s">
        <v>385</v>
      </c>
      <c r="F37" s="2" t="s">
        <v>386</v>
      </c>
      <c r="G37" s="2">
        <v>2002</v>
      </c>
      <c r="H37" s="2">
        <v>2005</v>
      </c>
      <c r="I37" s="2">
        <v>1</v>
      </c>
      <c r="J37" s="2">
        <v>0</v>
      </c>
      <c r="K37" s="2">
        <v>1</v>
      </c>
      <c r="L37" s="2">
        <v>0</v>
      </c>
      <c r="M37" s="2">
        <v>0</v>
      </c>
      <c r="N37" s="2">
        <v>0</v>
      </c>
      <c r="O37" s="4">
        <v>16.177083333333332</v>
      </c>
      <c r="P37" s="4">
        <v>135.35</v>
      </c>
      <c r="Q37" s="4">
        <v>1759.125</v>
      </c>
      <c r="R37" s="4">
        <v>56.75</v>
      </c>
      <c r="S37" s="4">
        <v>70</v>
      </c>
      <c r="T37" s="4">
        <v>64.9375</v>
      </c>
      <c r="U37" s="4">
        <v>2042.8500000000001</v>
      </c>
      <c r="V37" s="4">
        <v>2.5979166666666664</v>
      </c>
      <c r="W37" s="4"/>
      <c r="X37" s="4"/>
      <c r="Y37" s="4"/>
      <c r="Z37" s="4"/>
      <c r="AA37" s="4"/>
      <c r="AB37" s="4"/>
      <c r="AC37" s="4"/>
      <c r="AD37" s="4"/>
      <c r="AE37" s="4"/>
      <c r="AF37" s="4"/>
      <c r="AG37" s="4"/>
      <c r="AH37" s="4"/>
      <c r="AI37" s="4"/>
      <c r="AJ37" s="4"/>
      <c r="AK37" s="4"/>
      <c r="AL37" s="4"/>
      <c r="AM37" s="4"/>
      <c r="AN37" s="4"/>
      <c r="AO37" s="4"/>
      <c r="AP37" s="4"/>
      <c r="AQ37" s="4"/>
      <c r="AR37" s="4"/>
      <c r="AS37" s="4"/>
      <c r="AT37" s="4"/>
      <c r="AV37" s="4"/>
      <c r="AW37" s="4">
        <v>3240</v>
      </c>
      <c r="AX37" s="4">
        <v>8.1999999999999993</v>
      </c>
      <c r="AY37" s="4"/>
      <c r="AZ37" s="4">
        <f t="shared" si="4"/>
        <v>17.110495892217592</v>
      </c>
      <c r="BA37" s="4"/>
      <c r="BB37" s="4"/>
      <c r="BC37" s="4"/>
      <c r="BD37" s="4">
        <v>45.2</v>
      </c>
      <c r="BE37" s="4">
        <v>48.2</v>
      </c>
      <c r="BF37" s="4">
        <v>48.9</v>
      </c>
      <c r="BG37" s="4">
        <v>44.8</v>
      </c>
      <c r="BH37" s="4"/>
      <c r="BI37" s="4">
        <v>45.6</v>
      </c>
      <c r="BJ37" s="4"/>
      <c r="BK37" s="4"/>
      <c r="BL37" s="4"/>
      <c r="BM37" s="4"/>
      <c r="BN37" s="4">
        <v>4.5999999999999996</v>
      </c>
      <c r="BO37" s="4">
        <v>18</v>
      </c>
      <c r="BP37" s="4">
        <f>SUM(BM37:BO37)</f>
        <v>22.6</v>
      </c>
      <c r="BQ37" s="4">
        <f>BU37/BP37</f>
        <v>1.5088495575221239</v>
      </c>
      <c r="BR37" s="4">
        <v>11.8</v>
      </c>
      <c r="BS37" s="4">
        <v>14</v>
      </c>
      <c r="BT37" s="4">
        <v>8.3000000000000007</v>
      </c>
      <c r="BU37" s="4">
        <f>SUM(BR37:BT37)</f>
        <v>34.1</v>
      </c>
      <c r="BV37" s="4">
        <f>BU37+BP37</f>
        <v>56.7</v>
      </c>
      <c r="BW37" s="4"/>
      <c r="BX37" s="4">
        <v>84.3</v>
      </c>
      <c r="BY37" s="4"/>
      <c r="BZ37" s="4">
        <f>BV37+BX37</f>
        <v>141</v>
      </c>
      <c r="CA37" s="4"/>
      <c r="CB37" s="4"/>
      <c r="CC37" s="4"/>
      <c r="CD37" s="4">
        <v>2.8</v>
      </c>
      <c r="CE37" s="4"/>
      <c r="CF37" s="4"/>
      <c r="CG37" s="4"/>
      <c r="CH37" s="4"/>
      <c r="CI37" s="4"/>
      <c r="CJ37" s="4"/>
      <c r="CK37" s="4"/>
      <c r="CL37" s="4"/>
      <c r="CM37" s="4"/>
      <c r="CN37" s="4"/>
      <c r="CO37" s="4"/>
      <c r="CP37" s="2" t="s">
        <v>387</v>
      </c>
      <c r="CQ37" s="2" t="s">
        <v>254</v>
      </c>
      <c r="CR37" s="10" t="s">
        <v>388</v>
      </c>
      <c r="CS37" s="9" t="s">
        <v>256</v>
      </c>
    </row>
    <row r="38" spans="1:97" s="2" customFormat="1" ht="12.75">
      <c r="A38" s="2">
        <v>35</v>
      </c>
      <c r="B38" s="2" t="s">
        <v>374</v>
      </c>
      <c r="C38" s="2" t="s">
        <v>380</v>
      </c>
      <c r="D38" s="4" t="s">
        <v>365</v>
      </c>
      <c r="E38" s="2" t="s">
        <v>389</v>
      </c>
      <c r="F38" s="2" t="s">
        <v>390</v>
      </c>
      <c r="G38" s="2">
        <v>2002</v>
      </c>
      <c r="H38" s="2">
        <v>2005</v>
      </c>
      <c r="I38" s="2">
        <v>0</v>
      </c>
      <c r="J38" s="2">
        <v>0</v>
      </c>
      <c r="K38" s="2">
        <v>0</v>
      </c>
      <c r="L38" s="2">
        <v>0</v>
      </c>
      <c r="M38" s="2">
        <v>0</v>
      </c>
      <c r="N38" s="2">
        <v>0</v>
      </c>
      <c r="O38" s="4">
        <v>16.177083333333332</v>
      </c>
      <c r="P38" s="4">
        <v>135.35</v>
      </c>
      <c r="Q38" s="4">
        <v>1759.125</v>
      </c>
      <c r="R38" s="4">
        <v>56.75</v>
      </c>
      <c r="S38" s="4">
        <v>70</v>
      </c>
      <c r="T38" s="4">
        <v>64.9375</v>
      </c>
      <c r="U38" s="4">
        <v>2042.8500000000001</v>
      </c>
      <c r="V38" s="4">
        <v>2.5979166666666664</v>
      </c>
      <c r="W38" s="4"/>
      <c r="X38" s="4"/>
      <c r="Y38" s="4"/>
      <c r="Z38" s="4"/>
      <c r="AA38" s="4"/>
      <c r="AB38" s="4"/>
      <c r="AC38" s="4"/>
      <c r="AD38" s="4"/>
      <c r="AE38" s="4"/>
      <c r="AF38" s="4"/>
      <c r="AG38" s="4"/>
      <c r="AH38" s="4"/>
      <c r="AI38" s="4"/>
      <c r="AJ38" s="4"/>
      <c r="AK38" s="4"/>
      <c r="AL38" s="4"/>
      <c r="AM38" s="4"/>
      <c r="AN38" s="4"/>
      <c r="AO38" s="4"/>
      <c r="AP38" s="4"/>
      <c r="AQ38" s="4"/>
      <c r="AR38" s="4"/>
      <c r="AS38" s="4"/>
      <c r="AT38" s="4"/>
      <c r="AV38" s="4"/>
      <c r="AW38" s="4">
        <v>8200</v>
      </c>
      <c r="AX38" s="4">
        <v>7.5</v>
      </c>
      <c r="AY38" s="4"/>
      <c r="AZ38" s="4">
        <f t="shared" si="4"/>
        <v>36.226490286707303</v>
      </c>
      <c r="BA38" s="4"/>
      <c r="BB38" s="4"/>
      <c r="BC38" s="4"/>
      <c r="BD38" s="4">
        <v>45.2</v>
      </c>
      <c r="BE38" s="4">
        <v>48.2</v>
      </c>
      <c r="BF38" s="4">
        <v>48.9</v>
      </c>
      <c r="BG38" s="4">
        <v>44.8</v>
      </c>
      <c r="BH38" s="4"/>
      <c r="BI38" s="4">
        <v>45.6</v>
      </c>
      <c r="BJ38" s="4"/>
      <c r="BK38" s="4"/>
      <c r="BL38" s="4"/>
      <c r="BM38" s="4"/>
      <c r="BN38" s="4">
        <v>8.1</v>
      </c>
      <c r="BO38" s="4">
        <v>31.6</v>
      </c>
      <c r="BP38" s="4">
        <f>SUM(BM38:BO38)</f>
        <v>39.700000000000003</v>
      </c>
      <c r="BQ38" s="4">
        <f>BU38/BP38</f>
        <v>1.1435768261964734</v>
      </c>
      <c r="BR38" s="4">
        <v>19.8</v>
      </c>
      <c r="BS38" s="4">
        <v>13</v>
      </c>
      <c r="BT38" s="4">
        <v>12.6</v>
      </c>
      <c r="BU38" s="4">
        <f>SUM(BR38:BT38)</f>
        <v>45.4</v>
      </c>
      <c r="BV38" s="4">
        <f>BU38+BP38</f>
        <v>85.1</v>
      </c>
      <c r="BW38" s="4"/>
      <c r="BX38" s="4">
        <v>61.3</v>
      </c>
      <c r="BY38" s="4"/>
      <c r="BZ38" s="4">
        <f>BV38+BX38</f>
        <v>146.39999999999998</v>
      </c>
      <c r="CA38" s="4"/>
      <c r="CB38" s="4"/>
      <c r="CC38" s="4"/>
      <c r="CD38" s="4">
        <v>4.7</v>
      </c>
      <c r="CE38" s="4"/>
      <c r="CF38" s="4"/>
      <c r="CG38" s="4"/>
      <c r="CH38" s="4"/>
      <c r="CI38" s="4"/>
      <c r="CJ38" s="4"/>
      <c r="CK38" s="4"/>
      <c r="CL38" s="4"/>
      <c r="CM38" s="4"/>
      <c r="CN38" s="4"/>
      <c r="CO38" s="4"/>
      <c r="CP38" s="2" t="s">
        <v>391</v>
      </c>
      <c r="CQ38" s="2" t="s">
        <v>254</v>
      </c>
      <c r="CR38" s="10" t="s">
        <v>388</v>
      </c>
      <c r="CS38" s="9" t="s">
        <v>256</v>
      </c>
    </row>
    <row r="39" spans="1:97" s="2" customFormat="1" ht="12.75">
      <c r="A39" s="2">
        <v>36</v>
      </c>
      <c r="B39" s="2" t="s">
        <v>374</v>
      </c>
      <c r="C39" s="2" t="s">
        <v>380</v>
      </c>
      <c r="D39" s="4" t="s">
        <v>365</v>
      </c>
      <c r="E39" s="2" t="s">
        <v>392</v>
      </c>
      <c r="F39" s="2" t="s">
        <v>393</v>
      </c>
      <c r="G39" s="2">
        <v>2002</v>
      </c>
      <c r="H39" s="2">
        <v>2005</v>
      </c>
      <c r="I39" s="2">
        <v>0</v>
      </c>
      <c r="J39" s="2">
        <v>0</v>
      </c>
      <c r="K39" s="2">
        <v>0</v>
      </c>
      <c r="L39" s="2">
        <v>0</v>
      </c>
      <c r="M39" s="2">
        <v>0</v>
      </c>
      <c r="N39" s="2">
        <v>1</v>
      </c>
      <c r="O39" s="4">
        <v>13.062499999999995</v>
      </c>
      <c r="P39" s="4">
        <v>105.32499999999999</v>
      </c>
      <c r="Q39" s="4">
        <v>3462.5</v>
      </c>
      <c r="R39" s="4">
        <v>437.75</v>
      </c>
      <c r="S39" s="4">
        <v>330</v>
      </c>
      <c r="T39" s="4"/>
      <c r="U39" s="4">
        <v>1223.2</v>
      </c>
      <c r="V39" s="4">
        <v>0.89166666666666672</v>
      </c>
      <c r="W39" s="4"/>
      <c r="X39" s="4"/>
      <c r="Y39" s="4"/>
      <c r="Z39" s="4"/>
      <c r="AA39" s="4"/>
      <c r="AB39" s="4"/>
      <c r="AC39" s="4"/>
      <c r="AD39" s="4"/>
      <c r="AE39" s="4"/>
      <c r="AF39" s="4"/>
      <c r="AG39" s="4"/>
      <c r="AH39" s="4"/>
      <c r="AI39" s="4"/>
      <c r="AJ39" s="4"/>
      <c r="AK39" s="4"/>
      <c r="AL39" s="4"/>
      <c r="AM39" s="4"/>
      <c r="AN39" s="4"/>
      <c r="AO39" s="4"/>
      <c r="AP39" s="4"/>
      <c r="AQ39" s="4"/>
      <c r="AR39" s="4"/>
      <c r="AS39" s="4"/>
      <c r="AT39" s="4"/>
      <c r="AV39" s="4"/>
      <c r="AW39" s="4">
        <v>8125</v>
      </c>
      <c r="AX39" s="4">
        <v>5.0999999999999996</v>
      </c>
      <c r="AY39" s="4"/>
      <c r="AZ39" s="4">
        <f t="shared" si="4"/>
        <v>16.597917561848696</v>
      </c>
      <c r="BA39" s="4"/>
      <c r="BB39" s="4"/>
      <c r="BC39" s="4"/>
      <c r="BD39" s="4">
        <v>45.2</v>
      </c>
      <c r="BE39" s="4">
        <v>48.2</v>
      </c>
      <c r="BF39" s="4">
        <v>48.9</v>
      </c>
      <c r="BG39" s="4">
        <v>44.8</v>
      </c>
      <c r="BH39" s="4"/>
      <c r="BI39" s="4">
        <v>45.6</v>
      </c>
      <c r="BJ39" s="4"/>
      <c r="BK39" s="4"/>
      <c r="BL39" s="4"/>
      <c r="BM39" s="4"/>
      <c r="BN39" s="4">
        <v>3.3</v>
      </c>
      <c r="BO39" s="4">
        <v>17.2</v>
      </c>
      <c r="BP39" s="4">
        <f>SUM(BM39:BO39)</f>
        <v>20.5</v>
      </c>
      <c r="BQ39" s="4">
        <f>BU39/BP39</f>
        <v>2.1804878048780485</v>
      </c>
      <c r="BR39" s="4">
        <v>23.9</v>
      </c>
      <c r="BS39" s="4">
        <v>15.7</v>
      </c>
      <c r="BT39" s="4">
        <v>5.0999999999999996</v>
      </c>
      <c r="BU39" s="4">
        <f>SUM(BR39:BT39)</f>
        <v>44.699999999999996</v>
      </c>
      <c r="BV39" s="4">
        <f>BU39+BP39</f>
        <v>65.199999999999989</v>
      </c>
      <c r="BW39" s="4"/>
      <c r="BX39" s="4">
        <v>113.8</v>
      </c>
      <c r="BY39" s="4"/>
      <c r="BZ39" s="4">
        <f>BV39+BX39</f>
        <v>179</v>
      </c>
      <c r="CA39" s="4"/>
      <c r="CB39" s="4"/>
      <c r="CC39" s="4"/>
      <c r="CD39" s="4">
        <v>10.5</v>
      </c>
      <c r="CE39" s="4"/>
      <c r="CF39" s="4"/>
      <c r="CG39" s="4"/>
      <c r="CH39" s="4"/>
      <c r="CI39" s="4"/>
      <c r="CJ39" s="4"/>
      <c r="CK39" s="4"/>
      <c r="CL39" s="4"/>
      <c r="CM39" s="4"/>
      <c r="CN39" s="4"/>
      <c r="CO39" s="4"/>
      <c r="CP39" s="2" t="s">
        <v>387</v>
      </c>
      <c r="CQ39" s="2" t="s">
        <v>254</v>
      </c>
      <c r="CR39" s="10" t="s">
        <v>388</v>
      </c>
      <c r="CS39" s="9" t="s">
        <v>256</v>
      </c>
    </row>
    <row r="40" spans="1:97" s="2" customFormat="1" ht="12.75">
      <c r="A40" s="2">
        <v>37</v>
      </c>
      <c r="B40" s="2" t="s">
        <v>363</v>
      </c>
      <c r="C40" s="2" t="s">
        <v>394</v>
      </c>
      <c r="D40" s="4" t="s">
        <v>250</v>
      </c>
      <c r="E40" s="2" t="s">
        <v>395</v>
      </c>
      <c r="F40" s="2" t="s">
        <v>396</v>
      </c>
      <c r="G40" s="2">
        <v>2006</v>
      </c>
      <c r="H40" s="2">
        <v>2016</v>
      </c>
      <c r="I40" s="2">
        <v>0</v>
      </c>
      <c r="J40" s="2">
        <v>0</v>
      </c>
      <c r="K40" s="2">
        <v>0</v>
      </c>
      <c r="L40" s="2">
        <v>0</v>
      </c>
      <c r="M40" s="2">
        <v>0</v>
      </c>
      <c r="N40" s="2">
        <v>0</v>
      </c>
      <c r="O40" s="4">
        <v>17.5</v>
      </c>
      <c r="P40" s="4">
        <f>(O40-5)*12</f>
        <v>150</v>
      </c>
      <c r="Q40" s="4">
        <v>2719</v>
      </c>
      <c r="R40" s="4">
        <v>1.1000000000000001</v>
      </c>
      <c r="S40" s="4">
        <v>60</v>
      </c>
      <c r="T40" s="4">
        <v>69.340909999999994</v>
      </c>
      <c r="U40" s="4">
        <v>2353.88</v>
      </c>
      <c r="V40" s="4">
        <v>1.72197</v>
      </c>
      <c r="W40" s="4"/>
      <c r="X40" s="4"/>
      <c r="Y40" s="4"/>
      <c r="Z40" s="4"/>
      <c r="AA40" s="4"/>
      <c r="AB40" s="4"/>
      <c r="AC40" s="4"/>
      <c r="AD40" s="4"/>
      <c r="AE40" s="4"/>
      <c r="AF40" s="4"/>
      <c r="AG40" s="4"/>
      <c r="AH40" s="4"/>
      <c r="AI40" s="4"/>
      <c r="AJ40" s="4"/>
      <c r="AK40" s="4"/>
      <c r="AL40" s="4"/>
      <c r="AM40" s="4"/>
      <c r="AN40" s="4"/>
      <c r="AO40" s="4"/>
      <c r="AP40" s="4"/>
      <c r="AQ40" s="4"/>
      <c r="AR40" s="4"/>
      <c r="AS40" s="4"/>
      <c r="AT40" s="4"/>
      <c r="AV40" s="4"/>
      <c r="AW40" s="4">
        <f>(9870+7307)/2</f>
        <v>8588.5</v>
      </c>
      <c r="AX40" s="4">
        <f>(11+13)/2</f>
        <v>12</v>
      </c>
      <c r="AY40" s="4"/>
      <c r="AZ40" s="4">
        <f t="shared" si="4"/>
        <v>97.133646619281379</v>
      </c>
      <c r="BA40" s="4"/>
      <c r="BB40" s="4">
        <v>6.9</v>
      </c>
      <c r="BC40" s="4"/>
      <c r="BD40" s="4"/>
      <c r="BE40" s="4"/>
      <c r="BF40" s="4"/>
      <c r="BG40" s="4"/>
      <c r="BH40" s="4"/>
      <c r="BI40" s="4"/>
      <c r="BJ40" s="4"/>
      <c r="BK40" s="4"/>
      <c r="BL40" s="4"/>
      <c r="BM40" s="4"/>
      <c r="BN40" s="4"/>
      <c r="BO40" s="4"/>
      <c r="BP40" s="4">
        <f>(170+200)/2*50%</f>
        <v>92.5</v>
      </c>
      <c r="BQ40" s="4"/>
      <c r="BR40" s="4"/>
      <c r="BS40" s="4"/>
      <c r="BT40" s="4"/>
      <c r="BU40" s="4"/>
      <c r="BV40" s="4"/>
      <c r="BW40" s="4"/>
      <c r="BX40" s="4"/>
      <c r="BY40" s="4"/>
      <c r="BZ40" s="4"/>
      <c r="CA40" s="4"/>
      <c r="CB40" s="4"/>
      <c r="CC40" s="4"/>
      <c r="CD40" s="4">
        <f>4.2*50%</f>
        <v>2.1</v>
      </c>
      <c r="CE40" s="4"/>
      <c r="CF40" s="4"/>
      <c r="CG40" s="4"/>
      <c r="CH40" s="4"/>
      <c r="CI40" s="4"/>
      <c r="CJ40" s="4"/>
      <c r="CK40" s="4"/>
      <c r="CL40" s="4"/>
      <c r="CM40" s="4"/>
      <c r="CN40" s="4"/>
      <c r="CO40" s="4"/>
      <c r="CP40" s="2" t="s">
        <v>397</v>
      </c>
      <c r="CQ40" s="2" t="s">
        <v>254</v>
      </c>
      <c r="CR40" s="10" t="s">
        <v>398</v>
      </c>
      <c r="CS40" s="9" t="s">
        <v>256</v>
      </c>
    </row>
    <row r="41" spans="1:97" s="2" customFormat="1" ht="12.75">
      <c r="A41" s="2">
        <v>38</v>
      </c>
      <c r="B41" s="2" t="s">
        <v>374</v>
      </c>
      <c r="C41" s="2" t="s">
        <v>399</v>
      </c>
      <c r="D41" s="4" t="s">
        <v>365</v>
      </c>
      <c r="E41" s="2" t="s">
        <v>400</v>
      </c>
      <c r="F41" s="2" t="s">
        <v>401</v>
      </c>
      <c r="G41" s="2">
        <v>2008</v>
      </c>
      <c r="H41" s="2">
        <v>2008</v>
      </c>
      <c r="I41" s="2">
        <v>0</v>
      </c>
      <c r="J41" s="2">
        <v>0</v>
      </c>
      <c r="K41" s="2">
        <v>0</v>
      </c>
      <c r="L41" s="2">
        <v>0</v>
      </c>
      <c r="M41" s="2">
        <v>0</v>
      </c>
      <c r="N41" s="12">
        <v>0</v>
      </c>
      <c r="O41" s="4">
        <v>16.75</v>
      </c>
      <c r="P41" s="4">
        <v>141</v>
      </c>
      <c r="Q41" s="4">
        <v>1086.5</v>
      </c>
      <c r="R41" s="4">
        <v>0</v>
      </c>
      <c r="S41" s="4">
        <v>88</v>
      </c>
      <c r="T41" s="4">
        <v>65.416669999999996</v>
      </c>
      <c r="U41" s="4">
        <v>2016.9</v>
      </c>
      <c r="V41" s="4">
        <v>2.35</v>
      </c>
      <c r="W41" s="4"/>
      <c r="X41" s="4"/>
      <c r="Y41" s="4"/>
      <c r="Z41" s="4"/>
      <c r="AA41" s="4"/>
      <c r="AB41" s="4"/>
      <c r="AC41" s="4"/>
      <c r="AD41" s="4"/>
      <c r="AE41" s="4"/>
      <c r="AF41" s="4"/>
      <c r="AG41" s="4"/>
      <c r="AH41" s="4"/>
      <c r="AI41" s="4"/>
      <c r="AJ41" s="4"/>
      <c r="AK41" s="4"/>
      <c r="AL41" s="4"/>
      <c r="AM41" s="4"/>
      <c r="AN41" s="4"/>
      <c r="AO41" s="4"/>
      <c r="AP41" s="4"/>
      <c r="AQ41" s="4"/>
      <c r="AR41" s="4"/>
      <c r="AS41" s="4"/>
      <c r="AT41" s="4"/>
      <c r="AV41" s="4"/>
      <c r="AW41" s="4"/>
      <c r="AX41" s="4"/>
      <c r="AY41" s="4"/>
      <c r="AZ41" s="4"/>
      <c r="BA41" s="4"/>
      <c r="BB41" s="4"/>
      <c r="BC41" s="4"/>
      <c r="BD41" s="4"/>
      <c r="BE41" s="4"/>
      <c r="BF41" s="4"/>
      <c r="BG41" s="4"/>
      <c r="BH41" s="4"/>
      <c r="BI41" s="4"/>
      <c r="BJ41" s="4"/>
      <c r="BK41" s="4"/>
      <c r="BL41" s="4"/>
      <c r="BM41" s="4"/>
      <c r="BN41" s="4"/>
      <c r="BO41" s="4"/>
      <c r="BP41" s="4">
        <f>84.2</f>
        <v>84.2</v>
      </c>
      <c r="BQ41" s="4"/>
      <c r="BR41" s="4"/>
      <c r="BS41" s="4"/>
      <c r="BT41" s="4"/>
      <c r="BU41" s="4"/>
      <c r="BV41" s="4"/>
      <c r="BX41" s="4"/>
      <c r="BY41" s="4"/>
      <c r="BZ41" s="4"/>
      <c r="CA41" s="4"/>
      <c r="CB41" s="4"/>
      <c r="CC41" s="4"/>
      <c r="CD41" s="4">
        <v>3.49</v>
      </c>
      <c r="CE41" s="4"/>
      <c r="CF41" s="4"/>
      <c r="CG41" s="4"/>
      <c r="CH41" s="4"/>
      <c r="CI41" s="4"/>
      <c r="CJ41" s="4"/>
      <c r="CK41" s="4"/>
      <c r="CL41" s="4"/>
      <c r="CM41" s="4"/>
      <c r="CN41" s="4"/>
      <c r="CP41" s="2" t="s">
        <v>402</v>
      </c>
      <c r="CQ41" s="2" t="s">
        <v>254</v>
      </c>
      <c r="CR41" s="10" t="s">
        <v>403</v>
      </c>
      <c r="CS41" s="9" t="s">
        <v>256</v>
      </c>
    </row>
    <row r="42" spans="1:97" s="2" customFormat="1" ht="12.75">
      <c r="A42" s="2">
        <v>39</v>
      </c>
      <c r="B42" s="2" t="s">
        <v>374</v>
      </c>
      <c r="C42" s="2" t="s">
        <v>404</v>
      </c>
      <c r="D42" s="4" t="s">
        <v>365</v>
      </c>
      <c r="E42" s="2" t="s">
        <v>405</v>
      </c>
      <c r="F42" s="2" t="s">
        <v>406</v>
      </c>
      <c r="G42" s="2">
        <v>2008</v>
      </c>
      <c r="H42" s="2">
        <v>2008</v>
      </c>
      <c r="I42" s="2">
        <v>0</v>
      </c>
      <c r="J42" s="2">
        <v>0</v>
      </c>
      <c r="K42" s="2">
        <v>0</v>
      </c>
      <c r="L42" s="2">
        <v>0</v>
      </c>
      <c r="M42" s="2">
        <v>0</v>
      </c>
      <c r="N42" s="12">
        <v>1</v>
      </c>
      <c r="O42" s="4">
        <v>16.75</v>
      </c>
      <c r="P42" s="4">
        <v>141</v>
      </c>
      <c r="Q42" s="4">
        <v>1086.5</v>
      </c>
      <c r="R42" s="4">
        <v>0</v>
      </c>
      <c r="S42" s="4">
        <v>88</v>
      </c>
      <c r="T42" s="4">
        <v>65.416669999999996</v>
      </c>
      <c r="U42" s="4">
        <v>2016.9</v>
      </c>
      <c r="V42" s="4">
        <v>2.35</v>
      </c>
      <c r="W42" s="4"/>
      <c r="X42" s="4"/>
      <c r="Y42" s="4"/>
      <c r="Z42" s="4"/>
      <c r="AA42" s="4"/>
      <c r="AB42" s="4"/>
      <c r="AC42" s="4"/>
      <c r="AD42" s="4"/>
      <c r="AE42" s="4"/>
      <c r="AF42" s="4"/>
      <c r="AG42" s="4"/>
      <c r="AH42" s="4"/>
      <c r="AI42" s="4"/>
      <c r="AJ42" s="4"/>
      <c r="AK42" s="4"/>
      <c r="AL42" s="4"/>
      <c r="AM42" s="4"/>
      <c r="AN42" s="4"/>
      <c r="AO42" s="4"/>
      <c r="AP42" s="4"/>
      <c r="AQ42" s="4"/>
      <c r="AR42" s="4"/>
      <c r="AS42" s="4"/>
      <c r="AT42" s="4"/>
      <c r="AV42" s="4"/>
      <c r="AW42" s="4"/>
      <c r="AX42" s="4"/>
      <c r="AY42" s="4"/>
      <c r="AZ42" s="4"/>
      <c r="BA42" s="4"/>
      <c r="BB42" s="4"/>
      <c r="BC42" s="4"/>
      <c r="BD42" s="4"/>
      <c r="BE42" s="4"/>
      <c r="BF42" s="4"/>
      <c r="BG42" s="4"/>
      <c r="BH42" s="4"/>
      <c r="BI42" s="4"/>
      <c r="BJ42" s="4"/>
      <c r="BK42" s="4"/>
      <c r="BL42" s="4"/>
      <c r="BM42" s="4"/>
      <c r="BN42" s="4"/>
      <c r="BO42" s="4"/>
      <c r="BP42" s="4">
        <f>(103.2+116.7+92.3+61.1+88.2)/5</f>
        <v>92.3</v>
      </c>
      <c r="BQ42" s="4"/>
      <c r="BR42" s="4"/>
      <c r="BS42" s="4"/>
      <c r="BT42" s="4"/>
      <c r="BU42" s="4"/>
      <c r="BV42" s="4"/>
      <c r="BX42" s="4"/>
      <c r="BY42" s="4"/>
      <c r="BZ42" s="4"/>
      <c r="CA42" s="4"/>
      <c r="CB42" s="4"/>
      <c r="CC42" s="4"/>
      <c r="CD42" s="4">
        <f>(4.14+4.65+4.2+4.02+2.87)/5</f>
        <v>3.976</v>
      </c>
      <c r="CE42" s="4"/>
      <c r="CF42" s="4"/>
      <c r="CG42" s="4"/>
      <c r="CH42" s="4"/>
      <c r="CI42" s="4"/>
      <c r="CJ42" s="4"/>
      <c r="CK42" s="4"/>
      <c r="CL42" s="4"/>
      <c r="CM42" s="4"/>
      <c r="CN42" s="4"/>
      <c r="CP42" s="2" t="s">
        <v>402</v>
      </c>
      <c r="CQ42" s="2" t="s">
        <v>254</v>
      </c>
      <c r="CR42" s="10" t="s">
        <v>407</v>
      </c>
      <c r="CS42" s="9" t="s">
        <v>256</v>
      </c>
    </row>
    <row r="43" spans="1:97" s="2" customFormat="1" ht="12.75">
      <c r="A43" s="2">
        <v>40</v>
      </c>
      <c r="B43" s="2" t="s">
        <v>374</v>
      </c>
      <c r="C43" s="2" t="s">
        <v>408</v>
      </c>
      <c r="D43" s="4" t="s">
        <v>250</v>
      </c>
      <c r="E43" s="2" t="s">
        <v>409</v>
      </c>
      <c r="F43" s="2" t="s">
        <v>410</v>
      </c>
      <c r="G43" s="2">
        <v>2009</v>
      </c>
      <c r="H43" s="2">
        <v>2009</v>
      </c>
      <c r="I43" s="2">
        <v>0</v>
      </c>
      <c r="J43" s="2">
        <v>0</v>
      </c>
      <c r="K43" s="2">
        <v>0</v>
      </c>
      <c r="L43" s="2">
        <v>0</v>
      </c>
      <c r="M43" s="2">
        <v>0</v>
      </c>
      <c r="N43" s="2">
        <v>0</v>
      </c>
      <c r="O43" s="4">
        <v>16.258333333333336</v>
      </c>
      <c r="P43" s="4">
        <f>(O43-5)*12</f>
        <v>135.10000000000002</v>
      </c>
      <c r="Q43" s="4">
        <v>1831.5</v>
      </c>
      <c r="R43" s="4">
        <v>5</v>
      </c>
      <c r="S43" s="4">
        <f>(320+80)/2</f>
        <v>200</v>
      </c>
      <c r="T43" s="4">
        <v>75.833333333333329</v>
      </c>
      <c r="U43" s="4">
        <v>1872.5</v>
      </c>
      <c r="V43" s="4">
        <v>1.4333333333333333</v>
      </c>
      <c r="W43" s="4"/>
      <c r="X43" s="4"/>
      <c r="Y43" s="4"/>
      <c r="Z43" s="4"/>
      <c r="AA43" s="4"/>
      <c r="AB43" s="4"/>
      <c r="AC43" s="4"/>
      <c r="AD43" s="4"/>
      <c r="AE43" s="4"/>
      <c r="AF43" s="4"/>
      <c r="AG43" s="4"/>
      <c r="AH43" s="4"/>
      <c r="AI43" s="4"/>
      <c r="AJ43" s="4"/>
      <c r="AK43" s="4"/>
      <c r="AL43" s="4"/>
      <c r="AM43" s="4"/>
      <c r="AN43" s="4"/>
      <c r="AO43" s="4"/>
      <c r="AP43" s="4"/>
      <c r="AQ43" s="4"/>
      <c r="AR43" s="4"/>
      <c r="AS43" s="4"/>
      <c r="AT43" s="4"/>
      <c r="AV43" s="4"/>
      <c r="AW43" s="4">
        <f>(6130+5000)/2</f>
        <v>5565</v>
      </c>
      <c r="AX43" s="4">
        <f>(12.9+13.9)/2</f>
        <v>13.4</v>
      </c>
      <c r="AY43" s="4">
        <f>(17.9+18.1)/2</f>
        <v>18</v>
      </c>
      <c r="AZ43" s="4">
        <f>(83+76.8)/2</f>
        <v>79.900000000000006</v>
      </c>
      <c r="BA43" s="4"/>
      <c r="BB43" s="4"/>
      <c r="BC43" s="4"/>
      <c r="BD43" s="4"/>
      <c r="BE43" s="4"/>
      <c r="BF43" s="4"/>
      <c r="BG43" s="4"/>
      <c r="BH43" s="4"/>
      <c r="BI43" s="4"/>
      <c r="BJ43" s="4"/>
      <c r="BK43" s="4"/>
      <c r="BL43" s="4"/>
      <c r="BM43" s="4"/>
      <c r="BN43" s="4">
        <f>(17.01+18.71)/2*0.5</f>
        <v>8.93</v>
      </c>
      <c r="BO43" s="4">
        <f>(129.63+101.28)/2*0.5</f>
        <v>57.727499999999999</v>
      </c>
      <c r="BP43" s="4">
        <f>SUM(BM43:BO43)</f>
        <v>66.657499999999999</v>
      </c>
      <c r="BQ43" s="4"/>
      <c r="BR43" s="4"/>
      <c r="BS43" s="4"/>
      <c r="BT43" s="4"/>
      <c r="BU43" s="4"/>
      <c r="BV43" s="4"/>
      <c r="BW43" s="4"/>
      <c r="BX43" s="4"/>
      <c r="BY43" s="4"/>
      <c r="BZ43" s="4"/>
      <c r="CA43" s="4"/>
      <c r="CB43" s="4">
        <f>(1.22+2.73)/2*0.5</f>
        <v>0.98750000000000004</v>
      </c>
      <c r="CC43" s="4">
        <f>(7.04+12.44)/2*0.5</f>
        <v>4.87</v>
      </c>
      <c r="CD43" s="4"/>
      <c r="CE43" s="4"/>
      <c r="CF43" s="4">
        <f>SUM(CA43:CD43)</f>
        <v>5.8574999999999999</v>
      </c>
      <c r="CG43" s="4"/>
      <c r="CH43" s="4"/>
      <c r="CI43" s="4"/>
      <c r="CJ43" s="4"/>
      <c r="CK43" s="4"/>
      <c r="CL43" s="4"/>
      <c r="CM43" s="4"/>
      <c r="CN43" s="4"/>
      <c r="CO43" s="4"/>
      <c r="CP43" s="2" t="s">
        <v>411</v>
      </c>
      <c r="CQ43" s="2" t="s">
        <v>254</v>
      </c>
      <c r="CR43" s="10" t="s">
        <v>412</v>
      </c>
      <c r="CS43" s="9" t="s">
        <v>256</v>
      </c>
    </row>
    <row r="44" spans="1:97" s="2" customFormat="1" ht="12.75">
      <c r="A44" s="2">
        <v>41</v>
      </c>
      <c r="B44" s="2" t="s">
        <v>374</v>
      </c>
      <c r="C44" s="2" t="s">
        <v>413</v>
      </c>
      <c r="D44" s="4" t="s">
        <v>250</v>
      </c>
      <c r="E44" s="2" t="s">
        <v>414</v>
      </c>
      <c r="F44" s="2" t="s">
        <v>415</v>
      </c>
      <c r="G44" s="2">
        <v>2009</v>
      </c>
      <c r="H44" s="2">
        <v>2009</v>
      </c>
      <c r="I44" s="2">
        <v>0</v>
      </c>
      <c r="J44" s="2">
        <v>0</v>
      </c>
      <c r="K44" s="2">
        <v>0</v>
      </c>
      <c r="L44" s="2">
        <v>0</v>
      </c>
      <c r="M44" s="2">
        <v>0</v>
      </c>
      <c r="N44" s="2">
        <v>0</v>
      </c>
      <c r="O44" s="4">
        <v>18.108333333333331</v>
      </c>
      <c r="P44" s="4">
        <f>(O44-5)*12</f>
        <v>157.29999999999995</v>
      </c>
      <c r="Q44" s="4">
        <v>1818.5</v>
      </c>
      <c r="R44" s="4">
        <v>5</v>
      </c>
      <c r="S44" s="4">
        <v>130</v>
      </c>
      <c r="T44" s="4">
        <v>75.833333333333329</v>
      </c>
      <c r="U44" s="4">
        <v>1781.2</v>
      </c>
      <c r="V44" s="4">
        <v>1.9750000000000003</v>
      </c>
      <c r="W44" s="4"/>
      <c r="X44" s="4"/>
      <c r="Y44" s="4"/>
      <c r="Z44" s="4"/>
      <c r="AA44" s="4"/>
      <c r="AB44" s="4"/>
      <c r="AC44" s="4"/>
      <c r="AD44" s="4"/>
      <c r="AE44" s="4"/>
      <c r="AF44" s="4"/>
      <c r="AG44" s="4"/>
      <c r="AH44" s="4"/>
      <c r="AI44" s="4"/>
      <c r="AJ44" s="4"/>
      <c r="AK44" s="4"/>
      <c r="AL44" s="4"/>
      <c r="AM44" s="4"/>
      <c r="AN44" s="4"/>
      <c r="AO44" s="4"/>
      <c r="AP44" s="4"/>
      <c r="AQ44" s="4"/>
      <c r="AR44" s="4"/>
      <c r="AS44" s="4"/>
      <c r="AT44" s="4"/>
      <c r="AV44" s="4"/>
      <c r="AW44" s="4">
        <f>5230</f>
        <v>5230</v>
      </c>
      <c r="AX44" s="4">
        <v>10.4</v>
      </c>
      <c r="AY44" s="4">
        <v>13.5</v>
      </c>
      <c r="AZ44" s="4">
        <v>45.7</v>
      </c>
      <c r="BA44" s="4"/>
      <c r="BB44" s="4"/>
      <c r="BC44" s="4"/>
      <c r="BD44" s="4"/>
      <c r="BE44" s="4"/>
      <c r="BF44" s="4"/>
      <c r="BG44" s="4"/>
      <c r="BH44" s="4"/>
      <c r="BI44" s="4"/>
      <c r="BJ44" s="4"/>
      <c r="BK44" s="4"/>
      <c r="BL44" s="4"/>
      <c r="BM44" s="4"/>
      <c r="BN44" s="4">
        <f>12.29*0.5</f>
        <v>6.1449999999999996</v>
      </c>
      <c r="BO44" s="4">
        <f>70.53*0.5</f>
        <v>35.265000000000001</v>
      </c>
      <c r="BP44" s="4">
        <f>SUM(BM44:BO44)</f>
        <v>41.41</v>
      </c>
      <c r="BQ44" s="4"/>
      <c r="BR44" s="4"/>
      <c r="BS44" s="4"/>
      <c r="BT44" s="4"/>
      <c r="BU44" s="4"/>
      <c r="BV44" s="4"/>
      <c r="BW44" s="4"/>
      <c r="BX44" s="4"/>
      <c r="BY44" s="4"/>
      <c r="BZ44" s="4"/>
      <c r="CA44" s="4"/>
      <c r="CB44" s="4">
        <f>2.49*0.5</f>
        <v>1.2450000000000001</v>
      </c>
      <c r="CC44" s="4">
        <f>9.65*0.5</f>
        <v>4.8250000000000002</v>
      </c>
      <c r="CD44" s="4"/>
      <c r="CE44" s="4"/>
      <c r="CF44" s="4">
        <f>SUM(CA44:CD44)</f>
        <v>6.07</v>
      </c>
      <c r="CG44" s="4"/>
      <c r="CH44" s="4"/>
      <c r="CI44" s="4"/>
      <c r="CJ44" s="4"/>
      <c r="CK44" s="4"/>
      <c r="CL44" s="4"/>
      <c r="CM44" s="4"/>
      <c r="CN44" s="4"/>
      <c r="CO44" s="4"/>
      <c r="CP44" s="2" t="s">
        <v>411</v>
      </c>
      <c r="CQ44" s="2" t="s">
        <v>254</v>
      </c>
      <c r="CR44" s="10" t="s">
        <v>412</v>
      </c>
      <c r="CS44" s="9" t="s">
        <v>256</v>
      </c>
    </row>
    <row r="45" spans="1:97" s="2" customFormat="1" ht="12.75">
      <c r="A45" s="2">
        <v>42</v>
      </c>
      <c r="B45" s="2" t="s">
        <v>374</v>
      </c>
      <c r="C45" s="2" t="s">
        <v>413</v>
      </c>
      <c r="D45" s="4" t="s">
        <v>250</v>
      </c>
      <c r="E45" s="2" t="s">
        <v>416</v>
      </c>
      <c r="F45" s="2" t="s">
        <v>417</v>
      </c>
      <c r="G45" s="2">
        <v>2009</v>
      </c>
      <c r="H45" s="2">
        <v>2009</v>
      </c>
      <c r="I45" s="2">
        <v>0</v>
      </c>
      <c r="J45" s="2">
        <v>0</v>
      </c>
      <c r="K45" s="2">
        <v>0</v>
      </c>
      <c r="L45" s="2">
        <v>0</v>
      </c>
      <c r="M45" s="2">
        <v>0</v>
      </c>
      <c r="N45" s="2">
        <v>0</v>
      </c>
      <c r="O45" s="4">
        <v>17.633333333333333</v>
      </c>
      <c r="P45" s="4">
        <f>(O45-5)*12</f>
        <v>151.6</v>
      </c>
      <c r="Q45" s="4">
        <v>2057.3000000000002</v>
      </c>
      <c r="R45" s="4">
        <v>5</v>
      </c>
      <c r="S45" s="4">
        <f>(125+125+125)/3</f>
        <v>125</v>
      </c>
      <c r="T45" s="4">
        <v>75.833333333333329</v>
      </c>
      <c r="U45" s="4">
        <v>1974.0000000000002</v>
      </c>
      <c r="V45" s="4">
        <v>3.2250000000000001</v>
      </c>
      <c r="W45" s="4"/>
      <c r="X45" s="4"/>
      <c r="Y45" s="4"/>
      <c r="Z45" s="4"/>
      <c r="AA45" s="4"/>
      <c r="AB45" s="4"/>
      <c r="AC45" s="4"/>
      <c r="AD45" s="4"/>
      <c r="AE45" s="4"/>
      <c r="AF45" s="4"/>
      <c r="AG45" s="4"/>
      <c r="AH45" s="4"/>
      <c r="AI45" s="4"/>
      <c r="AJ45" s="4"/>
      <c r="AK45" s="4"/>
      <c r="AL45" s="4"/>
      <c r="AM45" s="4"/>
      <c r="AN45" s="4"/>
      <c r="AO45" s="4"/>
      <c r="AP45" s="4"/>
      <c r="AQ45" s="4"/>
      <c r="AR45" s="4"/>
      <c r="AS45" s="4"/>
      <c r="AT45" s="4"/>
      <c r="AV45" s="4"/>
      <c r="AW45" s="4">
        <f>(5550+5200+5130)/3</f>
        <v>5293.333333333333</v>
      </c>
      <c r="AX45" s="4">
        <f>(12.5+12.8+11.7)/3</f>
        <v>12.333333333333334</v>
      </c>
      <c r="AY45" s="4">
        <f>(17+17.5+16.3)/3</f>
        <v>16.933333333333334</v>
      </c>
      <c r="AZ45" s="4">
        <f>(69.5+67.4+59.1)/3</f>
        <v>65.333333333333329</v>
      </c>
      <c r="BA45" s="4"/>
      <c r="BB45" s="4"/>
      <c r="BC45" s="4"/>
      <c r="BD45" s="4"/>
      <c r="BE45" s="4"/>
      <c r="BF45" s="4"/>
      <c r="BG45" s="4"/>
      <c r="BH45" s="4"/>
      <c r="BI45" s="4"/>
      <c r="BJ45" s="4"/>
      <c r="BK45" s="4"/>
      <c r="BL45" s="4"/>
      <c r="BM45" s="4"/>
      <c r="BN45" s="4">
        <f>(13.09+16.52+15.96)/3*0.5</f>
        <v>7.5949999999999998</v>
      </c>
      <c r="BO45" s="4">
        <f>(108.8+104.54+72.27)/3*0.5</f>
        <v>47.601666666666667</v>
      </c>
      <c r="BP45" s="4">
        <f>SUM(BM45:BO45)</f>
        <v>55.196666666666665</v>
      </c>
      <c r="BQ45" s="4"/>
      <c r="BR45" s="4"/>
      <c r="BS45" s="4"/>
      <c r="BT45" s="4"/>
      <c r="BU45" s="4"/>
      <c r="BV45" s="4"/>
      <c r="BW45" s="4"/>
      <c r="BX45" s="4"/>
      <c r="BY45" s="4"/>
      <c r="BZ45" s="4"/>
      <c r="CA45" s="4"/>
      <c r="CB45" s="4">
        <f>(0.39+0.07+0.22)/3*0.5</f>
        <v>0.11333333333333334</v>
      </c>
      <c r="CC45" s="4">
        <f>(1.67+0.22+0.71)/3*0.5</f>
        <v>0.43333333333333329</v>
      </c>
      <c r="CD45" s="4"/>
      <c r="CE45" s="4"/>
      <c r="CF45" s="4">
        <f>SUM(CA45:CD45)</f>
        <v>0.54666666666666663</v>
      </c>
      <c r="CG45" s="4"/>
      <c r="CH45" s="4"/>
      <c r="CI45" s="4"/>
      <c r="CJ45" s="4"/>
      <c r="CK45" s="4"/>
      <c r="CL45" s="4"/>
      <c r="CM45" s="4"/>
      <c r="CN45" s="4"/>
      <c r="CO45" s="4"/>
      <c r="CP45" s="2" t="s">
        <v>411</v>
      </c>
      <c r="CQ45" s="2" t="s">
        <v>254</v>
      </c>
      <c r="CR45" s="10" t="s">
        <v>412</v>
      </c>
      <c r="CS45" s="9" t="s">
        <v>256</v>
      </c>
    </row>
    <row r="46" spans="1:97" s="2" customFormat="1" ht="12.75">
      <c r="A46" s="2">
        <v>43</v>
      </c>
      <c r="B46" s="2" t="s">
        <v>374</v>
      </c>
      <c r="C46" s="2" t="s">
        <v>418</v>
      </c>
      <c r="D46" s="4" t="s">
        <v>250</v>
      </c>
      <c r="E46" s="2" t="s">
        <v>419</v>
      </c>
      <c r="F46" s="2" t="s">
        <v>420</v>
      </c>
      <c r="G46" s="2">
        <v>2013</v>
      </c>
      <c r="H46" s="2">
        <v>2016</v>
      </c>
      <c r="I46" s="2">
        <v>1</v>
      </c>
      <c r="J46" s="2">
        <v>0</v>
      </c>
      <c r="K46" s="2">
        <v>0</v>
      </c>
      <c r="L46" s="2">
        <v>1</v>
      </c>
      <c r="M46" s="2">
        <v>0</v>
      </c>
      <c r="N46" s="2">
        <v>0</v>
      </c>
      <c r="O46" s="4">
        <v>15.9</v>
      </c>
      <c r="P46" s="4">
        <f>(O46-5)*12</f>
        <v>130.80000000000001</v>
      </c>
      <c r="Q46" s="4">
        <v>1833</v>
      </c>
      <c r="R46" s="4">
        <v>2.25</v>
      </c>
      <c r="S46" s="4">
        <v>84</v>
      </c>
      <c r="T46" s="4">
        <v>70.104166666666671</v>
      </c>
      <c r="U46" s="4">
        <v>2523.9333333333334</v>
      </c>
      <c r="V46" s="4">
        <v>2.8458333333333337</v>
      </c>
      <c r="W46" s="4"/>
      <c r="X46" s="4"/>
      <c r="Y46" s="4"/>
      <c r="Z46" s="4"/>
      <c r="AA46" s="4"/>
      <c r="AB46" s="4"/>
      <c r="AC46" s="4"/>
      <c r="AD46" s="4"/>
      <c r="AE46" s="4"/>
      <c r="AF46" s="4"/>
      <c r="AG46" s="4"/>
      <c r="AH46" s="4"/>
      <c r="AI46" s="4"/>
      <c r="AJ46" s="4"/>
      <c r="AK46" s="4"/>
      <c r="AL46" s="4"/>
      <c r="AM46" s="4"/>
      <c r="AN46" s="4"/>
      <c r="AO46" s="4"/>
      <c r="AP46" s="4"/>
      <c r="AQ46" s="4"/>
      <c r="AR46" s="4"/>
      <c r="AS46" s="4"/>
      <c r="AT46" s="4"/>
      <c r="AV46" s="4"/>
      <c r="AW46" s="4">
        <f>(10500+9900)/2</f>
        <v>10200</v>
      </c>
      <c r="AX46" s="4">
        <f>(9.3+9.3)/2</f>
        <v>9.3000000000000007</v>
      </c>
      <c r="AY46" s="4"/>
      <c r="AZ46" s="4">
        <f>(72.6+76.4)/2</f>
        <v>74.5</v>
      </c>
      <c r="BA46" s="4"/>
      <c r="BB46" s="4"/>
      <c r="BC46" s="4"/>
      <c r="BD46" s="4"/>
      <c r="BE46" s="4"/>
      <c r="BF46" s="4"/>
      <c r="BG46" s="4"/>
      <c r="BH46" s="4"/>
      <c r="BI46" s="4"/>
      <c r="BJ46" s="4"/>
      <c r="BK46" s="4"/>
      <c r="BL46" s="4"/>
      <c r="BM46" s="4"/>
      <c r="BN46" s="4"/>
      <c r="BO46" s="4"/>
      <c r="BP46" s="4">
        <f>(181+190.3)/2*0.5</f>
        <v>92.825000000000003</v>
      </c>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2" t="s">
        <v>421</v>
      </c>
      <c r="CQ46" s="2" t="s">
        <v>254</v>
      </c>
      <c r="CR46" s="10" t="s">
        <v>422</v>
      </c>
      <c r="CS46" s="9" t="s">
        <v>256</v>
      </c>
    </row>
    <row r="47" spans="1:97" s="2" customFormat="1" ht="12.75">
      <c r="A47" s="2">
        <v>44</v>
      </c>
      <c r="B47" s="2" t="s">
        <v>374</v>
      </c>
      <c r="C47" s="2" t="s">
        <v>423</v>
      </c>
      <c r="D47" s="4" t="s">
        <v>250</v>
      </c>
      <c r="E47" s="2" t="s">
        <v>424</v>
      </c>
      <c r="F47" s="2" t="s">
        <v>425</v>
      </c>
      <c r="G47" s="2">
        <v>2013</v>
      </c>
      <c r="H47" s="2">
        <v>2016</v>
      </c>
      <c r="I47" s="2">
        <v>0</v>
      </c>
      <c r="J47" s="2">
        <v>0</v>
      </c>
      <c r="K47" s="2">
        <v>0</v>
      </c>
      <c r="L47" s="2">
        <v>0</v>
      </c>
      <c r="M47" s="2">
        <v>0</v>
      </c>
      <c r="N47" s="2">
        <v>0</v>
      </c>
      <c r="O47" s="4">
        <v>15.9</v>
      </c>
      <c r="P47" s="4">
        <f>(O47-5)*12</f>
        <v>130.80000000000001</v>
      </c>
      <c r="Q47" s="4">
        <v>1833</v>
      </c>
      <c r="R47" s="4">
        <v>2.25</v>
      </c>
      <c r="S47" s="4">
        <v>84</v>
      </c>
      <c r="T47" s="4">
        <v>70.104166666666671</v>
      </c>
      <c r="U47" s="4">
        <v>2523.9333333333334</v>
      </c>
      <c r="V47" s="4">
        <v>2.8458333333333337</v>
      </c>
      <c r="W47" s="4"/>
      <c r="X47" s="4"/>
      <c r="Y47" s="4"/>
      <c r="Z47" s="4"/>
      <c r="AA47" s="4"/>
      <c r="AB47" s="4"/>
      <c r="AC47" s="4"/>
      <c r="AD47" s="4"/>
      <c r="AE47" s="4"/>
      <c r="AF47" s="4"/>
      <c r="AG47" s="4"/>
      <c r="AH47" s="4"/>
      <c r="AI47" s="4"/>
      <c r="AJ47" s="4"/>
      <c r="AK47" s="4"/>
      <c r="AL47" s="4"/>
      <c r="AM47" s="4"/>
      <c r="AN47" s="4"/>
      <c r="AO47" s="4"/>
      <c r="AP47" s="4"/>
      <c r="AQ47" s="4"/>
      <c r="AR47" s="4"/>
      <c r="AS47" s="4"/>
      <c r="AT47" s="4"/>
      <c r="AV47" s="4"/>
      <c r="AW47" s="4">
        <f>(8000+8500)/2</f>
        <v>8250</v>
      </c>
      <c r="AX47" s="4">
        <f>(11.1+11.6)/2</f>
        <v>11.35</v>
      </c>
      <c r="AY47" s="4"/>
      <c r="AZ47" s="4">
        <f>(86.5+85.9)/2</f>
        <v>86.2</v>
      </c>
      <c r="BA47" s="4"/>
      <c r="BB47" s="4"/>
      <c r="BC47" s="4"/>
      <c r="BD47" s="4"/>
      <c r="BE47" s="4"/>
      <c r="BF47" s="4"/>
      <c r="BG47" s="4"/>
      <c r="BH47" s="4"/>
      <c r="BI47" s="4"/>
      <c r="BJ47" s="4"/>
      <c r="BK47" s="4"/>
      <c r="BL47" s="4"/>
      <c r="BM47" s="4"/>
      <c r="BN47" s="4"/>
      <c r="BO47" s="4"/>
      <c r="BP47" s="4">
        <f>(222.6+220.1)/2*0.5</f>
        <v>110.675</v>
      </c>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2" t="s">
        <v>421</v>
      </c>
      <c r="CQ47" s="2" t="s">
        <v>254</v>
      </c>
      <c r="CR47" s="10" t="s">
        <v>426</v>
      </c>
      <c r="CS47" s="9" t="s">
        <v>256</v>
      </c>
    </row>
    <row r="48" spans="1:97" s="2" customFormat="1" ht="12.75">
      <c r="A48" s="2">
        <v>45</v>
      </c>
      <c r="B48" s="2" t="s">
        <v>374</v>
      </c>
      <c r="C48" s="2" t="s">
        <v>427</v>
      </c>
      <c r="D48" s="4" t="s">
        <v>365</v>
      </c>
      <c r="E48" s="2" t="s">
        <v>428</v>
      </c>
      <c r="F48" s="2" t="s">
        <v>429</v>
      </c>
      <c r="G48" s="2">
        <v>1983</v>
      </c>
      <c r="H48" s="2">
        <v>1987</v>
      </c>
      <c r="I48" s="2">
        <v>1</v>
      </c>
      <c r="J48" s="2">
        <v>0</v>
      </c>
      <c r="K48" s="2">
        <v>0</v>
      </c>
      <c r="L48" s="2">
        <v>0</v>
      </c>
      <c r="M48" s="2">
        <v>1</v>
      </c>
      <c r="N48" s="2">
        <v>0</v>
      </c>
      <c r="O48" s="4">
        <v>15.375</v>
      </c>
      <c r="P48" s="4">
        <v>127.08</v>
      </c>
      <c r="Q48" s="4">
        <v>1487.6</v>
      </c>
      <c r="R48" s="4">
        <v>27.2</v>
      </c>
      <c r="S48" s="4">
        <v>65</v>
      </c>
      <c r="T48" s="4">
        <v>65.75</v>
      </c>
      <c r="U48" s="4">
        <v>1989.38</v>
      </c>
      <c r="V48" s="4">
        <v>1.691667</v>
      </c>
      <c r="W48" s="4"/>
      <c r="X48" s="4"/>
      <c r="Y48" s="4"/>
      <c r="Z48" s="4"/>
      <c r="AA48" s="4"/>
      <c r="AB48" s="4"/>
      <c r="AC48" s="4"/>
      <c r="AD48" s="4"/>
      <c r="AE48" s="4"/>
      <c r="AF48" s="4"/>
      <c r="AG48" s="4"/>
      <c r="AH48" s="4"/>
      <c r="AI48" s="4"/>
      <c r="AJ48" s="4"/>
      <c r="AK48" s="4"/>
      <c r="AL48" s="4"/>
      <c r="AM48" s="4"/>
      <c r="AN48" s="4"/>
      <c r="AO48" s="4"/>
      <c r="AP48" s="4"/>
      <c r="AQ48" s="4"/>
      <c r="AR48" s="4"/>
      <c r="AS48" s="4"/>
      <c r="AT48" s="4"/>
      <c r="AV48" s="4"/>
      <c r="AW48" s="4">
        <v>3000</v>
      </c>
      <c r="AX48" s="4"/>
      <c r="AY48" s="4"/>
      <c r="AZ48" s="4"/>
      <c r="BA48" s="4"/>
      <c r="BB48" s="4"/>
      <c r="BC48" s="4"/>
      <c r="BD48" s="4"/>
      <c r="BE48" s="4"/>
      <c r="BF48" s="4"/>
      <c r="BG48" s="4"/>
      <c r="BH48" s="4"/>
      <c r="BI48" s="4"/>
      <c r="BJ48" s="4"/>
      <c r="BK48" s="4"/>
      <c r="BL48" s="4"/>
      <c r="BM48" s="4">
        <f>22.8*50%</f>
        <v>11.4</v>
      </c>
      <c r="BN48" s="4">
        <f>15.5*50%</f>
        <v>7.75</v>
      </c>
      <c r="BO48" s="4">
        <f>30.2*50%</f>
        <v>15.1</v>
      </c>
      <c r="BP48" s="4">
        <f>80.3*50%</f>
        <v>40.15</v>
      </c>
      <c r="BQ48" s="4"/>
      <c r="BR48" s="4"/>
      <c r="BS48" s="4"/>
      <c r="BT48" s="4"/>
      <c r="BU48" s="4"/>
      <c r="BV48" s="4"/>
      <c r="BW48" s="4"/>
      <c r="BX48" s="4"/>
      <c r="BY48" s="4"/>
      <c r="BZ48" s="4"/>
      <c r="CA48" s="4">
        <f>22.8/5*50%</f>
        <v>2.2800000000000002</v>
      </c>
      <c r="CB48" s="4">
        <f>15.5/5*50%</f>
        <v>1.55</v>
      </c>
      <c r="CC48" s="4">
        <f>30.2/5*50%</f>
        <v>3.02</v>
      </c>
      <c r="CD48" s="4">
        <f>(589.9+652.3)/2*100*100/1000/1000*50%</f>
        <v>3.1054999999999997</v>
      </c>
      <c r="CE48" s="4"/>
      <c r="CF48" s="4">
        <f>80.3/5*50%</f>
        <v>8.0299999999999994</v>
      </c>
      <c r="CG48" s="4"/>
      <c r="CH48" s="4"/>
      <c r="CI48" s="4"/>
      <c r="CJ48" s="4"/>
      <c r="CK48" s="4"/>
      <c r="CL48" s="4"/>
      <c r="CM48" s="4"/>
      <c r="CN48" s="4"/>
      <c r="CO48" s="4"/>
      <c r="CP48" s="2" t="s">
        <v>430</v>
      </c>
      <c r="CQ48" s="2" t="s">
        <v>254</v>
      </c>
      <c r="CR48" s="10" t="s">
        <v>431</v>
      </c>
      <c r="CS48" s="9" t="s">
        <v>256</v>
      </c>
    </row>
    <row r="49" spans="1:97" s="2" customFormat="1" ht="12.75">
      <c r="A49" s="2">
        <v>46</v>
      </c>
      <c r="B49" s="2" t="s">
        <v>374</v>
      </c>
      <c r="C49" s="2" t="s">
        <v>427</v>
      </c>
      <c r="D49" s="4" t="s">
        <v>365</v>
      </c>
      <c r="E49" s="2" t="s">
        <v>432</v>
      </c>
      <c r="F49" s="2" t="s">
        <v>433</v>
      </c>
      <c r="G49" s="2">
        <v>1984</v>
      </c>
      <c r="H49" s="2">
        <v>1985</v>
      </c>
      <c r="I49" s="2">
        <v>0</v>
      </c>
      <c r="J49" s="2">
        <v>0</v>
      </c>
      <c r="K49" s="2">
        <v>0</v>
      </c>
      <c r="L49" s="2">
        <v>0</v>
      </c>
      <c r="M49" s="2">
        <v>0</v>
      </c>
      <c r="N49" s="2">
        <v>0</v>
      </c>
      <c r="O49" s="4">
        <v>15.304169999999999</v>
      </c>
      <c r="P49" s="4">
        <v>127.35</v>
      </c>
      <c r="Q49" s="4">
        <v>1380.5</v>
      </c>
      <c r="R49" s="4">
        <v>42.5</v>
      </c>
      <c r="S49" s="4">
        <v>65</v>
      </c>
      <c r="T49" s="4">
        <v>66.166669999999996</v>
      </c>
      <c r="U49" s="4">
        <v>1959.95</v>
      </c>
      <c r="V49" s="4">
        <v>1.745833</v>
      </c>
      <c r="W49" s="4"/>
      <c r="X49" s="4"/>
      <c r="Y49" s="4"/>
      <c r="Z49" s="4"/>
      <c r="AA49" s="4"/>
      <c r="AB49" s="4"/>
      <c r="AC49" s="4"/>
      <c r="AD49" s="4"/>
      <c r="AE49" s="4"/>
      <c r="AF49" s="4"/>
      <c r="AG49" s="4"/>
      <c r="AH49" s="4"/>
      <c r="AI49" s="4"/>
      <c r="AJ49" s="4"/>
      <c r="AK49" s="4"/>
      <c r="AL49" s="4"/>
      <c r="AM49" s="4"/>
      <c r="AN49" s="4"/>
      <c r="AO49" s="4"/>
      <c r="AP49" s="4"/>
      <c r="AQ49" s="4"/>
      <c r="AR49" s="4"/>
      <c r="AS49" s="4"/>
      <c r="AT49" s="4"/>
      <c r="AV49" s="4"/>
      <c r="AW49" s="4">
        <f>(8536+8617+4803)/3</f>
        <v>7318.666666666667</v>
      </c>
      <c r="AX49" s="4">
        <f>(8.3+12.9+10)/3</f>
        <v>10.4</v>
      </c>
      <c r="AY49" s="4"/>
      <c r="AZ49" s="4">
        <f>(31.9+108+42.1)/3</f>
        <v>60.666666666666664</v>
      </c>
      <c r="BA49" s="4"/>
      <c r="BB49" s="4"/>
      <c r="BC49" s="4"/>
      <c r="BD49" s="4"/>
      <c r="BE49" s="4"/>
      <c r="BF49" s="4"/>
      <c r="BG49" s="4"/>
      <c r="BH49" s="4"/>
      <c r="BI49" s="4"/>
      <c r="BJ49" s="4"/>
      <c r="BK49" s="4"/>
      <c r="BL49" s="4"/>
      <c r="BM49" s="4"/>
      <c r="BN49" s="4"/>
      <c r="BO49" s="4">
        <f>(80.1+218+67.1)/3*50%</f>
        <v>60.866666666666674</v>
      </c>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2" t="s">
        <v>434</v>
      </c>
      <c r="CQ49" s="2" t="s">
        <v>254</v>
      </c>
      <c r="CR49" s="10" t="s">
        <v>435</v>
      </c>
      <c r="CS49" s="9" t="s">
        <v>256</v>
      </c>
    </row>
    <row r="50" spans="1:97" s="2" customFormat="1" ht="12.75">
      <c r="A50" s="2">
        <v>47</v>
      </c>
      <c r="B50" s="2" t="s">
        <v>374</v>
      </c>
      <c r="C50" s="2" t="s">
        <v>427</v>
      </c>
      <c r="D50" s="4" t="s">
        <v>365</v>
      </c>
      <c r="E50" s="2" t="s">
        <v>436</v>
      </c>
      <c r="F50" s="2" t="s">
        <v>437</v>
      </c>
      <c r="G50" s="2">
        <v>2009</v>
      </c>
      <c r="H50" s="2">
        <v>2009</v>
      </c>
      <c r="I50" s="2">
        <v>0</v>
      </c>
      <c r="J50" s="2">
        <v>0</v>
      </c>
      <c r="K50" s="2">
        <v>0</v>
      </c>
      <c r="L50" s="2">
        <v>0</v>
      </c>
      <c r="M50" s="2">
        <v>0</v>
      </c>
      <c r="N50" s="2">
        <v>0</v>
      </c>
      <c r="O50" s="4">
        <v>16.100000000000001</v>
      </c>
      <c r="P50" s="4">
        <v>133.19999999999999</v>
      </c>
      <c r="Q50" s="4">
        <v>1457.5</v>
      </c>
      <c r="R50" s="4">
        <v>2</v>
      </c>
      <c r="S50" s="4">
        <v>132</v>
      </c>
      <c r="T50" s="4">
        <v>62</v>
      </c>
      <c r="U50" s="4">
        <v>1775</v>
      </c>
      <c r="V50" s="4">
        <v>2.0583330000000002</v>
      </c>
      <c r="W50" s="4"/>
      <c r="X50" s="4"/>
      <c r="Y50" s="4"/>
      <c r="Z50" s="4"/>
      <c r="AA50" s="4"/>
      <c r="AB50" s="4"/>
      <c r="AC50" s="4"/>
      <c r="AD50" s="4"/>
      <c r="AE50" s="4"/>
      <c r="AF50" s="4"/>
      <c r="AG50" s="4"/>
      <c r="AH50" s="4"/>
      <c r="AI50" s="4"/>
      <c r="AJ50" s="4"/>
      <c r="AK50" s="4"/>
      <c r="AL50" s="4"/>
      <c r="AM50" s="4"/>
      <c r="AN50" s="4"/>
      <c r="AO50" s="4"/>
      <c r="AP50" s="4"/>
      <c r="AQ50" s="4"/>
      <c r="AR50" s="4"/>
      <c r="AS50" s="4"/>
      <c r="AT50" s="4"/>
      <c r="AV50" s="4"/>
      <c r="AW50" s="4">
        <v>5400</v>
      </c>
      <c r="AX50" s="4">
        <v>8</v>
      </c>
      <c r="AY50" s="4">
        <v>12.1</v>
      </c>
      <c r="AZ50" s="4">
        <f>(AX50/2)^2*PI()*AW50/10000</f>
        <v>27.143360527015815</v>
      </c>
      <c r="BA50" s="4"/>
      <c r="BB50" s="4"/>
      <c r="BC50" s="4"/>
      <c r="BD50" s="4"/>
      <c r="BE50" s="4"/>
      <c r="BF50" s="4"/>
      <c r="BG50" s="4"/>
      <c r="BH50" s="4"/>
      <c r="BI50" s="4"/>
      <c r="BJ50" s="4"/>
      <c r="BK50" s="4"/>
      <c r="BL50" s="4"/>
      <c r="BM50" s="4"/>
      <c r="BN50" s="4">
        <f>2.6*5400/1000</f>
        <v>14.04</v>
      </c>
      <c r="BO50" s="4">
        <f>8.9*5400/1000</f>
        <v>48.06</v>
      </c>
      <c r="BP50" s="4">
        <f>11.6*5400/1000</f>
        <v>62.64</v>
      </c>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2" t="s">
        <v>438</v>
      </c>
      <c r="CQ50" s="2" t="s">
        <v>254</v>
      </c>
      <c r="CR50" s="10" t="s">
        <v>439</v>
      </c>
      <c r="CS50" s="9" t="s">
        <v>256</v>
      </c>
    </row>
    <row r="51" spans="1:97" s="2" customFormat="1" ht="12.75">
      <c r="A51" s="2">
        <v>48</v>
      </c>
      <c r="B51" s="2" t="s">
        <v>374</v>
      </c>
      <c r="C51" s="2" t="s">
        <v>427</v>
      </c>
      <c r="D51" s="4" t="s">
        <v>365</v>
      </c>
      <c r="E51" s="2" t="s">
        <v>440</v>
      </c>
      <c r="F51" s="2" t="s">
        <v>441</v>
      </c>
      <c r="G51" s="2">
        <v>2019</v>
      </c>
      <c r="H51" s="2">
        <v>2019</v>
      </c>
      <c r="I51" s="2">
        <v>1</v>
      </c>
      <c r="J51" s="2">
        <v>0</v>
      </c>
      <c r="K51" s="2">
        <v>1</v>
      </c>
      <c r="L51" s="2">
        <v>1</v>
      </c>
      <c r="M51" s="2">
        <v>0</v>
      </c>
      <c r="N51" s="2">
        <v>0</v>
      </c>
      <c r="O51" s="4">
        <v>16.91</v>
      </c>
      <c r="P51" s="4">
        <v>142.9</v>
      </c>
      <c r="Q51" s="4">
        <v>1407.5</v>
      </c>
      <c r="R51" s="4">
        <v>7</v>
      </c>
      <c r="S51" s="4">
        <v>65</v>
      </c>
      <c r="T51" s="4">
        <v>66.75</v>
      </c>
      <c r="U51" s="4">
        <v>1817.3</v>
      </c>
      <c r="V51" s="4">
        <v>2.1</v>
      </c>
      <c r="W51" s="4"/>
      <c r="X51" s="4"/>
      <c r="Y51" s="4"/>
      <c r="Z51" s="4"/>
      <c r="AA51" s="4"/>
      <c r="AB51" s="4"/>
      <c r="AC51" s="4"/>
      <c r="AD51" s="4"/>
      <c r="AE51" s="4"/>
      <c r="AF51" s="4"/>
      <c r="AG51" s="4"/>
      <c r="AH51" s="4"/>
      <c r="AI51" s="4"/>
      <c r="AJ51" s="4"/>
      <c r="AK51" s="4"/>
      <c r="AL51" s="4"/>
      <c r="AM51" s="4"/>
      <c r="AN51" s="4"/>
      <c r="AO51" s="4"/>
      <c r="AP51" s="4"/>
      <c r="AQ51" s="4"/>
      <c r="AR51" s="4"/>
      <c r="AS51" s="4"/>
      <c r="AT51" s="4"/>
      <c r="AV51" s="4"/>
      <c r="AW51" s="4">
        <v>9184</v>
      </c>
      <c r="AX51" s="4">
        <v>9.6999999999999993</v>
      </c>
      <c r="AY51" s="4"/>
      <c r="AZ51" s="4">
        <v>69.7</v>
      </c>
      <c r="BA51" s="4"/>
      <c r="BB51" s="4"/>
      <c r="BC51" s="4"/>
      <c r="BD51" s="4"/>
      <c r="BE51" s="4"/>
      <c r="BF51" s="4"/>
      <c r="BG51" s="4"/>
      <c r="BH51" s="4"/>
      <c r="BI51" s="4"/>
      <c r="BJ51" s="4"/>
      <c r="BK51" s="4"/>
      <c r="BL51" s="4"/>
      <c r="BM51" s="4">
        <v>1.7</v>
      </c>
      <c r="BN51" s="4">
        <v>5.8</v>
      </c>
      <c r="BO51" s="4">
        <v>60.9</v>
      </c>
      <c r="BP51" s="4">
        <v>68.400000000000006</v>
      </c>
      <c r="BQ51" s="4">
        <v>0.36</v>
      </c>
      <c r="BR51" s="4">
        <v>5.0999999999999996</v>
      </c>
      <c r="BS51" s="4">
        <v>12.8</v>
      </c>
      <c r="BT51" s="4">
        <v>6.7</v>
      </c>
      <c r="BU51" s="4">
        <v>24.6</v>
      </c>
      <c r="BV51" s="4">
        <v>93</v>
      </c>
      <c r="BW51" s="4"/>
      <c r="BX51" s="4"/>
      <c r="BY51" s="4"/>
      <c r="BZ51" s="4"/>
      <c r="CA51" s="4"/>
      <c r="CB51" s="4"/>
      <c r="CC51" s="4"/>
      <c r="CD51" s="4"/>
      <c r="CE51" s="4"/>
      <c r="CF51" s="4"/>
      <c r="CG51" s="4"/>
      <c r="CH51" s="4"/>
      <c r="CI51" s="4"/>
      <c r="CJ51" s="4"/>
      <c r="CK51" s="4"/>
      <c r="CL51" s="4"/>
      <c r="CM51" s="4"/>
      <c r="CN51" s="4"/>
      <c r="CO51" s="4"/>
      <c r="CP51" s="2" t="s">
        <v>442</v>
      </c>
      <c r="CQ51" s="2" t="s">
        <v>254</v>
      </c>
      <c r="CR51" s="10"/>
      <c r="CS51" s="9" t="s">
        <v>122</v>
      </c>
    </row>
    <row r="52" spans="1:97" s="2" customFormat="1" ht="12.75">
      <c r="A52" s="2">
        <v>49</v>
      </c>
      <c r="B52" s="2" t="s">
        <v>374</v>
      </c>
      <c r="C52" s="2" t="s">
        <v>427</v>
      </c>
      <c r="D52" s="4" t="s">
        <v>365</v>
      </c>
      <c r="E52" s="2" t="s">
        <v>443</v>
      </c>
      <c r="F52" s="2" t="s">
        <v>444</v>
      </c>
      <c r="G52" s="2">
        <v>1971</v>
      </c>
      <c r="H52" s="2">
        <v>1971</v>
      </c>
      <c r="I52" s="2">
        <v>1</v>
      </c>
      <c r="J52" s="2">
        <v>0</v>
      </c>
      <c r="K52" s="2">
        <v>1</v>
      </c>
      <c r="L52" s="2">
        <v>0</v>
      </c>
      <c r="M52" s="2">
        <v>0</v>
      </c>
      <c r="N52" s="2">
        <v>0</v>
      </c>
      <c r="O52" s="4">
        <v>15</v>
      </c>
      <c r="P52" s="4">
        <v>124.5</v>
      </c>
      <c r="Q52" s="4">
        <v>1600</v>
      </c>
      <c r="R52" s="4">
        <v>17</v>
      </c>
      <c r="S52" s="4">
        <v>65</v>
      </c>
      <c r="T52" s="4">
        <v>65.75</v>
      </c>
      <c r="U52" s="4">
        <v>1810</v>
      </c>
      <c r="V52" s="4">
        <v>1.858333</v>
      </c>
      <c r="W52" s="4"/>
      <c r="X52" s="4"/>
      <c r="Y52" s="4"/>
      <c r="Z52" s="4"/>
      <c r="AA52" s="4"/>
      <c r="AB52" s="4"/>
      <c r="AC52" s="4"/>
      <c r="AD52" s="4"/>
      <c r="AE52" s="4"/>
      <c r="AF52" s="4"/>
      <c r="AG52" s="4"/>
      <c r="AH52" s="4"/>
      <c r="AI52" s="4"/>
      <c r="AJ52" s="4"/>
      <c r="AK52" s="4"/>
      <c r="AL52" s="4"/>
      <c r="AM52" s="4"/>
      <c r="AN52" s="4"/>
      <c r="AO52" s="4"/>
      <c r="AP52" s="4"/>
      <c r="AQ52" s="4"/>
      <c r="AR52" s="4"/>
      <c r="AS52" s="4"/>
      <c r="AT52" s="4"/>
      <c r="AV52" s="4"/>
      <c r="AW52" s="4">
        <f>(4500+5100+8800)/3</f>
        <v>6133.333333333333</v>
      </c>
      <c r="AX52" s="4">
        <f>(8.3+9.3+9.2)/3</f>
        <v>8.9333333333333336</v>
      </c>
      <c r="AY52" s="4">
        <f>(12+13.2+13.3)/3</f>
        <v>12.833333333333334</v>
      </c>
      <c r="AZ52" s="4">
        <f>(AX52/2)^2*PI()*AW52/10000</f>
        <v>38.442668646540483</v>
      </c>
      <c r="BA52" s="4"/>
      <c r="BB52" s="4"/>
      <c r="BC52" s="4"/>
      <c r="BD52" s="4"/>
      <c r="BE52" s="4"/>
      <c r="BF52" s="4"/>
      <c r="BG52" s="4"/>
      <c r="BH52" s="4"/>
      <c r="BI52" s="4"/>
      <c r="BJ52" s="4"/>
      <c r="BK52" s="4"/>
      <c r="BL52" s="4"/>
      <c r="BM52" s="4">
        <f>3.1*50%</f>
        <v>1.55</v>
      </c>
      <c r="BN52" s="4">
        <f>7.3*50%</f>
        <v>3.65</v>
      </c>
      <c r="BO52" s="4">
        <f>40.6*50%</f>
        <v>20.3</v>
      </c>
      <c r="BP52" s="4">
        <f>SUM(BM52:BO52)</f>
        <v>25.5</v>
      </c>
      <c r="BQ52" s="4"/>
      <c r="BR52" s="4"/>
      <c r="BS52" s="4"/>
      <c r="BT52" s="4"/>
      <c r="BU52" s="4"/>
      <c r="BV52" s="4"/>
      <c r="BW52" s="4"/>
      <c r="BX52" s="4"/>
      <c r="BY52" s="4"/>
      <c r="BZ52" s="4"/>
      <c r="CA52" s="4">
        <f>3.1*50%</f>
        <v>1.55</v>
      </c>
      <c r="CB52" s="4">
        <f>7.3*50%</f>
        <v>3.65</v>
      </c>
      <c r="CC52" s="4">
        <f>40.6*50%</f>
        <v>20.3</v>
      </c>
      <c r="CD52" s="4">
        <f>SUM(BZ52:CB52)</f>
        <v>5.2</v>
      </c>
      <c r="CE52" s="4">
        <f>CD52+CA52</f>
        <v>6.75</v>
      </c>
      <c r="CF52" s="4">
        <f>SUM(CA52:CC52)</f>
        <v>25.5</v>
      </c>
      <c r="CG52" s="4">
        <f>(2.2+4.1+1.5)/3*50%</f>
        <v>1.3</v>
      </c>
      <c r="CH52" s="4">
        <f>(3.4+6.4+2.4)/3*50%</f>
        <v>2.0333333333333337</v>
      </c>
      <c r="CI52" s="4"/>
      <c r="CJ52" s="4">
        <f>SUM(CG52:CI52)</f>
        <v>3.3333333333333339</v>
      </c>
      <c r="CK52" s="4">
        <f>CF52+CJ52</f>
        <v>28.833333333333336</v>
      </c>
      <c r="CL52" s="4"/>
      <c r="CM52" s="4"/>
      <c r="CN52" s="4"/>
      <c r="CO52" s="4"/>
      <c r="CP52" s="2" t="s">
        <v>445</v>
      </c>
      <c r="CQ52" s="2" t="s">
        <v>254</v>
      </c>
      <c r="CR52" s="2" t="s">
        <v>446</v>
      </c>
      <c r="CS52" s="9" t="s">
        <v>256</v>
      </c>
    </row>
    <row r="53" spans="1:97" s="2" customFormat="1" ht="12.75">
      <c r="A53" s="2">
        <v>50</v>
      </c>
      <c r="B53" s="2" t="s">
        <v>374</v>
      </c>
      <c r="C53" s="2" t="s">
        <v>427</v>
      </c>
      <c r="D53" s="4" t="s">
        <v>365</v>
      </c>
      <c r="E53" s="2" t="s">
        <v>447</v>
      </c>
      <c r="F53" s="2" t="s">
        <v>448</v>
      </c>
      <c r="G53" s="2">
        <v>1983</v>
      </c>
      <c r="H53" s="2">
        <v>1987</v>
      </c>
      <c r="I53" s="2">
        <v>1</v>
      </c>
      <c r="J53" s="2">
        <v>0</v>
      </c>
      <c r="K53" s="2">
        <v>1</v>
      </c>
      <c r="L53" s="2">
        <v>0</v>
      </c>
      <c r="M53" s="2">
        <v>0</v>
      </c>
      <c r="N53" s="2">
        <v>0</v>
      </c>
      <c r="O53" s="4">
        <v>15.375</v>
      </c>
      <c r="P53" s="4">
        <v>127.08</v>
      </c>
      <c r="Q53" s="4">
        <v>1487.6</v>
      </c>
      <c r="R53" s="4">
        <v>27.2</v>
      </c>
      <c r="S53" s="4">
        <v>65</v>
      </c>
      <c r="T53" s="4">
        <v>65.75</v>
      </c>
      <c r="U53" s="4">
        <v>1989.38</v>
      </c>
      <c r="V53" s="4">
        <v>1.691667</v>
      </c>
      <c r="W53" s="4"/>
      <c r="X53" s="4"/>
      <c r="Y53" s="4"/>
      <c r="Z53" s="4"/>
      <c r="AA53" s="4"/>
      <c r="AB53" s="4"/>
      <c r="AC53" s="4"/>
      <c r="AD53" s="4"/>
      <c r="AE53" s="4"/>
      <c r="AF53" s="4"/>
      <c r="AG53" s="4"/>
      <c r="AH53" s="4"/>
      <c r="AI53" s="4"/>
      <c r="AJ53" s="4"/>
      <c r="AK53" s="4"/>
      <c r="AL53" s="4"/>
      <c r="AM53" s="4"/>
      <c r="AN53" s="4"/>
      <c r="AO53" s="4"/>
      <c r="AP53" s="4"/>
      <c r="AQ53" s="4"/>
      <c r="AR53" s="4"/>
      <c r="AS53" s="4"/>
      <c r="AT53" s="4"/>
      <c r="AV53" s="4"/>
      <c r="AW53" s="4">
        <v>7200</v>
      </c>
      <c r="AX53" s="4"/>
      <c r="AY53" s="4"/>
      <c r="AZ53" s="4"/>
      <c r="BA53" s="4"/>
      <c r="BB53" s="4"/>
      <c r="BC53" s="4"/>
      <c r="BD53" s="4"/>
      <c r="BE53" s="4"/>
      <c r="BF53" s="4"/>
      <c r="BG53" s="4"/>
      <c r="BH53" s="4"/>
      <c r="BI53" s="4"/>
      <c r="BJ53" s="4"/>
      <c r="BK53" s="4"/>
      <c r="BL53" s="4"/>
      <c r="BM53" s="4">
        <f>28.4*50%+BM55*40%</f>
        <v>14.2</v>
      </c>
      <c r="BN53" s="4">
        <f>13.1*50%+BN55*40%</f>
        <v>6.55</v>
      </c>
      <c r="BO53" s="4">
        <f>25.4*50%+BO55*40%</f>
        <v>40</v>
      </c>
      <c r="BP53" s="4">
        <f>SUM(BM53:BO53)</f>
        <v>60.75</v>
      </c>
      <c r="BQ53" s="4"/>
      <c r="BR53" s="4"/>
      <c r="BS53" s="4"/>
      <c r="BT53" s="4"/>
      <c r="BU53" s="4"/>
      <c r="BV53" s="4"/>
      <c r="BW53" s="4"/>
      <c r="BX53" s="4"/>
      <c r="BY53" s="4"/>
      <c r="BZ53" s="4"/>
      <c r="CA53" s="4">
        <f>28.4/5*50%</f>
        <v>2.84</v>
      </c>
      <c r="CB53" s="4">
        <f>13.1/5*50%</f>
        <v>1.31</v>
      </c>
      <c r="CC53" s="4">
        <f>25.4/5*50%</f>
        <v>2.54</v>
      </c>
      <c r="CD53" s="4">
        <f>(628.8+657.9)/2*100*100/1000/1000*50%</f>
        <v>3.2167499999999993</v>
      </c>
      <c r="CE53" s="4"/>
      <c r="CF53" s="4">
        <f>78.6/5*50%</f>
        <v>7.8599999999999994</v>
      </c>
      <c r="CG53" s="4"/>
      <c r="CH53" s="4"/>
      <c r="CI53" s="4"/>
      <c r="CJ53" s="4"/>
      <c r="CK53" s="4"/>
      <c r="CL53" s="4"/>
      <c r="CM53" s="4"/>
      <c r="CN53" s="4"/>
      <c r="CO53" s="4"/>
      <c r="CP53" s="2" t="s">
        <v>430</v>
      </c>
      <c r="CQ53" s="2" t="s">
        <v>254</v>
      </c>
      <c r="CR53" s="10" t="s">
        <v>431</v>
      </c>
      <c r="CS53" s="9" t="s">
        <v>256</v>
      </c>
    </row>
    <row r="54" spans="1:97" s="2" customFormat="1" ht="12.75">
      <c r="A54" s="2">
        <v>51</v>
      </c>
      <c r="B54" s="2" t="s">
        <v>374</v>
      </c>
      <c r="C54" s="2" t="s">
        <v>427</v>
      </c>
      <c r="D54" s="4" t="s">
        <v>365</v>
      </c>
      <c r="E54" s="2" t="s">
        <v>449</v>
      </c>
      <c r="F54" s="2" t="s">
        <v>450</v>
      </c>
      <c r="G54" s="2">
        <v>1984</v>
      </c>
      <c r="H54" s="2">
        <v>1985</v>
      </c>
      <c r="I54" s="2">
        <v>0</v>
      </c>
      <c r="J54" s="2">
        <v>0</v>
      </c>
      <c r="K54" s="2">
        <v>0</v>
      </c>
      <c r="L54" s="2">
        <v>0</v>
      </c>
      <c r="M54" s="2">
        <v>0</v>
      </c>
      <c r="N54" s="2">
        <v>0</v>
      </c>
      <c r="O54" s="4">
        <v>15.304169999999999</v>
      </c>
      <c r="P54" s="4">
        <v>127.35</v>
      </c>
      <c r="Q54" s="4">
        <v>1380.5</v>
      </c>
      <c r="R54" s="4">
        <v>42.5</v>
      </c>
      <c r="S54" s="4">
        <v>65</v>
      </c>
      <c r="T54" s="4">
        <v>66.166669999999996</v>
      </c>
      <c r="U54" s="4">
        <v>1959.95</v>
      </c>
      <c r="V54" s="4">
        <v>1.745833</v>
      </c>
      <c r="W54" s="4"/>
      <c r="X54" s="4"/>
      <c r="Y54" s="4"/>
      <c r="Z54" s="4"/>
      <c r="AA54" s="4"/>
      <c r="AB54" s="4"/>
      <c r="AC54" s="4"/>
      <c r="AD54" s="4"/>
      <c r="AE54" s="4"/>
      <c r="AF54" s="4"/>
      <c r="AG54" s="4"/>
      <c r="AH54" s="4"/>
      <c r="AI54" s="4"/>
      <c r="AJ54" s="4"/>
      <c r="AK54" s="4"/>
      <c r="AL54" s="4"/>
      <c r="AM54" s="4"/>
      <c r="AN54" s="4"/>
      <c r="AO54" s="4"/>
      <c r="AP54" s="4"/>
      <c r="AQ54" s="4"/>
      <c r="AR54" s="4"/>
      <c r="AS54" s="4"/>
      <c r="AT54" s="4"/>
      <c r="AV54" s="4"/>
      <c r="AW54" s="4">
        <f>(6045+6014+5488+6611+5751)/5</f>
        <v>5981.8</v>
      </c>
      <c r="AX54" s="4">
        <f>(13.5+11.5+13.2+12.8+12.3)/5</f>
        <v>12.66</v>
      </c>
      <c r="AY54" s="4"/>
      <c r="AZ54" s="4">
        <f>(71.9+53.7+60.9+77.7+66.2)/5</f>
        <v>66.08</v>
      </c>
      <c r="BA54" s="4"/>
      <c r="BB54" s="4"/>
      <c r="BC54" s="4"/>
      <c r="BD54" s="4"/>
      <c r="BE54" s="4"/>
      <c r="BF54" s="4"/>
      <c r="BG54" s="4"/>
      <c r="BH54" s="4"/>
      <c r="BI54" s="4"/>
      <c r="BJ54" s="4"/>
      <c r="BK54" s="4"/>
      <c r="BL54" s="4"/>
      <c r="BM54" s="4"/>
      <c r="BN54" s="4"/>
      <c r="BO54" s="4">
        <f>(161.7+113+139.6+118.3+132.7)/5*50%</f>
        <v>66.53</v>
      </c>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2" t="s">
        <v>451</v>
      </c>
      <c r="CQ54" s="2" t="s">
        <v>254</v>
      </c>
      <c r="CR54" s="10" t="s">
        <v>435</v>
      </c>
      <c r="CS54" s="9" t="s">
        <v>256</v>
      </c>
    </row>
    <row r="55" spans="1:97" s="2" customFormat="1" ht="12.75">
      <c r="A55" s="2">
        <v>52</v>
      </c>
      <c r="B55" s="2" t="s">
        <v>374</v>
      </c>
      <c r="C55" s="2" t="s">
        <v>427</v>
      </c>
      <c r="D55" s="4" t="s">
        <v>365</v>
      </c>
      <c r="E55" s="2" t="s">
        <v>452</v>
      </c>
      <c r="F55" s="2" t="s">
        <v>453</v>
      </c>
      <c r="G55" s="2">
        <v>1984</v>
      </c>
      <c r="H55" s="2">
        <v>1985</v>
      </c>
      <c r="I55" s="2">
        <v>0</v>
      </c>
      <c r="J55" s="2">
        <v>0</v>
      </c>
      <c r="K55" s="2">
        <v>0</v>
      </c>
      <c r="L55" s="2">
        <v>0</v>
      </c>
      <c r="M55" s="2">
        <v>0</v>
      </c>
      <c r="N55" s="2">
        <v>0</v>
      </c>
      <c r="O55" s="4">
        <v>15.304169999999999</v>
      </c>
      <c r="P55" s="4">
        <v>127.35</v>
      </c>
      <c r="Q55" s="4">
        <v>1380.5</v>
      </c>
      <c r="R55" s="4">
        <v>42.5</v>
      </c>
      <c r="S55" s="4">
        <v>65</v>
      </c>
      <c r="T55" s="4">
        <v>66.166669999999996</v>
      </c>
      <c r="U55" s="4">
        <v>1959.95</v>
      </c>
      <c r="V55" s="4">
        <v>1.745833</v>
      </c>
      <c r="W55" s="4"/>
      <c r="X55" s="4"/>
      <c r="Y55" s="4"/>
      <c r="Z55" s="4"/>
      <c r="AA55" s="4"/>
      <c r="AB55" s="4"/>
      <c r="AC55" s="4"/>
      <c r="AD55" s="4"/>
      <c r="AE55" s="4"/>
      <c r="AF55" s="4"/>
      <c r="AG55" s="4"/>
      <c r="AH55" s="4"/>
      <c r="AI55" s="4"/>
      <c r="AJ55" s="4"/>
      <c r="AK55" s="4"/>
      <c r="AL55" s="4"/>
      <c r="AM55" s="4"/>
      <c r="AN55" s="4"/>
      <c r="AO55" s="4"/>
      <c r="AP55" s="4"/>
      <c r="AQ55" s="4"/>
      <c r="AR55" s="4"/>
      <c r="AS55" s="4"/>
      <c r="AT55" s="4"/>
      <c r="AV55" s="4"/>
      <c r="AW55" s="4">
        <f>5181</f>
        <v>5181</v>
      </c>
      <c r="AX55" s="4">
        <f>12.7</f>
        <v>12.7</v>
      </c>
      <c r="AY55" s="4"/>
      <c r="AZ55" s="4">
        <v>57.6</v>
      </c>
      <c r="BA55" s="4"/>
      <c r="BB55" s="4"/>
      <c r="BC55" s="4"/>
      <c r="BD55" s="4"/>
      <c r="BE55" s="4"/>
      <c r="BF55" s="4"/>
      <c r="BG55" s="4"/>
      <c r="BH55" s="4"/>
      <c r="BI55" s="4"/>
      <c r="BJ55" s="4"/>
      <c r="BK55" s="4"/>
      <c r="BL55" s="4"/>
      <c r="BM55" s="4"/>
      <c r="BN55" s="4"/>
      <c r="BO55" s="4">
        <f>136.5*50%</f>
        <v>68.25</v>
      </c>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2" t="s">
        <v>451</v>
      </c>
      <c r="CQ55" s="2" t="s">
        <v>254</v>
      </c>
      <c r="CR55" s="10" t="s">
        <v>435</v>
      </c>
      <c r="CS55" s="9" t="s">
        <v>256</v>
      </c>
    </row>
    <row r="56" spans="1:97" s="2" customFormat="1" ht="12.75">
      <c r="A56" s="2">
        <v>53</v>
      </c>
      <c r="B56" s="2" t="s">
        <v>374</v>
      </c>
      <c r="C56" s="2" t="s">
        <v>427</v>
      </c>
      <c r="D56" s="4" t="s">
        <v>365</v>
      </c>
      <c r="E56" s="2" t="s">
        <v>454</v>
      </c>
      <c r="F56" s="2" t="s">
        <v>455</v>
      </c>
      <c r="G56" s="2">
        <v>1983</v>
      </c>
      <c r="H56" s="2">
        <v>1983</v>
      </c>
      <c r="I56" s="2">
        <v>0</v>
      </c>
      <c r="J56" s="2">
        <v>0</v>
      </c>
      <c r="K56" s="2">
        <v>0</v>
      </c>
      <c r="L56" s="2">
        <v>0</v>
      </c>
      <c r="M56" s="2">
        <v>0</v>
      </c>
      <c r="N56" s="2">
        <v>0</v>
      </c>
      <c r="O56" s="4">
        <v>15.39167</v>
      </c>
      <c r="P56" s="4">
        <v>125.4</v>
      </c>
      <c r="Q56" s="4">
        <v>1928</v>
      </c>
      <c r="R56" s="4">
        <v>12</v>
      </c>
      <c r="S56" s="4">
        <v>65</v>
      </c>
      <c r="T56" s="4">
        <v>65.75</v>
      </c>
      <c r="U56" s="4">
        <v>2046.8</v>
      </c>
      <c r="V56" s="4">
        <v>1.558333</v>
      </c>
      <c r="W56" s="4"/>
      <c r="X56" s="4"/>
      <c r="Y56" s="4"/>
      <c r="Z56" s="4"/>
      <c r="AA56" s="4"/>
      <c r="AB56" s="4"/>
      <c r="AC56" s="4"/>
      <c r="AD56" s="4"/>
      <c r="AE56" s="4"/>
      <c r="AF56" s="4"/>
      <c r="AG56" s="4"/>
      <c r="AH56" s="4"/>
      <c r="AI56" s="4"/>
      <c r="AJ56" s="4"/>
      <c r="AK56" s="4"/>
      <c r="AL56" s="4"/>
      <c r="AM56" s="4"/>
      <c r="AN56" s="4"/>
      <c r="AO56" s="4"/>
      <c r="AP56" s="4"/>
      <c r="AQ56" s="4"/>
      <c r="AR56" s="4"/>
      <c r="AS56" s="4"/>
      <c r="AT56" s="4"/>
      <c r="AV56" s="4"/>
      <c r="AW56" s="4">
        <v>7200</v>
      </c>
      <c r="AX56" s="4">
        <v>9.6</v>
      </c>
      <c r="AY56" s="4">
        <v>13.6</v>
      </c>
      <c r="AZ56" s="4">
        <v>53.9</v>
      </c>
      <c r="BA56" s="4"/>
      <c r="BB56" s="4">
        <v>11.9</v>
      </c>
      <c r="BC56" s="4"/>
      <c r="BD56" s="4"/>
      <c r="BE56" s="4"/>
      <c r="BF56" s="4"/>
      <c r="BG56" s="4"/>
      <c r="BH56" s="4"/>
      <c r="BI56" s="4"/>
      <c r="BJ56" s="4"/>
      <c r="BK56" s="4"/>
      <c r="BL56" s="4"/>
      <c r="BM56" s="2">
        <f>5.3*50%</f>
        <v>2.65</v>
      </c>
      <c r="BN56" s="2">
        <f>13.2*50%</f>
        <v>6.6</v>
      </c>
      <c r="BO56" s="2">
        <f>76.6*50%</f>
        <v>38.299999999999997</v>
      </c>
      <c r="BP56" s="2">
        <f t="shared" ref="BP56:BP64" si="5">SUM(BM56:BO56)</f>
        <v>47.55</v>
      </c>
      <c r="BQ56" s="4"/>
      <c r="BR56" s="4"/>
      <c r="BS56" s="4"/>
      <c r="BT56" s="4"/>
      <c r="BU56" s="4"/>
      <c r="BV56" s="4"/>
      <c r="BW56" s="4"/>
      <c r="BX56" s="4"/>
      <c r="BY56" s="4"/>
      <c r="BZ56" s="4"/>
      <c r="CG56" s="4"/>
      <c r="CH56" s="4"/>
      <c r="CI56" s="4"/>
      <c r="CJ56" s="4"/>
      <c r="CK56" s="4"/>
      <c r="CL56" s="4"/>
      <c r="CM56" s="4"/>
      <c r="CN56" s="4"/>
      <c r="CO56" s="4"/>
      <c r="CP56" s="2" t="s">
        <v>456</v>
      </c>
      <c r="CQ56" s="2" t="s">
        <v>254</v>
      </c>
      <c r="CR56" s="10" t="s">
        <v>431</v>
      </c>
      <c r="CS56" s="9" t="s">
        <v>256</v>
      </c>
    </row>
    <row r="57" spans="1:97" s="2" customFormat="1" ht="12.75">
      <c r="A57" s="2">
        <v>54</v>
      </c>
      <c r="B57" s="2" t="s">
        <v>374</v>
      </c>
      <c r="C57" s="2" t="s">
        <v>427</v>
      </c>
      <c r="D57" s="4" t="s">
        <v>365</v>
      </c>
      <c r="E57" s="2" t="s">
        <v>457</v>
      </c>
      <c r="F57" s="2" t="s">
        <v>458</v>
      </c>
      <c r="G57" s="2">
        <v>1983</v>
      </c>
      <c r="H57" s="2">
        <v>1987</v>
      </c>
      <c r="I57" s="2">
        <v>0</v>
      </c>
      <c r="J57" s="2">
        <v>0</v>
      </c>
      <c r="K57" s="2">
        <v>0</v>
      </c>
      <c r="L57" s="2">
        <v>0</v>
      </c>
      <c r="M57" s="2">
        <v>0</v>
      </c>
      <c r="N57" s="2">
        <v>0</v>
      </c>
      <c r="O57" s="4">
        <v>15.375</v>
      </c>
      <c r="P57" s="4">
        <v>127.08</v>
      </c>
      <c r="Q57" s="4">
        <v>1487.6</v>
      </c>
      <c r="R57" s="4">
        <v>27.2</v>
      </c>
      <c r="S57" s="4">
        <v>65</v>
      </c>
      <c r="T57" s="4">
        <v>65.75</v>
      </c>
      <c r="U57" s="4">
        <v>1989.38</v>
      </c>
      <c r="V57" s="4">
        <v>1.691667</v>
      </c>
      <c r="W57" s="4"/>
      <c r="X57" s="4"/>
      <c r="Y57" s="4"/>
      <c r="Z57" s="4"/>
      <c r="AA57" s="4"/>
      <c r="AB57" s="4"/>
      <c r="AC57" s="4"/>
      <c r="AD57" s="4"/>
      <c r="AE57" s="4"/>
      <c r="AF57" s="4"/>
      <c r="AG57" s="4"/>
      <c r="AH57" s="4"/>
      <c r="AI57" s="4"/>
      <c r="AJ57" s="4"/>
      <c r="AK57" s="4"/>
      <c r="AL57" s="4"/>
      <c r="AM57" s="4"/>
      <c r="AN57" s="4"/>
      <c r="AO57" s="4"/>
      <c r="AP57" s="4"/>
      <c r="AQ57" s="4"/>
      <c r="AR57" s="4"/>
      <c r="AS57" s="4"/>
      <c r="AT57" s="4"/>
      <c r="AV57" s="4"/>
      <c r="AW57" s="4">
        <v>8000</v>
      </c>
      <c r="AX57" s="4"/>
      <c r="AY57" s="4"/>
      <c r="AZ57" s="4"/>
      <c r="BA57" s="4"/>
      <c r="BB57" s="4"/>
      <c r="BC57" s="4"/>
      <c r="BD57" s="4"/>
      <c r="BE57" s="4"/>
      <c r="BF57" s="4"/>
      <c r="BG57" s="4"/>
      <c r="BH57" s="4"/>
      <c r="BI57" s="4"/>
      <c r="BJ57" s="4"/>
      <c r="BK57" s="4"/>
      <c r="BL57" s="4"/>
      <c r="BM57" s="4">
        <f>37.6*50%+BM58</f>
        <v>21.5258</v>
      </c>
      <c r="BN57" s="4">
        <f>14.3*50%+BN58</f>
        <v>14.651999999999999</v>
      </c>
      <c r="BO57" s="4">
        <f>27.4*50%+BO58</f>
        <v>69.154000000000011</v>
      </c>
      <c r="BP57" s="4">
        <f t="shared" si="5"/>
        <v>105.33180000000002</v>
      </c>
      <c r="BQ57" s="4"/>
      <c r="BR57" s="4"/>
      <c r="BS57" s="4"/>
      <c r="BT57" s="4"/>
      <c r="BU57" s="4"/>
      <c r="BV57" s="4"/>
      <c r="BW57" s="4"/>
      <c r="BX57" s="4"/>
      <c r="BY57" s="4"/>
      <c r="BZ57" s="4"/>
      <c r="CA57" s="4">
        <f>37.6/5*50%</f>
        <v>3.7600000000000002</v>
      </c>
      <c r="CB57" s="4">
        <f>14.3/5*50%</f>
        <v>1.4300000000000002</v>
      </c>
      <c r="CC57" s="4">
        <f>27.4/5*50%</f>
        <v>2.7399999999999998</v>
      </c>
      <c r="CD57" s="4">
        <f>(753+717)*100*100/1000/1000*50%</f>
        <v>7.35</v>
      </c>
      <c r="CE57" s="4"/>
      <c r="CF57" s="4">
        <f>91.1/5*50%</f>
        <v>9.11</v>
      </c>
      <c r="CG57" s="4"/>
      <c r="CH57" s="4"/>
      <c r="CI57" s="4"/>
      <c r="CJ57" s="4"/>
      <c r="CK57" s="4"/>
      <c r="CL57" s="4"/>
      <c r="CM57" s="4"/>
      <c r="CN57" s="4"/>
      <c r="CO57" s="4"/>
      <c r="CP57" s="2" t="s">
        <v>456</v>
      </c>
      <c r="CQ57" s="2" t="s">
        <v>254</v>
      </c>
      <c r="CR57" s="10" t="s">
        <v>431</v>
      </c>
      <c r="CS57" s="9" t="s">
        <v>256</v>
      </c>
    </row>
    <row r="58" spans="1:97" s="2" customFormat="1" ht="12.75">
      <c r="A58" s="2">
        <v>55</v>
      </c>
      <c r="B58" s="2" t="s">
        <v>374</v>
      </c>
      <c r="C58" s="2" t="s">
        <v>459</v>
      </c>
      <c r="D58" s="4" t="s">
        <v>365</v>
      </c>
      <c r="E58" s="2" t="s">
        <v>460</v>
      </c>
      <c r="F58" s="2" t="s">
        <v>461</v>
      </c>
      <c r="G58" s="2">
        <v>1982</v>
      </c>
      <c r="H58" s="2">
        <v>1991</v>
      </c>
      <c r="I58" s="2">
        <v>0</v>
      </c>
      <c r="J58" s="2">
        <v>0</v>
      </c>
      <c r="K58" s="2">
        <v>0</v>
      </c>
      <c r="L58" s="2">
        <v>0</v>
      </c>
      <c r="M58" s="2">
        <v>0</v>
      </c>
      <c r="N58" s="2">
        <v>0</v>
      </c>
      <c r="O58" s="4">
        <v>15.3</v>
      </c>
      <c r="P58" s="4">
        <f>(O58-5)*12</f>
        <v>123.60000000000001</v>
      </c>
      <c r="Q58" s="4">
        <v>1581</v>
      </c>
      <c r="R58" s="4">
        <v>20.5</v>
      </c>
      <c r="S58" s="4">
        <v>65</v>
      </c>
      <c r="T58" s="4">
        <v>67.00833333333334</v>
      </c>
      <c r="U58" s="4">
        <v>1872.7599999999998</v>
      </c>
      <c r="V58" s="4">
        <v>1.6700000000000008</v>
      </c>
      <c r="W58" s="4"/>
      <c r="X58" s="4"/>
      <c r="Y58" s="4"/>
      <c r="Z58" s="4"/>
      <c r="AA58" s="4"/>
      <c r="AB58" s="4"/>
      <c r="AC58" s="4"/>
      <c r="AD58" s="4"/>
      <c r="AE58" s="4"/>
      <c r="AF58" s="4"/>
      <c r="AG58" s="4"/>
      <c r="AH58" s="4"/>
      <c r="AI58" s="4"/>
      <c r="AJ58" s="4"/>
      <c r="AK58" s="4"/>
      <c r="AL58" s="4"/>
      <c r="AM58" s="4"/>
      <c r="AN58" s="4"/>
      <c r="AO58" s="4"/>
      <c r="AP58" s="4"/>
      <c r="AQ58" s="4"/>
      <c r="AR58" s="4"/>
      <c r="AS58" s="4"/>
      <c r="AT58" s="4"/>
      <c r="AV58" s="4"/>
      <c r="AW58" s="4">
        <v>7100</v>
      </c>
      <c r="AX58" s="4">
        <v>11.3</v>
      </c>
      <c r="AY58" s="4"/>
      <c r="AZ58" s="4">
        <f>(AX58/2)^2*PI()*AW58/10000</f>
        <v>71.204118953796325</v>
      </c>
      <c r="BA58" s="4"/>
      <c r="BB58" s="4"/>
      <c r="BC58" s="4"/>
      <c r="BD58" s="4">
        <v>46.2</v>
      </c>
      <c r="BE58" s="4">
        <v>48.4</v>
      </c>
      <c r="BF58" s="4">
        <v>47.6</v>
      </c>
      <c r="BG58" s="4">
        <v>40.1</v>
      </c>
      <c r="BH58" s="4"/>
      <c r="BI58" s="4">
        <v>44.8</v>
      </c>
      <c r="BJ58" s="4"/>
      <c r="BK58" s="4"/>
      <c r="BL58" s="4"/>
      <c r="BM58" s="4">
        <f>5.9*BD58/100</f>
        <v>2.7258000000000004</v>
      </c>
      <c r="BN58" s="4">
        <f>15.5*BE58/100</f>
        <v>7.5019999999999989</v>
      </c>
      <c r="BO58" s="4">
        <f>116.5*BF58/100</f>
        <v>55.454000000000008</v>
      </c>
      <c r="BP58" s="4">
        <f t="shared" si="5"/>
        <v>65.68180000000001</v>
      </c>
      <c r="BQ58" s="4">
        <f>BU58/BP58</f>
        <v>0.2842416011741456</v>
      </c>
      <c r="BR58" s="4">
        <f>27.9*BG58/100</f>
        <v>11.187899999999999</v>
      </c>
      <c r="BS58" s="4">
        <f>16.7*BI58/100</f>
        <v>7.4815999999999994</v>
      </c>
      <c r="BT58" s="4"/>
      <c r="BU58" s="4">
        <f>SUM(BR58:BT58)</f>
        <v>18.669499999999999</v>
      </c>
      <c r="BV58" s="4">
        <f>BU58+BP58</f>
        <v>84.351300000000009</v>
      </c>
      <c r="BW58" s="4"/>
      <c r="BX58" s="4">
        <f>7+94.2</f>
        <v>101.2</v>
      </c>
      <c r="BY58" s="4"/>
      <c r="BZ58" s="4">
        <f>BV58+BX58</f>
        <v>185.55130000000003</v>
      </c>
      <c r="CA58" s="4">
        <f>2.06+0.99</f>
        <v>3.05</v>
      </c>
      <c r="CB58" s="4">
        <v>0.79</v>
      </c>
      <c r="CC58" s="4">
        <v>4.66</v>
      </c>
      <c r="CD58" s="4">
        <f>2+0.3+1</f>
        <v>3.3</v>
      </c>
      <c r="CE58" s="4">
        <f>CD58+CA58</f>
        <v>6.35</v>
      </c>
      <c r="CF58" s="4">
        <f>SUM(CA58:CD58)</f>
        <v>11.8</v>
      </c>
      <c r="CG58" s="4">
        <v>11</v>
      </c>
      <c r="CH58" s="4"/>
      <c r="CI58" s="4"/>
      <c r="CJ58" s="4">
        <f>SUM(CG58:CI58)</f>
        <v>11</v>
      </c>
      <c r="CK58" s="4">
        <f>CJ58+CF58</f>
        <v>22.8</v>
      </c>
      <c r="CL58" s="4">
        <f>52.3*12/44</f>
        <v>14.263636363636362</v>
      </c>
      <c r="CM58" s="4">
        <f>10.7+2.6</f>
        <v>13.299999999999999</v>
      </c>
      <c r="CN58" s="4">
        <f>CL58-CM58</f>
        <v>0.96363636363636296</v>
      </c>
      <c r="CO58" s="4">
        <f>CK58-CM58</f>
        <v>9.5000000000000018</v>
      </c>
      <c r="CP58" s="2" t="s">
        <v>462</v>
      </c>
      <c r="CQ58" s="2" t="s">
        <v>254</v>
      </c>
      <c r="CR58" s="10" t="s">
        <v>463</v>
      </c>
      <c r="CS58" s="9" t="s">
        <v>256</v>
      </c>
    </row>
    <row r="59" spans="1:97" s="2" customFormat="1" ht="12.75">
      <c r="A59" s="2">
        <v>56</v>
      </c>
      <c r="B59" s="2" t="s">
        <v>374</v>
      </c>
      <c r="C59" s="2" t="s">
        <v>464</v>
      </c>
      <c r="D59" s="4" t="s">
        <v>465</v>
      </c>
      <c r="E59" s="2" t="s">
        <v>466</v>
      </c>
      <c r="F59" s="2" t="s">
        <v>467</v>
      </c>
      <c r="G59" s="2">
        <v>2005</v>
      </c>
      <c r="H59" s="2">
        <v>2005</v>
      </c>
      <c r="I59" s="2">
        <v>0</v>
      </c>
      <c r="J59" s="2">
        <v>0</v>
      </c>
      <c r="K59" s="2">
        <v>0</v>
      </c>
      <c r="L59" s="2">
        <v>0</v>
      </c>
      <c r="M59" s="2">
        <v>0</v>
      </c>
      <c r="N59" s="2">
        <v>0</v>
      </c>
      <c r="O59" s="4">
        <v>16.058330000000002</v>
      </c>
      <c r="P59" s="4">
        <v>133.30000000000001</v>
      </c>
      <c r="Q59" s="4">
        <v>953</v>
      </c>
      <c r="R59" s="4">
        <v>21</v>
      </c>
      <c r="S59" s="4">
        <v>270</v>
      </c>
      <c r="T59" s="4">
        <v>62</v>
      </c>
      <c r="U59" s="4">
        <v>1667.3</v>
      </c>
      <c r="V59" s="4">
        <v>1.433333</v>
      </c>
      <c r="W59" s="4"/>
      <c r="X59" s="4"/>
      <c r="Y59" s="4"/>
      <c r="Z59" s="4"/>
      <c r="AA59" s="4"/>
      <c r="AB59" s="4"/>
      <c r="AC59" s="4"/>
      <c r="AD59" s="4"/>
      <c r="AE59" s="4"/>
      <c r="AF59" s="4"/>
      <c r="AG59" s="4"/>
      <c r="AH59" s="4"/>
      <c r="AI59" s="4"/>
      <c r="AJ59" s="4"/>
      <c r="AK59" s="4"/>
      <c r="AL59" s="4"/>
      <c r="AM59" s="4"/>
      <c r="AN59" s="4"/>
      <c r="AO59" s="4"/>
      <c r="AP59" s="4"/>
      <c r="AQ59" s="4"/>
      <c r="AR59" s="4"/>
      <c r="AS59" s="4"/>
      <c r="AT59" s="4"/>
      <c r="AV59" s="4"/>
      <c r="AW59" s="4">
        <v>8133</v>
      </c>
      <c r="AX59" s="4">
        <f>(12.2*1033+12.8*7100)/8133</f>
        <v>12.723791958686832</v>
      </c>
      <c r="AY59" s="4">
        <f>(18*1033+18.5*7100)/8133</f>
        <v>18.436493298905692</v>
      </c>
      <c r="AZ59" s="4">
        <f>(AX59/2)^2*PI()*AW59/10000</f>
        <v>103.41267510803563</v>
      </c>
      <c r="BA59" s="4"/>
      <c r="BB59" s="4"/>
      <c r="BC59" s="4"/>
      <c r="BD59" s="4"/>
      <c r="BE59" s="4"/>
      <c r="BF59" s="4"/>
      <c r="BG59" s="4"/>
      <c r="BH59" s="4"/>
      <c r="BI59" s="4"/>
      <c r="BJ59" s="4"/>
      <c r="BK59" s="4"/>
      <c r="BL59" s="4"/>
      <c r="BM59" s="4">
        <f>5.8*50%</f>
        <v>2.9</v>
      </c>
      <c r="BN59" s="4">
        <f>16.6*50%</f>
        <v>8.3000000000000007</v>
      </c>
      <c r="BO59" s="4">
        <f>194.8*50%</f>
        <v>97.4</v>
      </c>
      <c r="BP59" s="4">
        <f t="shared" si="5"/>
        <v>108.60000000000001</v>
      </c>
      <c r="BQ59" s="4"/>
      <c r="BR59" s="4"/>
      <c r="BS59" s="4"/>
      <c r="BT59" s="4"/>
      <c r="BU59" s="4"/>
      <c r="BV59" s="4"/>
      <c r="BW59" s="4"/>
      <c r="BX59" s="4"/>
      <c r="BY59" s="4"/>
      <c r="BZ59" s="4"/>
      <c r="CA59" s="4"/>
      <c r="CB59" s="4"/>
      <c r="CC59" s="4"/>
      <c r="CD59" s="4"/>
      <c r="CE59" s="4"/>
      <c r="CF59" s="4"/>
      <c r="CG59" s="4"/>
      <c r="CH59" s="4"/>
      <c r="CI59" s="4"/>
      <c r="CJ59" s="4"/>
      <c r="CK59" s="4"/>
      <c r="CL59" s="4"/>
      <c r="CM59" s="4"/>
      <c r="CN59" s="4"/>
      <c r="CP59" s="2" t="s">
        <v>468</v>
      </c>
      <c r="CQ59" s="2" t="s">
        <v>254</v>
      </c>
      <c r="CR59" s="10" t="s">
        <v>469</v>
      </c>
      <c r="CS59" s="9" t="s">
        <v>256</v>
      </c>
    </row>
    <row r="60" spans="1:97" s="2" customFormat="1" ht="12.75">
      <c r="A60" s="2">
        <v>57</v>
      </c>
      <c r="B60" s="2" t="s">
        <v>374</v>
      </c>
      <c r="C60" s="2" t="s">
        <v>464</v>
      </c>
      <c r="D60" s="4" t="s">
        <v>465</v>
      </c>
      <c r="E60" s="2" t="s">
        <v>470</v>
      </c>
      <c r="F60" s="2" t="s">
        <v>471</v>
      </c>
      <c r="G60" s="2">
        <v>2006</v>
      </c>
      <c r="H60" s="2">
        <v>2006</v>
      </c>
      <c r="I60" s="2">
        <v>1</v>
      </c>
      <c r="J60" s="2">
        <v>0</v>
      </c>
      <c r="K60" s="2">
        <v>0</v>
      </c>
      <c r="L60" s="2">
        <v>0</v>
      </c>
      <c r="M60" s="2">
        <v>0</v>
      </c>
      <c r="N60" s="2">
        <v>0</v>
      </c>
      <c r="O60" s="4">
        <v>16.175000000000001</v>
      </c>
      <c r="P60" s="4">
        <v>134.80000000000001</v>
      </c>
      <c r="Q60" s="4">
        <v>1568</v>
      </c>
      <c r="R60" s="4">
        <v>6</v>
      </c>
      <c r="S60" s="4">
        <v>270</v>
      </c>
      <c r="T60" s="4">
        <v>64.083330000000004</v>
      </c>
      <c r="U60" s="4">
        <v>1480.5</v>
      </c>
      <c r="V60" s="4">
        <v>1.5833330000000001</v>
      </c>
      <c r="W60" s="4"/>
      <c r="X60" s="4"/>
      <c r="Y60" s="4"/>
      <c r="Z60" s="4"/>
      <c r="AA60" s="4"/>
      <c r="AB60" s="4"/>
      <c r="AC60" s="4"/>
      <c r="AD60" s="4"/>
      <c r="AE60" s="4"/>
      <c r="AF60" s="4"/>
      <c r="AG60" s="4"/>
      <c r="AH60" s="4"/>
      <c r="AI60" s="4"/>
      <c r="AJ60" s="4"/>
      <c r="AK60" s="4"/>
      <c r="AL60" s="4"/>
      <c r="AM60" s="4"/>
      <c r="AN60" s="4"/>
      <c r="AO60" s="4"/>
      <c r="AP60" s="4"/>
      <c r="AQ60" s="4"/>
      <c r="AR60" s="4"/>
      <c r="AS60" s="4"/>
      <c r="AT60" s="4"/>
      <c r="AV60" s="4"/>
      <c r="AW60" s="4">
        <v>7967</v>
      </c>
      <c r="AX60" s="4">
        <f>(12.9*167+12.7*7800)/7967</f>
        <v>12.70419229320949</v>
      </c>
      <c r="AY60" s="4">
        <f>(18.6*167+18.4*7800)/7967</f>
        <v>18.404192293209491</v>
      </c>
      <c r="AZ60" s="4">
        <f>(AX60/2)^2*PI()*AW60/10000</f>
        <v>100.99010318518286</v>
      </c>
      <c r="BA60" s="4"/>
      <c r="BB60" s="4"/>
      <c r="BC60" s="4"/>
      <c r="BD60" s="4"/>
      <c r="BE60" s="4"/>
      <c r="BF60" s="4"/>
      <c r="BG60" s="4"/>
      <c r="BH60" s="4"/>
      <c r="BI60" s="4"/>
      <c r="BJ60" s="4"/>
      <c r="BK60" s="4"/>
      <c r="BL60" s="4"/>
      <c r="BM60" s="4">
        <f>5.9*50%</f>
        <v>2.95</v>
      </c>
      <c r="BN60" s="4">
        <f>16.2*50%</f>
        <v>8.1</v>
      </c>
      <c r="BO60" s="4">
        <f>50%*195.2</f>
        <v>97.6</v>
      </c>
      <c r="BP60" s="4">
        <f t="shared" si="5"/>
        <v>108.64999999999999</v>
      </c>
      <c r="BQ60" s="4"/>
      <c r="BR60" s="4"/>
      <c r="BS60" s="4"/>
      <c r="BT60" s="4"/>
      <c r="BU60" s="4"/>
      <c r="BV60" s="4"/>
      <c r="BW60" s="4"/>
      <c r="BX60" s="4"/>
      <c r="BY60" s="4"/>
      <c r="BZ60" s="4"/>
      <c r="CA60" s="4"/>
      <c r="CB60" s="4"/>
      <c r="CC60" s="4"/>
      <c r="CD60" s="4"/>
      <c r="CE60" s="4"/>
      <c r="CF60" s="4"/>
      <c r="CG60" s="4"/>
      <c r="CH60" s="4"/>
      <c r="CI60" s="4"/>
      <c r="CJ60" s="4"/>
      <c r="CK60" s="4"/>
      <c r="CL60" s="4"/>
      <c r="CM60" s="4"/>
      <c r="CN60" s="4"/>
      <c r="CP60" s="2" t="s">
        <v>472</v>
      </c>
      <c r="CQ60" s="2" t="s">
        <v>254</v>
      </c>
      <c r="CR60" s="10" t="s">
        <v>469</v>
      </c>
      <c r="CS60" s="9" t="s">
        <v>256</v>
      </c>
    </row>
    <row r="61" spans="1:97" s="2" customFormat="1" ht="12.75">
      <c r="A61" s="2">
        <v>58</v>
      </c>
      <c r="B61" s="2" t="s">
        <v>374</v>
      </c>
      <c r="C61" s="2" t="s">
        <v>464</v>
      </c>
      <c r="D61" s="4" t="s">
        <v>465</v>
      </c>
      <c r="E61" s="2" t="s">
        <v>473</v>
      </c>
      <c r="F61" s="2" t="s">
        <v>474</v>
      </c>
      <c r="G61" s="2">
        <v>2007</v>
      </c>
      <c r="H61" s="2">
        <v>2007</v>
      </c>
      <c r="I61" s="2">
        <v>0</v>
      </c>
      <c r="J61" s="2">
        <v>0</v>
      </c>
      <c r="K61" s="2">
        <v>0</v>
      </c>
      <c r="L61" s="2">
        <v>0</v>
      </c>
      <c r="M61" s="2">
        <v>0</v>
      </c>
      <c r="N61" s="2">
        <v>0</v>
      </c>
      <c r="O61" s="4">
        <v>16.516670000000001</v>
      </c>
      <c r="P61" s="4">
        <v>138.19999999999999</v>
      </c>
      <c r="Q61" s="4">
        <v>1234</v>
      </c>
      <c r="R61" s="4">
        <v>0</v>
      </c>
      <c r="S61" s="4">
        <v>270</v>
      </c>
      <c r="T61" s="4">
        <v>61.833329999999997</v>
      </c>
      <c r="U61" s="4">
        <v>1997</v>
      </c>
      <c r="V61" s="4">
        <v>1.4583330000000001</v>
      </c>
      <c r="W61" s="4"/>
      <c r="X61" s="4"/>
      <c r="Y61" s="4"/>
      <c r="Z61" s="4"/>
      <c r="AA61" s="4"/>
      <c r="AB61" s="4"/>
      <c r="AC61" s="4"/>
      <c r="AD61" s="4"/>
      <c r="AE61" s="4"/>
      <c r="AF61" s="4"/>
      <c r="AG61" s="4"/>
      <c r="AH61" s="4"/>
      <c r="AI61" s="4"/>
      <c r="AJ61" s="4"/>
      <c r="AK61" s="4"/>
      <c r="AL61" s="4"/>
      <c r="AM61" s="4"/>
      <c r="AN61" s="4"/>
      <c r="AO61" s="4"/>
      <c r="AP61" s="4"/>
      <c r="AQ61" s="4"/>
      <c r="AR61" s="4"/>
      <c r="AS61" s="4"/>
      <c r="AT61" s="4"/>
      <c r="AV61" s="4"/>
      <c r="AW61" s="4">
        <v>8133</v>
      </c>
      <c r="AX61" s="4">
        <f>(12.7*333+12.7*7800)/8133</f>
        <v>12.700000000000001</v>
      </c>
      <c r="AY61" s="4">
        <f>(18.5*333+18.4*7800)/8133</f>
        <v>18.404094430099594</v>
      </c>
      <c r="AZ61" s="4">
        <f>(AX61/2)^2*PI()*AW61/10000</f>
        <v>103.02629818749874</v>
      </c>
      <c r="BA61" s="4"/>
      <c r="BB61" s="4"/>
      <c r="BC61" s="4"/>
      <c r="BD61" s="4"/>
      <c r="BE61" s="4"/>
      <c r="BF61" s="4"/>
      <c r="BG61" s="4"/>
      <c r="BH61" s="4"/>
      <c r="BI61" s="4"/>
      <c r="BJ61" s="4"/>
      <c r="BK61" s="4"/>
      <c r="BL61" s="4"/>
      <c r="BM61" s="4">
        <f>5.9*50%</f>
        <v>2.95</v>
      </c>
      <c r="BN61" s="4">
        <f>16.5*50%</f>
        <v>8.25</v>
      </c>
      <c r="BO61" s="4">
        <f>50%*197.4</f>
        <v>98.7</v>
      </c>
      <c r="BP61" s="4">
        <f t="shared" si="5"/>
        <v>109.9</v>
      </c>
      <c r="BQ61" s="4"/>
      <c r="BR61" s="4"/>
      <c r="BS61" s="4"/>
      <c r="BT61" s="4"/>
      <c r="BU61" s="4"/>
      <c r="BV61" s="4"/>
      <c r="BW61" s="4"/>
      <c r="BX61" s="4"/>
      <c r="BY61" s="4"/>
      <c r="BZ61" s="4"/>
      <c r="CA61" s="4">
        <f t="shared" ref="CA61:CC62" si="6">BM61-BM60</f>
        <v>0</v>
      </c>
      <c r="CB61" s="4">
        <f t="shared" si="6"/>
        <v>0.15000000000000036</v>
      </c>
      <c r="CC61" s="4">
        <f t="shared" si="6"/>
        <v>1.1000000000000085</v>
      </c>
      <c r="CF61" s="4">
        <f>BP61-BP60</f>
        <v>1.2500000000000142</v>
      </c>
      <c r="CG61" s="4"/>
      <c r="CH61" s="4"/>
      <c r="CI61" s="4"/>
      <c r="CJ61" s="4"/>
      <c r="CK61" s="4"/>
      <c r="CL61" s="4"/>
      <c r="CM61" s="4"/>
      <c r="CN61" s="4"/>
      <c r="CP61" s="2" t="s">
        <v>472</v>
      </c>
      <c r="CQ61" s="2" t="s">
        <v>254</v>
      </c>
      <c r="CR61" s="10" t="s">
        <v>469</v>
      </c>
      <c r="CS61" s="9" t="s">
        <v>256</v>
      </c>
    </row>
    <row r="62" spans="1:97" s="2" customFormat="1" ht="12.75">
      <c r="A62" s="2">
        <v>59</v>
      </c>
      <c r="B62" s="2" t="s">
        <v>374</v>
      </c>
      <c r="C62" s="2" t="s">
        <v>464</v>
      </c>
      <c r="D62" s="4" t="s">
        <v>465</v>
      </c>
      <c r="E62" s="2" t="s">
        <v>475</v>
      </c>
      <c r="F62" s="2" t="s">
        <v>476</v>
      </c>
      <c r="G62" s="2">
        <v>2008</v>
      </c>
      <c r="H62" s="2">
        <v>2008</v>
      </c>
      <c r="I62" s="2">
        <v>0</v>
      </c>
      <c r="J62" s="2">
        <v>0</v>
      </c>
      <c r="K62" s="2">
        <v>0</v>
      </c>
      <c r="L62" s="2">
        <v>0</v>
      </c>
      <c r="M62" s="2">
        <v>0</v>
      </c>
      <c r="N62" s="11">
        <v>0</v>
      </c>
      <c r="O62" s="4">
        <v>16.033329999999999</v>
      </c>
      <c r="P62" s="4">
        <v>134</v>
      </c>
      <c r="Q62" s="4">
        <v>1606</v>
      </c>
      <c r="R62" s="4">
        <v>13</v>
      </c>
      <c r="S62" s="4">
        <v>270</v>
      </c>
      <c r="T62" s="4">
        <v>63.166670000000003</v>
      </c>
      <c r="U62" s="4">
        <v>1897.6</v>
      </c>
      <c r="V62" s="4">
        <v>1.375</v>
      </c>
      <c r="W62" s="4"/>
      <c r="X62" s="4"/>
      <c r="Y62" s="4"/>
      <c r="Z62" s="4"/>
      <c r="AA62" s="4"/>
      <c r="AB62" s="4"/>
      <c r="AC62" s="4"/>
      <c r="AD62" s="4"/>
      <c r="AE62" s="4"/>
      <c r="AF62" s="4"/>
      <c r="AG62" s="4"/>
      <c r="AH62" s="4"/>
      <c r="AI62" s="4"/>
      <c r="AJ62" s="4"/>
      <c r="AK62" s="4"/>
      <c r="AL62" s="4"/>
      <c r="AM62" s="4"/>
      <c r="AN62" s="4"/>
      <c r="AO62" s="4"/>
      <c r="AP62" s="4"/>
      <c r="AQ62" s="4"/>
      <c r="AR62" s="4"/>
      <c r="AS62" s="4"/>
      <c r="AT62" s="4"/>
      <c r="AV62" s="4"/>
      <c r="AW62" s="4">
        <v>8300</v>
      </c>
      <c r="AX62" s="4">
        <f>(11.6*367+12.7*7933)/8300</f>
        <v>12.651361445783131</v>
      </c>
      <c r="AY62" s="4">
        <f>(17.4*367+18.5*7933)/8300</f>
        <v>18.451361445783132</v>
      </c>
      <c r="AZ62" s="4">
        <f>(AX62/2)^2*PI()*AW62/10000</f>
        <v>104.33799836625894</v>
      </c>
      <c r="BA62" s="4"/>
      <c r="BB62" s="4"/>
      <c r="BC62" s="4"/>
      <c r="BD62" s="4"/>
      <c r="BE62" s="4"/>
      <c r="BF62" s="4"/>
      <c r="BG62" s="4"/>
      <c r="BH62" s="4"/>
      <c r="BI62" s="4"/>
      <c r="BJ62" s="4"/>
      <c r="BK62" s="4"/>
      <c r="BL62" s="4"/>
      <c r="BM62" s="4">
        <f>6.1*50%</f>
        <v>3.05</v>
      </c>
      <c r="BN62" s="4">
        <f>(16.6+16.2+16.5+16.9)/4*50%</f>
        <v>8.2749999999999986</v>
      </c>
      <c r="BO62" s="4">
        <f>50%*201.4</f>
        <v>100.7</v>
      </c>
      <c r="BP62" s="4">
        <f t="shared" si="5"/>
        <v>112.02500000000001</v>
      </c>
      <c r="BQ62" s="4"/>
      <c r="BR62" s="4"/>
      <c r="BS62" s="4"/>
      <c r="BT62" s="4"/>
      <c r="BU62" s="4"/>
      <c r="BV62" s="4"/>
      <c r="BW62" s="4"/>
      <c r="BX62" s="4"/>
      <c r="BY62" s="4"/>
      <c r="BZ62" s="4"/>
      <c r="CA62" s="4">
        <f t="shared" si="6"/>
        <v>9.9999999999999645E-2</v>
      </c>
      <c r="CB62" s="4">
        <f t="shared" si="6"/>
        <v>2.4999999999998579E-2</v>
      </c>
      <c r="CC62" s="4">
        <f t="shared" si="6"/>
        <v>2</v>
      </c>
      <c r="CF62" s="4">
        <f>BP62-BP61</f>
        <v>2.125</v>
      </c>
      <c r="CG62" s="4"/>
      <c r="CH62" s="4"/>
      <c r="CI62" s="4"/>
      <c r="CJ62" s="4"/>
      <c r="CK62" s="4"/>
      <c r="CL62" s="4"/>
      <c r="CM62" s="4"/>
      <c r="CN62" s="4"/>
      <c r="CP62" s="2" t="s">
        <v>472</v>
      </c>
      <c r="CQ62" s="2" t="s">
        <v>254</v>
      </c>
      <c r="CR62" s="10" t="s">
        <v>469</v>
      </c>
      <c r="CS62" s="9" t="s">
        <v>256</v>
      </c>
    </row>
    <row r="63" spans="1:97" s="2" customFormat="1" ht="12.75">
      <c r="A63" s="2">
        <v>60</v>
      </c>
      <c r="B63" s="2" t="s">
        <v>374</v>
      </c>
      <c r="C63" s="2" t="s">
        <v>464</v>
      </c>
      <c r="D63" s="4" t="s">
        <v>465</v>
      </c>
      <c r="E63" s="2" t="s">
        <v>477</v>
      </c>
      <c r="F63" s="2" t="s">
        <v>478</v>
      </c>
      <c r="G63" s="2">
        <v>2006</v>
      </c>
      <c r="H63" s="2">
        <v>2006</v>
      </c>
      <c r="I63" s="2">
        <v>0</v>
      </c>
      <c r="J63" s="2">
        <v>0</v>
      </c>
      <c r="K63" s="2">
        <v>0</v>
      </c>
      <c r="L63" s="2">
        <v>0</v>
      </c>
      <c r="M63" s="2">
        <v>0</v>
      </c>
      <c r="N63" s="2">
        <v>0</v>
      </c>
      <c r="O63" s="4">
        <v>15.3</v>
      </c>
      <c r="P63" s="4">
        <f>(O63-5)*12</f>
        <v>123.60000000000001</v>
      </c>
      <c r="Q63" s="4">
        <v>1459</v>
      </c>
      <c r="R63" s="4">
        <v>6</v>
      </c>
      <c r="S63" s="4">
        <v>280</v>
      </c>
      <c r="T63" s="4">
        <v>64.083330000000004</v>
      </c>
      <c r="U63" s="4">
        <v>1480.5</v>
      </c>
      <c r="V63" s="4">
        <v>1.5833330000000001</v>
      </c>
      <c r="W63" s="4"/>
      <c r="X63" s="4"/>
      <c r="Y63" s="4"/>
      <c r="Z63" s="4"/>
      <c r="AA63" s="4"/>
      <c r="AB63" s="4"/>
      <c r="AC63" s="4"/>
      <c r="AD63" s="4"/>
      <c r="AE63" s="4"/>
      <c r="AF63" s="4"/>
      <c r="AG63" s="4"/>
      <c r="AH63" s="4"/>
      <c r="AI63" s="4"/>
      <c r="AJ63" s="4"/>
      <c r="AK63" s="4"/>
      <c r="AL63" s="4"/>
      <c r="AM63" s="4"/>
      <c r="AN63" s="4"/>
      <c r="AO63" s="4"/>
      <c r="AP63" s="4"/>
      <c r="AQ63" s="4"/>
      <c r="AR63" s="4"/>
      <c r="AS63" s="4"/>
      <c r="AT63" s="4"/>
      <c r="AV63" s="4"/>
      <c r="AW63" s="4">
        <v>9675</v>
      </c>
      <c r="AX63" s="4">
        <v>10.52</v>
      </c>
      <c r="AY63" s="4"/>
      <c r="AZ63" s="4">
        <v>88.3</v>
      </c>
      <c r="BA63" s="4"/>
      <c r="BB63" s="4"/>
      <c r="BC63" s="4"/>
      <c r="BD63" s="4">
        <v>41.9</v>
      </c>
      <c r="BE63" s="4">
        <v>46.4</v>
      </c>
      <c r="BF63" s="4">
        <v>46.3</v>
      </c>
      <c r="BG63" s="4">
        <v>43.2</v>
      </c>
      <c r="BH63" s="4">
        <v>44.2</v>
      </c>
      <c r="BI63" s="4">
        <v>44.3</v>
      </c>
      <c r="BJ63" s="4"/>
      <c r="BK63" s="4">
        <v>3.34</v>
      </c>
      <c r="BL63" s="4">
        <v>2.11</v>
      </c>
      <c r="BM63" s="4">
        <v>2.1</v>
      </c>
      <c r="BN63" s="4">
        <v>6.9</v>
      </c>
      <c r="BO63" s="4">
        <v>75.900000000000006</v>
      </c>
      <c r="BP63" s="4">
        <f t="shared" si="5"/>
        <v>84.9</v>
      </c>
      <c r="BQ63" s="4">
        <f>BU63/BP63</f>
        <v>0.65842167255594808</v>
      </c>
      <c r="BR63" s="4">
        <f>10.9+16.9</f>
        <v>27.799999999999997</v>
      </c>
      <c r="BS63" s="4">
        <f>18.2</f>
        <v>18.2</v>
      </c>
      <c r="BT63" s="4">
        <v>9.9</v>
      </c>
      <c r="BU63" s="4">
        <f>SUM(BR63:BT63)</f>
        <v>55.9</v>
      </c>
      <c r="BV63" s="4">
        <f>BU63+BP63</f>
        <v>140.80000000000001</v>
      </c>
      <c r="BW63" s="4"/>
      <c r="BX63" s="4">
        <f>1.4+0.5+4.4+16.9+30.9</f>
        <v>54.099999999999994</v>
      </c>
      <c r="BY63" s="4"/>
      <c r="BZ63" s="4">
        <f>BV63+BX63</f>
        <v>194.9</v>
      </c>
      <c r="CA63" s="4"/>
      <c r="CB63" s="4"/>
      <c r="CC63" s="4"/>
      <c r="CD63" s="4"/>
      <c r="CE63" s="4"/>
      <c r="CF63" s="4"/>
      <c r="CG63" s="4"/>
      <c r="CH63" s="4"/>
      <c r="CI63" s="4"/>
      <c r="CJ63" s="4"/>
      <c r="CK63" s="4"/>
      <c r="CL63" s="4"/>
      <c r="CM63" s="4"/>
      <c r="CN63" s="4"/>
      <c r="CO63" s="4"/>
      <c r="CP63" s="2" t="s">
        <v>479</v>
      </c>
      <c r="CQ63" s="2" t="s">
        <v>254</v>
      </c>
      <c r="CR63" s="10" t="s">
        <v>480</v>
      </c>
      <c r="CS63" s="9" t="s">
        <v>256</v>
      </c>
    </row>
    <row r="64" spans="1:97" s="2" customFormat="1" ht="12.75">
      <c r="A64" s="2">
        <v>61</v>
      </c>
      <c r="B64" s="2" t="s">
        <v>363</v>
      </c>
      <c r="C64" s="2" t="s">
        <v>481</v>
      </c>
      <c r="D64" s="4" t="s">
        <v>465</v>
      </c>
      <c r="E64" s="2" t="s">
        <v>482</v>
      </c>
      <c r="F64" s="2" t="s">
        <v>483</v>
      </c>
      <c r="G64" s="2">
        <v>2004</v>
      </c>
      <c r="H64" s="2">
        <v>2005</v>
      </c>
      <c r="I64" s="2">
        <v>0</v>
      </c>
      <c r="J64" s="2">
        <v>0</v>
      </c>
      <c r="K64" s="2">
        <v>0</v>
      </c>
      <c r="L64" s="2">
        <v>0</v>
      </c>
      <c r="M64" s="2">
        <v>0</v>
      </c>
      <c r="N64" s="12">
        <v>1</v>
      </c>
      <c r="O64" s="4">
        <v>15.446149999999999</v>
      </c>
      <c r="P64" s="4">
        <v>127.8</v>
      </c>
      <c r="Q64" s="4">
        <v>2075</v>
      </c>
      <c r="R64" s="4">
        <v>66</v>
      </c>
      <c r="S64" s="4">
        <v>30</v>
      </c>
      <c r="T64" s="4">
        <v>73</v>
      </c>
      <c r="U64" s="4">
        <v>1949.9</v>
      </c>
      <c r="V64" s="4">
        <v>3.4461539999999999</v>
      </c>
      <c r="W64" s="4"/>
      <c r="X64" s="4">
        <v>3.5</v>
      </c>
      <c r="Y64" s="4">
        <v>4.7</v>
      </c>
      <c r="Z64" s="4"/>
      <c r="AA64" s="4"/>
      <c r="AB64" s="4"/>
      <c r="AC64" s="4"/>
      <c r="AD64" s="4"/>
      <c r="AE64" s="4"/>
      <c r="AF64" s="4"/>
      <c r="AG64" s="4"/>
      <c r="AH64" s="4"/>
      <c r="AI64" s="4"/>
      <c r="AJ64" s="4"/>
      <c r="AK64" s="4"/>
      <c r="AL64" s="4"/>
      <c r="AM64" s="4"/>
      <c r="AN64" s="4"/>
      <c r="AO64" s="4"/>
      <c r="AP64" s="4"/>
      <c r="AQ64" s="4">
        <v>534</v>
      </c>
      <c r="AR64" s="4"/>
      <c r="AS64" s="4">
        <v>91.3</v>
      </c>
      <c r="AT64" s="4">
        <v>432</v>
      </c>
      <c r="AU64" s="4">
        <f>AT64-AV64</f>
        <v>50</v>
      </c>
      <c r="AV64" s="4">
        <v>382</v>
      </c>
      <c r="AW64" s="4">
        <v>14867</v>
      </c>
      <c r="AX64" s="4">
        <v>5.9</v>
      </c>
      <c r="AY64" s="4">
        <v>9.5</v>
      </c>
      <c r="AZ64" s="4">
        <v>46.4</v>
      </c>
      <c r="BA64" s="4"/>
      <c r="BB64" s="4"/>
      <c r="BC64" s="4"/>
      <c r="BD64" s="4"/>
      <c r="BE64" s="4"/>
      <c r="BF64" s="4"/>
      <c r="BG64" s="4"/>
      <c r="BH64" s="4"/>
      <c r="BI64" s="4"/>
      <c r="BJ64" s="4"/>
      <c r="BK64" s="4"/>
      <c r="BL64" s="4"/>
      <c r="BM64" s="4">
        <f>4.56*50%</f>
        <v>2.2799999999999998</v>
      </c>
      <c r="BN64" s="4">
        <f>11.9*50%</f>
        <v>5.95</v>
      </c>
      <c r="BO64" s="4">
        <f>71.4*50%</f>
        <v>35.700000000000003</v>
      </c>
      <c r="BP64" s="4">
        <f t="shared" si="5"/>
        <v>43.930000000000007</v>
      </c>
      <c r="BQ64" s="4"/>
      <c r="BR64" s="4"/>
      <c r="BS64" s="4"/>
      <c r="BT64" s="4"/>
      <c r="BU64" s="4"/>
      <c r="BV64" s="4"/>
      <c r="BW64" s="4"/>
      <c r="BX64" s="4"/>
      <c r="BY64" s="4"/>
      <c r="BZ64" s="4"/>
      <c r="CA64" s="4">
        <f>(4.8+0.87)*50%</f>
        <v>2.835</v>
      </c>
      <c r="CB64" s="4">
        <f>3.07*50%</f>
        <v>1.5349999999999999</v>
      </c>
      <c r="CC64" s="4">
        <f>10*50%</f>
        <v>5</v>
      </c>
      <c r="CD64" s="4">
        <f>7.45*50%</f>
        <v>3.7250000000000001</v>
      </c>
      <c r="CE64" s="4"/>
      <c r="CF64" s="4">
        <f>SUM(CA64:CC64)</f>
        <v>9.370000000000001</v>
      </c>
      <c r="CG64" s="4"/>
      <c r="CH64" s="4"/>
      <c r="CI64" s="4"/>
      <c r="CJ64" s="4"/>
      <c r="CK64" s="4"/>
      <c r="CL64" s="4"/>
      <c r="CM64" s="4"/>
      <c r="CN64" s="4"/>
      <c r="CP64" s="2" t="s">
        <v>484</v>
      </c>
      <c r="CQ64" s="2" t="s">
        <v>254</v>
      </c>
      <c r="CR64" s="10" t="s">
        <v>485</v>
      </c>
      <c r="CS64" s="9" t="s">
        <v>256</v>
      </c>
    </row>
    <row r="65" spans="1:97" s="2" customFormat="1" ht="12.75">
      <c r="A65" s="2">
        <v>62</v>
      </c>
      <c r="B65" s="2" t="s">
        <v>486</v>
      </c>
      <c r="C65" s="2" t="s">
        <v>487</v>
      </c>
      <c r="D65" s="4" t="s">
        <v>488</v>
      </c>
      <c r="E65" s="2" t="s">
        <v>489</v>
      </c>
      <c r="F65" s="2" t="s">
        <v>490</v>
      </c>
      <c r="G65" s="2">
        <v>2005</v>
      </c>
      <c r="H65" s="2">
        <v>2005</v>
      </c>
      <c r="I65" s="2">
        <v>1</v>
      </c>
      <c r="J65" s="2">
        <v>1</v>
      </c>
      <c r="K65" s="2">
        <v>1</v>
      </c>
      <c r="L65" s="2">
        <v>1</v>
      </c>
      <c r="M65" s="2">
        <v>0</v>
      </c>
      <c r="N65" s="2">
        <v>0</v>
      </c>
      <c r="O65" s="4">
        <f>(0.3+26)/2</f>
        <v>13.15</v>
      </c>
      <c r="P65" s="4">
        <f>(O65-5)*12</f>
        <v>97.800000000000011</v>
      </c>
      <c r="Q65" s="4">
        <v>1503</v>
      </c>
      <c r="R65" s="4"/>
      <c r="S65" s="4">
        <v>33</v>
      </c>
      <c r="T65" s="4"/>
      <c r="U65" s="4"/>
      <c r="V65" s="4"/>
      <c r="W65" s="4"/>
      <c r="X65" s="4"/>
      <c r="Y65" s="4">
        <v>4.45</v>
      </c>
      <c r="Z65" s="4">
        <v>0.97</v>
      </c>
      <c r="AA65" s="4"/>
      <c r="AB65" s="4"/>
      <c r="AC65" s="4">
        <v>382.85</v>
      </c>
      <c r="AD65" s="4"/>
      <c r="AE65" s="4">
        <v>6.1</v>
      </c>
      <c r="AF65" s="4">
        <v>0.28999999999999998</v>
      </c>
      <c r="AG65" s="4">
        <v>2</v>
      </c>
      <c r="AH65" s="4">
        <v>0.53</v>
      </c>
      <c r="AI65" s="4"/>
      <c r="AJ65" s="4"/>
      <c r="AK65" s="4"/>
      <c r="AL65" s="4">
        <v>45.1</v>
      </c>
      <c r="AM65" s="4">
        <v>17.3</v>
      </c>
      <c r="AN65" s="4">
        <v>6.1</v>
      </c>
      <c r="AO65" s="4">
        <v>3.6</v>
      </c>
      <c r="AP65" s="4">
        <v>3.5</v>
      </c>
      <c r="AQ65" s="4"/>
      <c r="AR65" s="4"/>
      <c r="AS65" s="4"/>
      <c r="AT65" s="4"/>
      <c r="AV65" s="4"/>
      <c r="AW65" s="4">
        <v>6133</v>
      </c>
      <c r="AX65" s="4">
        <v>8.3000000000000007</v>
      </c>
      <c r="AY65" s="4">
        <v>12</v>
      </c>
      <c r="AZ65" s="4">
        <f>(AX65/2)^2*PI()*AW65/10000</f>
        <v>33.183258542906927</v>
      </c>
      <c r="BA65" s="4"/>
      <c r="BB65" s="4"/>
      <c r="BC65" s="4"/>
      <c r="BD65" s="4"/>
      <c r="BE65" s="4"/>
      <c r="BF65" s="4"/>
      <c r="BG65" s="4"/>
      <c r="BH65" s="4"/>
      <c r="BI65" s="4"/>
      <c r="BJ65" s="4"/>
      <c r="BK65" s="4"/>
      <c r="BL65" s="4"/>
      <c r="BM65" s="4">
        <f>16.29/2</f>
        <v>8.1449999999999996</v>
      </c>
      <c r="BN65" s="4">
        <f>11.17/2</f>
        <v>5.585</v>
      </c>
      <c r="BO65" s="4">
        <f>40.98/2</f>
        <v>20.49</v>
      </c>
      <c r="BP65" s="4">
        <f>69.65/2</f>
        <v>34.825000000000003</v>
      </c>
      <c r="BQ65" s="4">
        <f>BU65/BP65</f>
        <v>0.3043790380473797</v>
      </c>
      <c r="BR65" s="4">
        <f>7.45/2</f>
        <v>3.7250000000000001</v>
      </c>
      <c r="BS65" s="4">
        <f>13.72/2</f>
        <v>6.86</v>
      </c>
      <c r="BT65" s="4"/>
      <c r="BU65" s="4">
        <f>(13.7+7.5)/2</f>
        <v>10.6</v>
      </c>
      <c r="BV65" s="4">
        <f>BU65+BP65</f>
        <v>45.425000000000004</v>
      </c>
      <c r="BW65" s="4"/>
      <c r="BX65" s="4"/>
      <c r="BY65" s="4"/>
      <c r="BZ65" s="4"/>
      <c r="CA65" s="4"/>
      <c r="CB65" s="4"/>
      <c r="CC65" s="4"/>
      <c r="CD65" s="4"/>
      <c r="CE65" s="4"/>
      <c r="CF65" s="4"/>
      <c r="CG65" s="4"/>
      <c r="CH65" s="4"/>
      <c r="CI65" s="4"/>
      <c r="CJ65" s="4"/>
      <c r="CK65" s="4"/>
      <c r="CL65" s="4"/>
      <c r="CM65" s="4"/>
      <c r="CN65" s="4"/>
      <c r="CO65" s="4"/>
      <c r="CP65" s="2" t="s">
        <v>491</v>
      </c>
      <c r="CQ65" s="2" t="s">
        <v>254</v>
      </c>
      <c r="CR65" s="10" t="s">
        <v>492</v>
      </c>
      <c r="CS65" s="9" t="s">
        <v>256</v>
      </c>
    </row>
    <row r="66" spans="1:97" s="2" customFormat="1" ht="12.75">
      <c r="A66" s="2">
        <v>63</v>
      </c>
      <c r="B66" s="2" t="s">
        <v>486</v>
      </c>
      <c r="C66" s="2" t="s">
        <v>487</v>
      </c>
      <c r="D66" s="4" t="s">
        <v>488</v>
      </c>
      <c r="E66" s="2" t="s">
        <v>493</v>
      </c>
      <c r="F66" s="2" t="s">
        <v>494</v>
      </c>
      <c r="G66" s="2">
        <v>2011</v>
      </c>
      <c r="H66" s="2">
        <v>2011</v>
      </c>
      <c r="I66" s="2">
        <v>0</v>
      </c>
      <c r="J66" s="2">
        <v>0</v>
      </c>
      <c r="K66" s="2">
        <v>0</v>
      </c>
      <c r="L66" s="2">
        <v>0</v>
      </c>
      <c r="M66" s="2">
        <v>0</v>
      </c>
      <c r="N66" s="2">
        <v>0</v>
      </c>
      <c r="O66" s="4">
        <f>(0.3+26)/2</f>
        <v>13.15</v>
      </c>
      <c r="P66" s="4">
        <f>(O66-5)*12</f>
        <v>97.800000000000011</v>
      </c>
      <c r="Q66" s="4">
        <v>1503</v>
      </c>
      <c r="R66" s="4"/>
      <c r="S66" s="4">
        <v>33</v>
      </c>
      <c r="T66" s="4"/>
      <c r="U66" s="4"/>
      <c r="V66" s="4"/>
      <c r="W66" s="4"/>
      <c r="X66" s="4"/>
      <c r="Y66" s="4">
        <v>4.45</v>
      </c>
      <c r="Z66" s="4">
        <v>0.97</v>
      </c>
      <c r="AA66" s="4"/>
      <c r="AB66" s="4"/>
      <c r="AC66" s="4">
        <v>382.85</v>
      </c>
      <c r="AD66" s="4"/>
      <c r="AE66" s="4">
        <v>6.1</v>
      </c>
      <c r="AF66" s="4">
        <v>0.28999999999999998</v>
      </c>
      <c r="AG66" s="4">
        <v>2</v>
      </c>
      <c r="AH66" s="4">
        <v>0.53</v>
      </c>
      <c r="AI66" s="4"/>
      <c r="AJ66" s="4"/>
      <c r="AK66" s="4"/>
      <c r="AL66" s="4">
        <v>45.1</v>
      </c>
      <c r="AM66" s="4">
        <v>17.3</v>
      </c>
      <c r="AN66" s="4">
        <v>6.1</v>
      </c>
      <c r="AO66" s="4">
        <v>3.6</v>
      </c>
      <c r="AP66" s="4">
        <v>3.5</v>
      </c>
      <c r="AQ66" s="4"/>
      <c r="AR66" s="4"/>
      <c r="AS66" s="4"/>
      <c r="AT66" s="4"/>
      <c r="AV66" s="4"/>
      <c r="AW66" s="4">
        <v>3050</v>
      </c>
      <c r="AX66" s="4">
        <v>8.9</v>
      </c>
      <c r="AY66" s="4">
        <v>13.2</v>
      </c>
      <c r="AZ66" s="4">
        <f>(AX66/2)^2*PI()*AW66/10000</f>
        <v>18.974473499427123</v>
      </c>
      <c r="BA66" s="4"/>
      <c r="BB66" s="4"/>
      <c r="BC66" s="4"/>
      <c r="BD66" s="4"/>
      <c r="BE66" s="4"/>
      <c r="BF66" s="4"/>
      <c r="BG66" s="4"/>
      <c r="BH66" s="4"/>
      <c r="BI66" s="4"/>
      <c r="BJ66" s="4"/>
      <c r="BK66" s="4"/>
      <c r="BL66" s="4"/>
      <c r="BM66" s="4">
        <f>8.01/2</f>
        <v>4.0049999999999999</v>
      </c>
      <c r="BN66" s="4">
        <f>9.29/2</f>
        <v>4.6449999999999996</v>
      </c>
      <c r="BO66" s="4">
        <f>40.47/2</f>
        <v>20.234999999999999</v>
      </c>
      <c r="BP66" s="4">
        <f>57.77/2</f>
        <v>28.885000000000002</v>
      </c>
      <c r="BQ66" s="4">
        <f>BU66/BP66</f>
        <v>0.92348970053661072</v>
      </c>
      <c r="BR66" s="4">
        <f>9.93/2</f>
        <v>4.9649999999999999</v>
      </c>
      <c r="BS66" s="4">
        <f>43.43/2</f>
        <v>21.715</v>
      </c>
      <c r="BT66" s="4"/>
      <c r="BU66" s="4">
        <f>53.35/2</f>
        <v>26.675000000000001</v>
      </c>
      <c r="BV66" s="4">
        <f>BU66+BP66</f>
        <v>55.56</v>
      </c>
      <c r="BW66" s="4"/>
      <c r="BX66" s="4"/>
      <c r="BY66" s="4"/>
      <c r="BZ66" s="4"/>
      <c r="CA66" s="4"/>
      <c r="CB66" s="4"/>
      <c r="CC66" s="4"/>
      <c r="CD66" s="4"/>
      <c r="CE66" s="4"/>
      <c r="CF66" s="4"/>
      <c r="CG66" s="4"/>
      <c r="CH66" s="4"/>
      <c r="CI66" s="4"/>
      <c r="CJ66" s="4"/>
      <c r="CK66" s="4"/>
      <c r="CL66" s="4"/>
      <c r="CM66" s="4"/>
      <c r="CN66" s="4"/>
      <c r="CO66" s="4"/>
      <c r="CP66" s="2" t="s">
        <v>495</v>
      </c>
      <c r="CQ66" s="2" t="s">
        <v>254</v>
      </c>
      <c r="CR66" s="10" t="s">
        <v>496</v>
      </c>
      <c r="CS66" s="9" t="s">
        <v>256</v>
      </c>
    </row>
    <row r="67" spans="1:97" s="2" customFormat="1" ht="12.75">
      <c r="A67" s="2">
        <v>64</v>
      </c>
      <c r="B67" s="2" t="s">
        <v>486</v>
      </c>
      <c r="C67" s="2" t="s">
        <v>497</v>
      </c>
      <c r="D67" s="4" t="s">
        <v>488</v>
      </c>
      <c r="E67" s="2" t="s">
        <v>493</v>
      </c>
      <c r="F67" s="2" t="s">
        <v>498</v>
      </c>
      <c r="G67" s="2">
        <v>1996</v>
      </c>
      <c r="H67" s="2">
        <v>1996</v>
      </c>
      <c r="I67" s="2">
        <v>0</v>
      </c>
      <c r="J67" s="2">
        <v>0</v>
      </c>
      <c r="K67" s="2">
        <v>0</v>
      </c>
      <c r="L67" s="2">
        <v>0</v>
      </c>
      <c r="M67" s="2">
        <v>0</v>
      </c>
      <c r="O67" s="4">
        <f>(5+15)/2</f>
        <v>10</v>
      </c>
      <c r="P67" s="4">
        <f>(O67-5)*12</f>
        <v>60</v>
      </c>
      <c r="Q67" s="4"/>
      <c r="R67" s="4"/>
      <c r="S67" s="4">
        <v>150</v>
      </c>
      <c r="T67" s="4"/>
      <c r="U67" s="4"/>
      <c r="V67" s="4"/>
      <c r="W67" s="4"/>
      <c r="X67" s="4"/>
      <c r="Y67" s="4">
        <v>4.8</v>
      </c>
      <c r="Z67" s="4">
        <v>0.34200000000000003</v>
      </c>
      <c r="AA67" s="4"/>
      <c r="AB67" s="4"/>
      <c r="AC67" s="4">
        <v>281.10000000000002</v>
      </c>
      <c r="AD67" s="4"/>
      <c r="AE67" s="4"/>
      <c r="AF67" s="4">
        <v>0.35</v>
      </c>
      <c r="AG67" s="4">
        <v>1.48</v>
      </c>
      <c r="AH67" s="4">
        <v>0.2</v>
      </c>
      <c r="AI67" s="4"/>
      <c r="AJ67" s="4"/>
      <c r="AK67" s="4"/>
      <c r="AL67" s="4"/>
      <c r="AM67" s="4"/>
      <c r="AN67" s="4"/>
      <c r="AO67" s="4"/>
      <c r="AP67" s="4"/>
      <c r="AQ67" s="4"/>
      <c r="AR67" s="4"/>
      <c r="AS67" s="4"/>
      <c r="AT67" s="4"/>
      <c r="AV67" s="4"/>
      <c r="AW67" s="4">
        <v>7500</v>
      </c>
      <c r="AX67" s="4">
        <v>8.1999999999999993</v>
      </c>
      <c r="AY67" s="4">
        <v>11.9</v>
      </c>
      <c r="AZ67" s="4">
        <v>40.5</v>
      </c>
      <c r="BA67" s="4"/>
      <c r="BB67" s="4"/>
      <c r="BC67" s="4"/>
      <c r="BD67" s="4"/>
      <c r="BE67" s="4"/>
      <c r="BF67" s="4"/>
      <c r="BG67" s="4"/>
      <c r="BH67" s="4"/>
      <c r="BI67" s="4"/>
      <c r="BJ67" s="4"/>
      <c r="BK67" s="4"/>
      <c r="BL67" s="4"/>
      <c r="BM67" s="4">
        <f>3.849/2</f>
        <v>1.9245000000000001</v>
      </c>
      <c r="BN67" s="4">
        <f>6.499/2</f>
        <v>3.2494999999999998</v>
      </c>
      <c r="BO67" s="4">
        <f>61.428/2</f>
        <v>30.713999999999999</v>
      </c>
      <c r="BP67" s="4">
        <f>71.76/2</f>
        <v>35.880000000000003</v>
      </c>
      <c r="BQ67" s="4">
        <f>BU67/BP67</f>
        <v>0.44377090301003341</v>
      </c>
      <c r="BR67" s="4">
        <f>9.928/2</f>
        <v>4.9640000000000004</v>
      </c>
      <c r="BS67" s="4">
        <f>21.917/2</f>
        <v>10.958500000000001</v>
      </c>
      <c r="BT67" s="4"/>
      <c r="BU67" s="4">
        <f>31.845/2</f>
        <v>15.922499999999999</v>
      </c>
      <c r="BV67" s="4">
        <f>BU67+BP67</f>
        <v>51.802500000000002</v>
      </c>
      <c r="BW67" s="4"/>
      <c r="BX67" s="4"/>
      <c r="BY67" s="4"/>
      <c r="BZ67" s="4"/>
      <c r="CA67" s="4">
        <f>1.366/2</f>
        <v>0.68300000000000005</v>
      </c>
      <c r="CB67" s="4">
        <f>0.69/2</f>
        <v>0.34499999999999997</v>
      </c>
      <c r="CC67" s="4">
        <f>6.115/2</f>
        <v>3.0575000000000001</v>
      </c>
      <c r="CD67" s="4"/>
      <c r="CE67" s="4"/>
      <c r="CF67" s="4">
        <f>8.171/2</f>
        <v>4.0854999999999997</v>
      </c>
      <c r="CG67" s="4">
        <f>1.027/2</f>
        <v>0.51349999999999996</v>
      </c>
      <c r="CH67" s="4">
        <f>2.266/2</f>
        <v>1.133</v>
      </c>
      <c r="CI67" s="4"/>
      <c r="CJ67" s="4">
        <f>3.293/2</f>
        <v>1.6465000000000001</v>
      </c>
      <c r="CK67" s="4">
        <f>CF67+CJ67</f>
        <v>5.7319999999999993</v>
      </c>
      <c r="CL67" s="4"/>
      <c r="CM67" s="4"/>
      <c r="CN67" s="4"/>
      <c r="CO67" s="4"/>
      <c r="CP67" s="2" t="s">
        <v>499</v>
      </c>
      <c r="CQ67" s="2" t="s">
        <v>254</v>
      </c>
      <c r="CR67" s="10" t="s">
        <v>500</v>
      </c>
      <c r="CS67" s="9" t="s">
        <v>256</v>
      </c>
    </row>
    <row r="68" spans="1:97" s="2" customFormat="1" ht="14.25">
      <c r="A68" s="2">
        <v>65</v>
      </c>
      <c r="B68" s="2" t="s">
        <v>114</v>
      </c>
      <c r="C68" s="2" t="s">
        <v>501</v>
      </c>
      <c r="D68" s="4" t="s">
        <v>261</v>
      </c>
      <c r="E68" s="2" t="s">
        <v>502</v>
      </c>
      <c r="F68" s="2" t="s">
        <v>503</v>
      </c>
      <c r="G68" s="2">
        <v>2007</v>
      </c>
      <c r="H68" s="2">
        <v>2007</v>
      </c>
      <c r="I68" s="2">
        <v>0</v>
      </c>
      <c r="J68" s="2">
        <v>0</v>
      </c>
      <c r="K68" s="2">
        <v>0</v>
      </c>
      <c r="L68" s="2">
        <v>1</v>
      </c>
      <c r="M68" s="2">
        <v>0</v>
      </c>
      <c r="N68" s="2">
        <v>0</v>
      </c>
      <c r="O68" s="4">
        <v>15.3</v>
      </c>
      <c r="P68" s="4">
        <v>123.60000000000001</v>
      </c>
      <c r="Q68" s="4">
        <v>4618</v>
      </c>
      <c r="R68" s="4">
        <v>0</v>
      </c>
      <c r="S68" s="4">
        <v>1300</v>
      </c>
      <c r="T68" s="4">
        <v>87.9</v>
      </c>
      <c r="U68" s="4">
        <v>1449.4</v>
      </c>
      <c r="V68" s="4">
        <v>1.233333</v>
      </c>
      <c r="W68" s="4"/>
      <c r="X68" s="4">
        <f>(3.8+4.04)/2</f>
        <v>3.92</v>
      </c>
      <c r="Y68" s="4">
        <f>(4.6+5.1)/2</f>
        <v>4.8499999999999996</v>
      </c>
      <c r="Z68" s="4">
        <f>(0.68+0.56)/2</f>
        <v>0.62000000000000011</v>
      </c>
      <c r="AA68" s="4"/>
      <c r="AB68" s="4"/>
      <c r="AC68" s="4">
        <f>1.96*(16*5+30*2)/30</f>
        <v>9.1466666666666665</v>
      </c>
      <c r="AD68" s="4"/>
      <c r="AE68" s="4">
        <f>(2.93+2.52)/2</f>
        <v>2.7250000000000001</v>
      </c>
      <c r="AF68" s="4">
        <f>(0.3415+0.4335)/2</f>
        <v>0.38750000000000001</v>
      </c>
      <c r="AG68" s="4">
        <f>(0.5951+0.7592)/2</f>
        <v>0.67714999999999992</v>
      </c>
      <c r="AH68" s="4">
        <f>(0.1174+0.1507)/2</f>
        <v>0.13405</v>
      </c>
      <c r="AI68" s="4">
        <f>(28+33.4)/2</f>
        <v>30.7</v>
      </c>
      <c r="AJ68" s="4">
        <f>(34.8+24.6)/2</f>
        <v>29.7</v>
      </c>
      <c r="AK68" s="4">
        <f>(37.2+42)/2</f>
        <v>39.6</v>
      </c>
      <c r="AL68" s="4"/>
      <c r="AM68" s="4"/>
      <c r="AN68" s="4"/>
      <c r="AO68" s="4"/>
      <c r="AP68" s="4"/>
      <c r="AQ68" s="4"/>
      <c r="AR68" s="4"/>
      <c r="AS68" s="4"/>
      <c r="AT68" s="4"/>
      <c r="AV68" s="4"/>
      <c r="AW68" s="4">
        <v>8344</v>
      </c>
      <c r="AX68" s="4">
        <v>10.6</v>
      </c>
      <c r="AY68" s="4">
        <v>21.4</v>
      </c>
      <c r="AZ68" s="4">
        <f t="shared" ref="AZ68:AZ82" si="7">(AX68/2)^2*PI()*AW68/10000</f>
        <v>73.633578526263037</v>
      </c>
      <c r="BA68" s="4"/>
      <c r="BB68" s="4"/>
      <c r="BC68" s="4"/>
      <c r="BD68" s="4">
        <v>45.67</v>
      </c>
      <c r="BE68" s="4">
        <v>48.27</v>
      </c>
      <c r="BF68" s="4">
        <v>48.34</v>
      </c>
      <c r="BG68" s="4"/>
      <c r="BH68" s="4"/>
      <c r="BI68" s="4"/>
      <c r="BJ68" s="4"/>
      <c r="BK68" s="4">
        <v>5.74</v>
      </c>
      <c r="BL68" s="4">
        <v>4</v>
      </c>
      <c r="BM68" s="4">
        <f>4.4*BD68/100</f>
        <v>2.0094800000000004</v>
      </c>
      <c r="BN68" s="4">
        <f>12*BE68/100</f>
        <v>5.7923999999999998</v>
      </c>
      <c r="BO68" s="4">
        <f>151.7*BF68/100</f>
        <v>73.331779999999995</v>
      </c>
      <c r="BP68" s="4">
        <f>BM68+BN68+BO68</f>
        <v>81.133659999999992</v>
      </c>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2" t="s">
        <v>504</v>
      </c>
      <c r="CQ68" s="2" t="s">
        <v>254</v>
      </c>
      <c r="CR68" s="10" t="s">
        <v>505</v>
      </c>
      <c r="CS68" s="9" t="s">
        <v>256</v>
      </c>
    </row>
    <row r="69" spans="1:97" s="2" customFormat="1" ht="12.75">
      <c r="A69" s="2">
        <v>66</v>
      </c>
      <c r="B69" s="2" t="s">
        <v>114</v>
      </c>
      <c r="C69" s="2" t="s">
        <v>506</v>
      </c>
      <c r="D69" s="4" t="s">
        <v>507</v>
      </c>
      <c r="E69" s="2" t="s">
        <v>508</v>
      </c>
      <c r="F69" s="2" t="s">
        <v>509</v>
      </c>
      <c r="G69" s="2">
        <v>2008</v>
      </c>
      <c r="H69" s="2">
        <v>2009</v>
      </c>
      <c r="I69" s="2">
        <v>1</v>
      </c>
      <c r="J69" s="2">
        <v>0</v>
      </c>
      <c r="K69" s="2">
        <v>0</v>
      </c>
      <c r="L69" s="2">
        <v>1</v>
      </c>
      <c r="M69" s="2">
        <v>0</v>
      </c>
      <c r="N69" s="2">
        <v>1</v>
      </c>
      <c r="O69" s="4">
        <v>23</v>
      </c>
      <c r="P69" s="4">
        <f>(O69-5)*12</f>
        <v>216</v>
      </c>
      <c r="Q69" s="4">
        <v>2600</v>
      </c>
      <c r="R69" s="4">
        <v>0</v>
      </c>
      <c r="S69" s="4">
        <v>1135</v>
      </c>
      <c r="T69" s="4">
        <v>81.458330000000004</v>
      </c>
      <c r="U69" s="4">
        <v>1222</v>
      </c>
      <c r="V69" s="4">
        <v>0.65833299999999995</v>
      </c>
      <c r="W69" s="4"/>
      <c r="X69" s="4"/>
      <c r="Y69" s="4"/>
      <c r="Z69" s="4"/>
      <c r="AA69" s="4"/>
      <c r="AB69" s="4"/>
      <c r="AC69" s="4"/>
      <c r="AD69" s="4"/>
      <c r="AE69" s="4"/>
      <c r="AF69" s="4"/>
      <c r="AG69" s="4"/>
      <c r="AH69" s="4"/>
      <c r="AI69" s="4"/>
      <c r="AJ69" s="4"/>
      <c r="AK69" s="4"/>
      <c r="AL69" s="4"/>
      <c r="AM69" s="4"/>
      <c r="AN69" s="4"/>
      <c r="AO69" s="4"/>
      <c r="AP69" s="4"/>
      <c r="AQ69" s="4"/>
      <c r="AR69" s="4"/>
      <c r="AS69" s="4"/>
      <c r="AT69" s="4"/>
      <c r="AV69" s="4"/>
      <c r="AW69" s="4">
        <v>3767</v>
      </c>
      <c r="AX69" s="4">
        <v>9.9</v>
      </c>
      <c r="AY69" s="4">
        <v>13.4</v>
      </c>
      <c r="AZ69" s="4">
        <f t="shared" si="7"/>
        <v>28.99718843375976</v>
      </c>
      <c r="BA69" s="4">
        <v>25.1</v>
      </c>
      <c r="BB69" s="4">
        <v>6.1</v>
      </c>
      <c r="BC69" s="4">
        <v>4.5999999999999996</v>
      </c>
      <c r="BD69" s="4"/>
      <c r="BE69" s="4"/>
      <c r="BF69" s="4"/>
      <c r="BG69" s="4"/>
      <c r="BH69" s="4"/>
      <c r="BI69" s="4"/>
      <c r="BJ69" s="4"/>
      <c r="BK69" s="4"/>
      <c r="BL69" s="4"/>
      <c r="BM69" s="4">
        <f>3.2*0.5</f>
        <v>1.6</v>
      </c>
      <c r="BN69" s="4">
        <f>10.1*0.5</f>
        <v>5.05</v>
      </c>
      <c r="BO69" s="4">
        <f>60.6*0.5</f>
        <v>30.3</v>
      </c>
      <c r="BP69" s="4">
        <f>SUM(BM69:BO69)</f>
        <v>36.950000000000003</v>
      </c>
      <c r="BQ69" s="4">
        <f>BU69/BP69</f>
        <v>1.23680649526387</v>
      </c>
      <c r="BR69" s="4">
        <f>6.4*0.5</f>
        <v>3.2</v>
      </c>
      <c r="BS69" s="4">
        <f>67.1*0.5</f>
        <v>33.549999999999997</v>
      </c>
      <c r="BT69" s="4">
        <f>17.9*0.5</f>
        <v>8.9499999999999993</v>
      </c>
      <c r="BU69" s="4">
        <f>SUM(BR69:BT69)</f>
        <v>45.7</v>
      </c>
      <c r="BV69" s="4">
        <f>BU69+BP69</f>
        <v>82.65</v>
      </c>
      <c r="BW69" s="4"/>
      <c r="BX69" s="4"/>
      <c r="BY69" s="4"/>
      <c r="BZ69" s="4"/>
      <c r="CA69" s="4">
        <f>0.3*0.5</f>
        <v>0.15</v>
      </c>
      <c r="CB69" s="4">
        <f>1.1*0.5</f>
        <v>0.55000000000000004</v>
      </c>
      <c r="CC69" s="4">
        <f>6.9*0.5</f>
        <v>3.45</v>
      </c>
      <c r="CD69" s="4"/>
      <c r="CE69" s="4"/>
      <c r="CF69" s="4">
        <f>SUM(CA69:CD69)</f>
        <v>4.1500000000000004</v>
      </c>
      <c r="CG69" s="4"/>
      <c r="CH69" s="4"/>
      <c r="CI69" s="4"/>
      <c r="CJ69" s="4"/>
      <c r="CK69" s="4"/>
      <c r="CL69" s="4"/>
      <c r="CM69" s="4"/>
      <c r="CN69" s="4"/>
      <c r="CO69" s="4"/>
      <c r="CP69" s="2" t="s">
        <v>510</v>
      </c>
      <c r="CQ69" s="2" t="s">
        <v>254</v>
      </c>
      <c r="CR69" s="10" t="s">
        <v>511</v>
      </c>
      <c r="CS69" s="9" t="s">
        <v>256</v>
      </c>
    </row>
    <row r="70" spans="1:97" s="2" customFormat="1" ht="12.75">
      <c r="A70" s="2">
        <v>67</v>
      </c>
      <c r="B70" s="2" t="s">
        <v>114</v>
      </c>
      <c r="C70" s="2" t="s">
        <v>506</v>
      </c>
      <c r="D70" s="4" t="s">
        <v>507</v>
      </c>
      <c r="E70" s="2" t="s">
        <v>512</v>
      </c>
      <c r="F70" s="14" t="s">
        <v>513</v>
      </c>
      <c r="G70" s="2">
        <v>2008</v>
      </c>
      <c r="H70" s="2">
        <v>2009</v>
      </c>
      <c r="I70" s="2">
        <v>0</v>
      </c>
      <c r="J70" s="2">
        <v>0</v>
      </c>
      <c r="K70" s="2">
        <v>0</v>
      </c>
      <c r="L70" s="2">
        <v>0</v>
      </c>
      <c r="M70" s="2">
        <v>0</v>
      </c>
      <c r="N70" s="2">
        <v>0</v>
      </c>
      <c r="O70" s="4">
        <v>23</v>
      </c>
      <c r="P70" s="4">
        <f>(O70-5)*12</f>
        <v>216</v>
      </c>
      <c r="Q70" s="4">
        <v>2600</v>
      </c>
      <c r="R70" s="4">
        <v>0</v>
      </c>
      <c r="S70" s="4">
        <v>1135</v>
      </c>
      <c r="T70" s="4">
        <v>81.458330000000004</v>
      </c>
      <c r="U70" s="4">
        <v>1222</v>
      </c>
      <c r="V70" s="4">
        <v>0.65833299999999995</v>
      </c>
      <c r="W70" s="4"/>
      <c r="X70" s="4"/>
      <c r="Y70" s="4"/>
      <c r="Z70" s="4"/>
      <c r="AA70" s="4"/>
      <c r="AB70" s="4"/>
      <c r="AC70" s="4"/>
      <c r="AD70" s="4"/>
      <c r="AE70" s="4"/>
      <c r="AF70" s="4"/>
      <c r="AG70" s="4"/>
      <c r="AH70" s="4"/>
      <c r="AI70" s="4"/>
      <c r="AJ70" s="4"/>
      <c r="AK70" s="4"/>
      <c r="AL70" s="4"/>
      <c r="AM70" s="4"/>
      <c r="AN70" s="4"/>
      <c r="AO70" s="4"/>
      <c r="AP70" s="4"/>
      <c r="AQ70" s="4"/>
      <c r="AR70" s="4"/>
      <c r="AS70" s="4"/>
      <c r="AT70" s="4"/>
      <c r="AV70" s="4"/>
      <c r="AW70" s="4">
        <v>5000</v>
      </c>
      <c r="AX70" s="4">
        <v>9.6999999999999993</v>
      </c>
      <c r="AY70" s="4">
        <v>13.6</v>
      </c>
      <c r="AZ70" s="4">
        <f t="shared" si="7"/>
        <v>36.94905659703295</v>
      </c>
      <c r="BA70" s="4">
        <v>24.6</v>
      </c>
      <c r="BB70" s="4">
        <v>5.4</v>
      </c>
      <c r="BC70" s="4">
        <v>5.6</v>
      </c>
      <c r="BD70" s="4"/>
      <c r="BE70" s="4"/>
      <c r="BF70" s="4"/>
      <c r="BG70" s="4"/>
      <c r="BH70" s="4"/>
      <c r="BI70" s="4"/>
      <c r="BJ70" s="4"/>
      <c r="BK70" s="4"/>
      <c r="BL70" s="4"/>
      <c r="BM70" s="4">
        <f>3.8*0.5</f>
        <v>1.9</v>
      </c>
      <c r="BN70" s="4">
        <f>12.4*0.5</f>
        <v>6.2</v>
      </c>
      <c r="BO70" s="4">
        <f>75.7*0.5</f>
        <v>37.85</v>
      </c>
      <c r="BP70" s="4">
        <f>SUM(BM70:BO70)</f>
        <v>45.95</v>
      </c>
      <c r="BQ70" s="4">
        <f>BU70/BP70</f>
        <v>1.0228509249183895</v>
      </c>
      <c r="BR70" s="4">
        <f>6.2*0.5</f>
        <v>3.1</v>
      </c>
      <c r="BS70" s="4">
        <f>64.8*0.5</f>
        <v>32.4</v>
      </c>
      <c r="BT70" s="4">
        <f>23*0.5</f>
        <v>11.5</v>
      </c>
      <c r="BU70" s="4">
        <f>SUM(BR70:BT70)</f>
        <v>47</v>
      </c>
      <c r="BV70" s="4">
        <f>BU70+BP70</f>
        <v>92.95</v>
      </c>
      <c r="BW70" s="4"/>
      <c r="BX70" s="4"/>
      <c r="BY70" s="4"/>
      <c r="BZ70" s="4"/>
      <c r="CA70" s="4">
        <f>0.4*0.5</f>
        <v>0.2</v>
      </c>
      <c r="CB70" s="4">
        <f>1.6*0.5</f>
        <v>0.8</v>
      </c>
      <c r="CC70" s="4">
        <f>9.2*0.5</f>
        <v>4.5999999999999996</v>
      </c>
      <c r="CD70" s="4"/>
      <c r="CE70" s="4"/>
      <c r="CF70" s="4">
        <f>SUM(CA70:CD70)</f>
        <v>5.6</v>
      </c>
      <c r="CG70" s="4"/>
      <c r="CH70" s="4"/>
      <c r="CI70" s="4"/>
      <c r="CJ70" s="4"/>
      <c r="CK70" s="4"/>
      <c r="CL70" s="4"/>
      <c r="CM70" s="4"/>
      <c r="CN70" s="4"/>
      <c r="CO70" s="4"/>
      <c r="CP70" s="2" t="s">
        <v>510</v>
      </c>
      <c r="CQ70" s="2" t="s">
        <v>254</v>
      </c>
      <c r="CR70" s="10" t="s">
        <v>511</v>
      </c>
      <c r="CS70" s="9" t="s">
        <v>256</v>
      </c>
    </row>
    <row r="71" spans="1:97" s="2" customFormat="1" ht="12.75">
      <c r="A71" s="2">
        <v>68</v>
      </c>
      <c r="B71" s="2" t="s">
        <v>114</v>
      </c>
      <c r="C71" s="2" t="s">
        <v>506</v>
      </c>
      <c r="D71" s="4" t="s">
        <v>507</v>
      </c>
      <c r="E71" s="14" t="s">
        <v>514</v>
      </c>
      <c r="F71" s="14" t="s">
        <v>515</v>
      </c>
      <c r="G71" s="2">
        <v>2008</v>
      </c>
      <c r="H71" s="2">
        <v>2009</v>
      </c>
      <c r="I71" s="2">
        <v>0</v>
      </c>
      <c r="J71" s="2">
        <v>0</v>
      </c>
      <c r="K71" s="2">
        <v>0</v>
      </c>
      <c r="L71" s="2">
        <v>0</v>
      </c>
      <c r="M71" s="2">
        <v>0</v>
      </c>
      <c r="N71" s="2">
        <v>0</v>
      </c>
      <c r="O71" s="4">
        <v>23</v>
      </c>
      <c r="P71" s="4">
        <f>(O71-5)*12</f>
        <v>216</v>
      </c>
      <c r="Q71" s="4">
        <v>2600</v>
      </c>
      <c r="R71" s="4">
        <v>0</v>
      </c>
      <c r="S71" s="4">
        <v>1135</v>
      </c>
      <c r="T71" s="4">
        <v>81.458330000000004</v>
      </c>
      <c r="U71" s="4">
        <v>1222</v>
      </c>
      <c r="V71" s="4">
        <v>0.65833299999999995</v>
      </c>
      <c r="W71" s="4"/>
      <c r="X71" s="4"/>
      <c r="Y71" s="4"/>
      <c r="Z71" s="4"/>
      <c r="AA71" s="4"/>
      <c r="AB71" s="4"/>
      <c r="AC71" s="4"/>
      <c r="AD71" s="4"/>
      <c r="AE71" s="4"/>
      <c r="AF71" s="4"/>
      <c r="AG71" s="4"/>
      <c r="AH71" s="4"/>
      <c r="AI71" s="4"/>
      <c r="AJ71" s="4"/>
      <c r="AK71" s="4"/>
      <c r="AL71" s="4"/>
      <c r="AM71" s="4"/>
      <c r="AN71" s="4"/>
      <c r="AO71" s="4"/>
      <c r="AP71" s="4"/>
      <c r="AQ71" s="4"/>
      <c r="AR71" s="4"/>
      <c r="AS71" s="4"/>
      <c r="AT71" s="4"/>
      <c r="AV71" s="4"/>
      <c r="AW71" s="4">
        <v>5167</v>
      </c>
      <c r="AX71" s="4">
        <v>7.6</v>
      </c>
      <c r="AY71" s="4">
        <v>12.3</v>
      </c>
      <c r="AZ71" s="4">
        <f t="shared" si="7"/>
        <v>23.439887744146176</v>
      </c>
      <c r="BA71" s="4">
        <v>37.1</v>
      </c>
      <c r="BB71" s="4">
        <v>4.9000000000000004</v>
      </c>
      <c r="BC71" s="4">
        <v>1.9</v>
      </c>
      <c r="BD71" s="4"/>
      <c r="BE71" s="4"/>
      <c r="BF71" s="4"/>
      <c r="BG71" s="4"/>
      <c r="BH71" s="4"/>
      <c r="BI71" s="4"/>
      <c r="BJ71" s="4"/>
      <c r="BK71" s="4"/>
      <c r="BL71" s="4"/>
      <c r="BM71" s="4">
        <f>1.3*0.5</f>
        <v>0.65</v>
      </c>
      <c r="BN71" s="4">
        <f>5.5*0.5</f>
        <v>2.75</v>
      </c>
      <c r="BO71" s="4">
        <f>36.5*0.5</f>
        <v>18.25</v>
      </c>
      <c r="BP71" s="4">
        <f>SUM(BM71:BO71)</f>
        <v>21.65</v>
      </c>
      <c r="BQ71" s="4">
        <f>BU71/BP71</f>
        <v>1.9769053117782913</v>
      </c>
      <c r="BR71" s="4">
        <f>6.2*0.5</f>
        <v>3.1</v>
      </c>
      <c r="BS71" s="4">
        <f>64.5*0.5</f>
        <v>32.25</v>
      </c>
      <c r="BT71" s="4">
        <f>14.9*0.5</f>
        <v>7.45</v>
      </c>
      <c r="BU71" s="4">
        <f>SUM(BR71:BT71)</f>
        <v>42.800000000000004</v>
      </c>
      <c r="BV71" s="4">
        <f>BU71+BP71</f>
        <v>64.45</v>
      </c>
      <c r="BW71" s="4"/>
      <c r="BX71" s="4"/>
      <c r="BY71" s="4"/>
      <c r="BZ71" s="4"/>
      <c r="CA71" s="4">
        <f>0.2*0.5</f>
        <v>0.1</v>
      </c>
      <c r="CB71" s="4">
        <f>0.9*0.5</f>
        <v>0.45</v>
      </c>
      <c r="CC71" s="4">
        <f>6.4*0.5</f>
        <v>3.2</v>
      </c>
      <c r="CD71" s="4"/>
      <c r="CE71" s="4"/>
      <c r="CF71" s="4">
        <f>SUM(CA71:CD71)</f>
        <v>3.75</v>
      </c>
      <c r="CG71" s="4"/>
      <c r="CH71" s="4"/>
      <c r="CI71" s="4"/>
      <c r="CJ71" s="4"/>
      <c r="CK71" s="4"/>
      <c r="CL71" s="4"/>
      <c r="CM71" s="4"/>
      <c r="CN71" s="4"/>
      <c r="CO71" s="4"/>
      <c r="CP71" s="2" t="s">
        <v>510</v>
      </c>
      <c r="CQ71" s="2" t="s">
        <v>254</v>
      </c>
      <c r="CR71" s="10" t="s">
        <v>511</v>
      </c>
      <c r="CS71" s="9" t="s">
        <v>256</v>
      </c>
    </row>
    <row r="72" spans="1:97" s="2" customFormat="1" ht="12.75">
      <c r="A72" s="2">
        <v>69</v>
      </c>
      <c r="B72" s="2" t="s">
        <v>114</v>
      </c>
      <c r="C72" s="2" t="s">
        <v>516</v>
      </c>
      <c r="D72" s="4" t="s">
        <v>507</v>
      </c>
      <c r="E72" s="2" t="s">
        <v>517</v>
      </c>
      <c r="F72" s="2" t="s">
        <v>518</v>
      </c>
      <c r="G72" s="2">
        <v>2004</v>
      </c>
      <c r="H72" s="2">
        <v>2007</v>
      </c>
      <c r="I72" s="2">
        <v>1</v>
      </c>
      <c r="J72" s="2">
        <v>1</v>
      </c>
      <c r="K72" s="2">
        <v>1</v>
      </c>
      <c r="L72" s="2">
        <v>1</v>
      </c>
      <c r="M72" s="2">
        <v>0</v>
      </c>
      <c r="N72" s="2">
        <v>0</v>
      </c>
      <c r="O72" s="4">
        <f>(11+22)/2</f>
        <v>16.5</v>
      </c>
      <c r="P72" s="4">
        <f>(O72-5)*12</f>
        <v>138</v>
      </c>
      <c r="Q72" s="4">
        <f>(1900+2500)/2</f>
        <v>2200</v>
      </c>
      <c r="R72" s="4">
        <v>0</v>
      </c>
      <c r="S72" s="4">
        <f>(1200+1500)/2</f>
        <v>1350</v>
      </c>
      <c r="T72" s="4">
        <v>82.666669999999996</v>
      </c>
      <c r="U72" s="4">
        <v>1561.7</v>
      </c>
      <c r="V72" s="4">
        <v>1.2250000000000001</v>
      </c>
      <c r="W72" s="4"/>
      <c r="X72" s="4"/>
      <c r="Y72" s="4"/>
      <c r="Z72" s="4"/>
      <c r="AA72" s="4"/>
      <c r="AB72" s="4"/>
      <c r="AC72" s="4"/>
      <c r="AD72" s="4"/>
      <c r="AE72" s="4"/>
      <c r="AF72" s="4"/>
      <c r="AG72" s="4"/>
      <c r="AH72" s="4"/>
      <c r="AI72" s="4"/>
      <c r="AJ72" s="4"/>
      <c r="AK72" s="4"/>
      <c r="AL72" s="4"/>
      <c r="AM72" s="4"/>
      <c r="AN72" s="4"/>
      <c r="AO72" s="4"/>
      <c r="AP72" s="4"/>
      <c r="AQ72" s="4"/>
      <c r="AR72" s="4"/>
      <c r="AS72" s="4"/>
      <c r="AT72" s="4"/>
      <c r="AV72" s="4"/>
      <c r="AW72" s="4">
        <v>7050</v>
      </c>
      <c r="AX72" s="4">
        <v>8.66</v>
      </c>
      <c r="AY72" s="4"/>
      <c r="AZ72" s="4">
        <f t="shared" si="7"/>
        <v>41.525491584537221</v>
      </c>
      <c r="BA72" s="4"/>
      <c r="BB72" s="4"/>
      <c r="BC72" s="4"/>
      <c r="BD72" s="4">
        <v>45.44</v>
      </c>
      <c r="BE72" s="4">
        <v>48.15</v>
      </c>
      <c r="BF72" s="4">
        <v>46.28</v>
      </c>
      <c r="BG72" s="4"/>
      <c r="BH72" s="4"/>
      <c r="BI72" s="4"/>
      <c r="BJ72" s="4"/>
      <c r="BK72" s="4"/>
      <c r="BL72" s="4"/>
      <c r="BM72" s="4">
        <f>3.19*BD72/100</f>
        <v>1.4495359999999999</v>
      </c>
      <c r="BN72" s="4">
        <f>10.19*BE72/100</f>
        <v>4.906485</v>
      </c>
      <c r="BO72" s="4">
        <f>71.94*BF72/100</f>
        <v>33.293831999999995</v>
      </c>
      <c r="BP72" s="4">
        <f>BM72+BN72+BO72</f>
        <v>39.649852999999993</v>
      </c>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2" t="s">
        <v>519</v>
      </c>
      <c r="CQ72" s="2" t="s">
        <v>254</v>
      </c>
      <c r="CR72" s="10" t="s">
        <v>520</v>
      </c>
      <c r="CS72" s="9" t="s">
        <v>256</v>
      </c>
    </row>
    <row r="73" spans="1:97" s="2" customFormat="1" ht="14.25">
      <c r="A73" s="2">
        <v>70</v>
      </c>
      <c r="B73" s="2" t="s">
        <v>114</v>
      </c>
      <c r="C73" s="2" t="s">
        <v>521</v>
      </c>
      <c r="D73" s="4" t="s">
        <v>116</v>
      </c>
      <c r="E73" s="2" t="s">
        <v>522</v>
      </c>
      <c r="F73" s="2" t="s">
        <v>523</v>
      </c>
      <c r="G73" s="2">
        <v>2007</v>
      </c>
      <c r="H73" s="2">
        <v>2007</v>
      </c>
      <c r="I73" s="2">
        <v>0</v>
      </c>
      <c r="J73" s="2">
        <v>0</v>
      </c>
      <c r="K73" s="2">
        <v>0</v>
      </c>
      <c r="L73" s="2">
        <v>0</v>
      </c>
      <c r="M73" s="2">
        <v>0</v>
      </c>
      <c r="N73" s="2">
        <v>0</v>
      </c>
      <c r="O73" s="4">
        <v>20.3</v>
      </c>
      <c r="P73" s="4">
        <v>183.60000000000002</v>
      </c>
      <c r="Q73" s="4">
        <v>3389</v>
      </c>
      <c r="R73" s="4">
        <v>0</v>
      </c>
      <c r="S73" s="4">
        <v>667</v>
      </c>
      <c r="T73" s="4">
        <v>85.2</v>
      </c>
      <c r="U73" s="4">
        <v>1599.1</v>
      </c>
      <c r="V73" s="4">
        <v>1.26</v>
      </c>
      <c r="W73" s="4"/>
      <c r="X73" s="4">
        <f>(3.75+3.8)/2</f>
        <v>3.7749999999999999</v>
      </c>
      <c r="Y73" s="4">
        <f>(4.6+4.6)/2</f>
        <v>4.5999999999999996</v>
      </c>
      <c r="Z73" s="4">
        <f>(0.55+0.4)/2</f>
        <v>0.47500000000000003</v>
      </c>
      <c r="AA73" s="4"/>
      <c r="AB73" s="4"/>
      <c r="AC73" s="4">
        <f>0.4*(16*5+30*2)/30</f>
        <v>1.8666666666666667</v>
      </c>
      <c r="AD73" s="4"/>
      <c r="AE73" s="4">
        <f>(2.42+2.34)/2</f>
        <v>2.38</v>
      </c>
      <c r="AF73" s="4">
        <f>(0.5877+0.4611)/2</f>
        <v>0.52439999999999998</v>
      </c>
      <c r="AG73" s="4">
        <f>(1.2162+1.2237)/2</f>
        <v>1.2199499999999999</v>
      </c>
      <c r="AH73" s="4">
        <f>(0.7169+0.8386)/2</f>
        <v>0.77774999999999994</v>
      </c>
      <c r="AI73" s="4">
        <f>(36+38)/2</f>
        <v>37</v>
      </c>
      <c r="AJ73" s="4">
        <f>(36.8+33)/2</f>
        <v>34.9</v>
      </c>
      <c r="AK73" s="4">
        <f>(27.2+37.2)/2</f>
        <v>32.200000000000003</v>
      </c>
      <c r="AL73" s="4"/>
      <c r="AM73" s="4"/>
      <c r="AN73" s="4"/>
      <c r="AO73" s="4"/>
      <c r="AP73" s="4"/>
      <c r="AQ73" s="4"/>
      <c r="AR73" s="4"/>
      <c r="AS73" s="4"/>
      <c r="AT73" s="4"/>
      <c r="AV73" s="4"/>
      <c r="AW73" s="4">
        <v>7933</v>
      </c>
      <c r="AX73" s="4">
        <v>6.8</v>
      </c>
      <c r="AY73" s="4">
        <v>10.3</v>
      </c>
      <c r="AZ73" s="4">
        <f t="shared" si="7"/>
        <v>28.810126226192569</v>
      </c>
      <c r="BA73" s="4"/>
      <c r="BB73" s="4"/>
      <c r="BC73" s="4"/>
      <c r="BD73" s="4">
        <v>45.44</v>
      </c>
      <c r="BE73" s="4">
        <v>48.15</v>
      </c>
      <c r="BF73" s="4">
        <v>46.28</v>
      </c>
      <c r="BG73" s="4">
        <v>44.87</v>
      </c>
      <c r="BH73" s="4">
        <v>44.87</v>
      </c>
      <c r="BI73" s="4">
        <v>43.54</v>
      </c>
      <c r="BJ73" s="4"/>
      <c r="BK73" s="4">
        <v>3.52</v>
      </c>
      <c r="BL73" s="4">
        <v>2.27</v>
      </c>
      <c r="BM73" s="4">
        <f>3.6*BD73/100</f>
        <v>1.63584</v>
      </c>
      <c r="BN73" s="4">
        <f>9.7*BE73/100</f>
        <v>4.6705499999999995</v>
      </c>
      <c r="BO73" s="4">
        <f>43.1*BF73/100</f>
        <v>19.946680000000001</v>
      </c>
      <c r="BP73" s="4">
        <f>BM73+BN73+BO73</f>
        <v>26.253070000000001</v>
      </c>
      <c r="BQ73" s="4">
        <f>BU73/BP73</f>
        <v>0.133317741506041</v>
      </c>
      <c r="BR73" s="4">
        <v>0.9</v>
      </c>
      <c r="BS73" s="4">
        <v>0.5</v>
      </c>
      <c r="BT73" s="4">
        <v>2.1</v>
      </c>
      <c r="BU73" s="4">
        <f>SUM(BR73:BT73)</f>
        <v>3.5</v>
      </c>
      <c r="BV73" s="4">
        <f>BU73+BP73</f>
        <v>29.753070000000001</v>
      </c>
      <c r="BW73" s="4"/>
      <c r="BX73" s="4">
        <v>172.8</v>
      </c>
      <c r="BY73" s="4"/>
      <c r="BZ73" s="4">
        <f>BV73+BX73</f>
        <v>202.55307000000002</v>
      </c>
      <c r="CA73" s="4"/>
      <c r="CB73" s="4"/>
      <c r="CC73" s="4"/>
      <c r="CD73" s="4"/>
      <c r="CE73" s="4"/>
      <c r="CF73" s="4">
        <f>CF75</f>
        <v>4</v>
      </c>
      <c r="CG73" s="4"/>
      <c r="CH73" s="4"/>
      <c r="CI73" s="4"/>
      <c r="CJ73" s="4"/>
      <c r="CK73" s="4"/>
      <c r="CL73" s="4"/>
      <c r="CM73" s="4"/>
      <c r="CN73" s="4"/>
      <c r="CO73" s="4"/>
      <c r="CP73" s="2" t="s">
        <v>504</v>
      </c>
      <c r="CQ73" s="2" t="s">
        <v>254</v>
      </c>
      <c r="CR73" s="10" t="s">
        <v>505</v>
      </c>
      <c r="CS73" s="9" t="s">
        <v>256</v>
      </c>
    </row>
    <row r="74" spans="1:97" s="2" customFormat="1" ht="12.75">
      <c r="A74" s="2">
        <v>71</v>
      </c>
      <c r="B74" s="2" t="s">
        <v>114</v>
      </c>
      <c r="C74" s="2" t="s">
        <v>521</v>
      </c>
      <c r="D74" s="4" t="s">
        <v>116</v>
      </c>
      <c r="E74" s="2" t="s">
        <v>524</v>
      </c>
      <c r="F74" s="2" t="s">
        <v>525</v>
      </c>
      <c r="G74" s="2">
        <v>2007</v>
      </c>
      <c r="H74" s="2">
        <v>2009</v>
      </c>
      <c r="I74" s="2">
        <v>0</v>
      </c>
      <c r="J74" s="2">
        <v>0</v>
      </c>
      <c r="K74" s="2">
        <v>0</v>
      </c>
      <c r="L74" s="2">
        <v>0</v>
      </c>
      <c r="M74" s="2">
        <v>0</v>
      </c>
      <c r="N74" s="2">
        <v>0</v>
      </c>
      <c r="O74" s="4">
        <v>20.3</v>
      </c>
      <c r="P74" s="4">
        <v>183.60000000000002</v>
      </c>
      <c r="Q74" s="4">
        <v>3389</v>
      </c>
      <c r="R74" s="4">
        <v>0</v>
      </c>
      <c r="S74" s="4">
        <v>667</v>
      </c>
      <c r="T74" s="4">
        <v>85.2</v>
      </c>
      <c r="U74" s="4">
        <v>1657.133</v>
      </c>
      <c r="V74" s="4">
        <v>1.2944439999999999</v>
      </c>
      <c r="W74" s="4"/>
      <c r="X74" s="4"/>
      <c r="Y74" s="4"/>
      <c r="Z74" s="4"/>
      <c r="AA74" s="4"/>
      <c r="AB74" s="4"/>
      <c r="AC74" s="4"/>
      <c r="AD74" s="4"/>
      <c r="AE74" s="4"/>
      <c r="AF74" s="4"/>
      <c r="AG74" s="4"/>
      <c r="AH74" s="4"/>
      <c r="AI74" s="4"/>
      <c r="AJ74" s="4"/>
      <c r="AK74" s="4"/>
      <c r="AL74" s="4"/>
      <c r="AM74" s="4"/>
      <c r="AN74" s="4"/>
      <c r="AO74" s="4"/>
      <c r="AP74" s="4"/>
      <c r="AQ74" s="4"/>
      <c r="AR74" s="4"/>
      <c r="AS74" s="4"/>
      <c r="AT74" s="4"/>
      <c r="AV74" s="4"/>
      <c r="AW74" s="4">
        <v>11467</v>
      </c>
      <c r="AX74" s="4">
        <v>5.9</v>
      </c>
      <c r="AY74" s="4">
        <v>9.5</v>
      </c>
      <c r="AZ74" s="4">
        <f>(AX74/2)^2*PI()*AW74/10000</f>
        <v>31.350445534820999</v>
      </c>
      <c r="BA74" s="4"/>
      <c r="BB74" s="4"/>
      <c r="BC74" s="4"/>
      <c r="BD74" s="4">
        <v>45.44</v>
      </c>
      <c r="BE74" s="4">
        <v>48.15</v>
      </c>
      <c r="BF74" s="4">
        <v>46.28</v>
      </c>
      <c r="BG74" s="4"/>
      <c r="BH74" s="4"/>
      <c r="BI74" s="4"/>
      <c r="BJ74" s="4"/>
      <c r="BK74" s="4"/>
      <c r="BL74" s="4"/>
      <c r="BM74" s="4"/>
      <c r="BN74" s="4"/>
      <c r="BO74" s="4"/>
      <c r="BP74" s="4">
        <v>29.5</v>
      </c>
      <c r="BQ74" s="4"/>
      <c r="BR74" s="4"/>
      <c r="BS74" s="4"/>
      <c r="BT74" s="4"/>
      <c r="BU74" s="4"/>
      <c r="BV74" s="4"/>
      <c r="BW74" s="4"/>
      <c r="BX74" s="4"/>
      <c r="BY74" s="4"/>
      <c r="BZ74" s="4"/>
      <c r="CA74" s="4"/>
      <c r="CB74" s="4"/>
      <c r="CC74" s="4"/>
      <c r="CD74" s="4"/>
      <c r="CE74" s="4"/>
      <c r="CF74" s="4">
        <f>(4.1+1.7)/2</f>
        <v>2.9</v>
      </c>
      <c r="CG74" s="4"/>
      <c r="CH74" s="4"/>
      <c r="CI74" s="4"/>
      <c r="CJ74" s="4"/>
      <c r="CK74" s="4"/>
      <c r="CL74" s="4"/>
      <c r="CM74" s="4"/>
      <c r="CN74" s="4"/>
      <c r="CO74" s="4"/>
      <c r="CP74" s="2" t="s">
        <v>526</v>
      </c>
      <c r="CQ74" s="2" t="s">
        <v>254</v>
      </c>
      <c r="CR74" s="10" t="s">
        <v>527</v>
      </c>
      <c r="CS74" s="9" t="s">
        <v>256</v>
      </c>
    </row>
    <row r="75" spans="1:97" s="2" customFormat="1" ht="12.75">
      <c r="A75" s="2">
        <v>72</v>
      </c>
      <c r="B75" s="2" t="s">
        <v>114</v>
      </c>
      <c r="C75" s="2" t="s">
        <v>521</v>
      </c>
      <c r="D75" s="4" t="s">
        <v>250</v>
      </c>
      <c r="E75" s="2" t="s">
        <v>528</v>
      </c>
      <c r="F75" s="2" t="s">
        <v>529</v>
      </c>
      <c r="G75" s="2">
        <v>2007</v>
      </c>
      <c r="H75" s="2">
        <v>2009</v>
      </c>
      <c r="I75" s="2">
        <v>1</v>
      </c>
      <c r="J75" s="2">
        <v>0</v>
      </c>
      <c r="K75" s="2">
        <v>1</v>
      </c>
      <c r="L75" s="2">
        <v>0</v>
      </c>
      <c r="M75" s="2">
        <v>1</v>
      </c>
      <c r="N75" s="2">
        <v>0</v>
      </c>
      <c r="O75" s="4">
        <v>20.3</v>
      </c>
      <c r="P75" s="4">
        <v>183.60000000000002</v>
      </c>
      <c r="Q75" s="4">
        <v>3389</v>
      </c>
      <c r="R75" s="4">
        <v>0</v>
      </c>
      <c r="S75" s="4">
        <v>667</v>
      </c>
      <c r="T75" s="4">
        <v>85.2</v>
      </c>
      <c r="U75" s="4">
        <v>1657.133</v>
      </c>
      <c r="V75" s="4">
        <v>1.2944439999999999</v>
      </c>
      <c r="W75" s="4"/>
      <c r="X75" s="4"/>
      <c r="Y75" s="4"/>
      <c r="Z75" s="4"/>
      <c r="AA75" s="4"/>
      <c r="AB75" s="4"/>
      <c r="AC75" s="4"/>
      <c r="AD75" s="4"/>
      <c r="AE75" s="4"/>
      <c r="AF75" s="4"/>
      <c r="AG75" s="4"/>
      <c r="AH75" s="4"/>
      <c r="AI75" s="4"/>
      <c r="AJ75" s="4"/>
      <c r="AK75" s="4"/>
      <c r="AL75" s="4"/>
      <c r="AM75" s="4"/>
      <c r="AN75" s="4"/>
      <c r="AO75" s="4"/>
      <c r="AP75" s="4"/>
      <c r="AQ75" s="4"/>
      <c r="AR75" s="4"/>
      <c r="AS75" s="4"/>
      <c r="AT75" s="4"/>
      <c r="AV75" s="4"/>
      <c r="AW75" s="4">
        <v>5567</v>
      </c>
      <c r="AX75" s="4">
        <v>4.8</v>
      </c>
      <c r="AY75" s="4">
        <v>8</v>
      </c>
      <c r="AZ75" s="4">
        <f t="shared" si="7"/>
        <v>10.073805870259802</v>
      </c>
      <c r="BA75" s="4"/>
      <c r="BB75" s="4"/>
      <c r="BC75" s="4"/>
      <c r="BD75" s="4">
        <v>45.44</v>
      </c>
      <c r="BE75" s="4">
        <v>48.15</v>
      </c>
      <c r="BF75" s="4">
        <v>46.28</v>
      </c>
      <c r="BG75" s="4"/>
      <c r="BH75" s="4"/>
      <c r="BI75" s="4"/>
      <c r="BJ75" s="4"/>
      <c r="BK75" s="4"/>
      <c r="BL75" s="4"/>
      <c r="BM75" s="4"/>
      <c r="BN75" s="4"/>
      <c r="BO75" s="4"/>
      <c r="BP75" s="4">
        <v>8</v>
      </c>
      <c r="BQ75" s="4"/>
      <c r="BR75" s="4"/>
      <c r="BS75" s="4"/>
      <c r="BT75" s="4"/>
      <c r="BU75" s="4"/>
      <c r="BV75" s="4"/>
      <c r="BW75" s="4"/>
      <c r="BX75" s="4"/>
      <c r="BY75" s="4"/>
      <c r="BZ75" s="4"/>
      <c r="CA75" s="4"/>
      <c r="CB75" s="4"/>
      <c r="CC75" s="4"/>
      <c r="CD75" s="4"/>
      <c r="CE75" s="4"/>
      <c r="CF75" s="4">
        <f>(2.2+5.8)/2</f>
        <v>4</v>
      </c>
      <c r="CG75" s="4"/>
      <c r="CH75" s="4"/>
      <c r="CI75" s="4"/>
      <c r="CJ75" s="4"/>
      <c r="CK75" s="4"/>
      <c r="CL75" s="4"/>
      <c r="CM75" s="4"/>
      <c r="CN75" s="4"/>
      <c r="CO75" s="4"/>
      <c r="CP75" s="2" t="s">
        <v>526</v>
      </c>
      <c r="CQ75" s="2" t="s">
        <v>254</v>
      </c>
      <c r="CR75" s="10" t="s">
        <v>527</v>
      </c>
      <c r="CS75" s="9" t="s">
        <v>256</v>
      </c>
    </row>
    <row r="76" spans="1:97" s="2" customFormat="1" ht="12.75">
      <c r="A76" s="2">
        <v>73</v>
      </c>
      <c r="B76" s="2" t="s">
        <v>114</v>
      </c>
      <c r="C76" s="2" t="s">
        <v>521</v>
      </c>
      <c r="D76" s="4" t="s">
        <v>116</v>
      </c>
      <c r="E76" s="2" t="s">
        <v>530</v>
      </c>
      <c r="F76" s="2" t="s">
        <v>531</v>
      </c>
      <c r="G76" s="2">
        <v>2007</v>
      </c>
      <c r="H76" s="2">
        <v>2009</v>
      </c>
      <c r="I76" s="2">
        <v>1</v>
      </c>
      <c r="J76" s="2">
        <v>0</v>
      </c>
      <c r="K76" s="2">
        <v>1</v>
      </c>
      <c r="L76" s="2">
        <v>0</v>
      </c>
      <c r="M76" s="2">
        <v>0</v>
      </c>
      <c r="N76" s="2">
        <v>0</v>
      </c>
      <c r="O76" s="4">
        <v>20.3</v>
      </c>
      <c r="P76" s="4">
        <v>183.60000000000002</v>
      </c>
      <c r="Q76" s="4">
        <v>3389</v>
      </c>
      <c r="R76" s="4">
        <v>0</v>
      </c>
      <c r="S76" s="4">
        <v>667</v>
      </c>
      <c r="T76" s="4">
        <v>85.2</v>
      </c>
      <c r="U76" s="4">
        <v>1657.133</v>
      </c>
      <c r="V76" s="4">
        <v>1.2944439999999999</v>
      </c>
      <c r="W76" s="4"/>
      <c r="X76" s="4"/>
      <c r="Y76" s="4"/>
      <c r="Z76" s="4"/>
      <c r="AA76" s="4"/>
      <c r="AB76" s="4"/>
      <c r="AC76" s="4"/>
      <c r="AD76" s="4"/>
      <c r="AE76" s="4"/>
      <c r="AF76" s="4"/>
      <c r="AG76" s="4"/>
      <c r="AH76" s="4"/>
      <c r="AI76" s="4"/>
      <c r="AJ76" s="4"/>
      <c r="AK76" s="4"/>
      <c r="AL76" s="4"/>
      <c r="AM76" s="4"/>
      <c r="AN76" s="4"/>
      <c r="AO76" s="4"/>
      <c r="AP76" s="4"/>
      <c r="AQ76" s="4"/>
      <c r="AR76" s="4"/>
      <c r="AS76" s="4"/>
      <c r="AT76" s="4"/>
      <c r="AV76" s="4"/>
      <c r="AW76" s="4">
        <v>10633</v>
      </c>
      <c r="AX76" s="4">
        <v>5.9</v>
      </c>
      <c r="AY76" s="4">
        <v>9.5</v>
      </c>
      <c r="AZ76" s="4">
        <f t="shared" si="7"/>
        <v>29.070313715161038</v>
      </c>
      <c r="BA76" s="4"/>
      <c r="BB76" s="4"/>
      <c r="BC76" s="4"/>
      <c r="BD76" s="4">
        <v>45.44</v>
      </c>
      <c r="BE76" s="4">
        <v>48.15</v>
      </c>
      <c r="BF76" s="4">
        <v>46.28</v>
      </c>
      <c r="BG76" s="4"/>
      <c r="BH76" s="4"/>
      <c r="BI76" s="4"/>
      <c r="BJ76" s="4"/>
      <c r="BK76" s="4"/>
      <c r="BL76" s="4"/>
      <c r="BM76" s="4"/>
      <c r="BN76" s="4"/>
      <c r="BO76" s="4"/>
      <c r="BP76" s="4">
        <v>28.4</v>
      </c>
      <c r="BQ76" s="4"/>
      <c r="BR76" s="4"/>
      <c r="BS76" s="4"/>
      <c r="BT76" s="4"/>
      <c r="BU76" s="4"/>
      <c r="BV76" s="4"/>
      <c r="BW76" s="4"/>
      <c r="BX76" s="4"/>
      <c r="BY76" s="4"/>
      <c r="BZ76" s="4"/>
      <c r="CA76" s="4"/>
      <c r="CB76" s="4"/>
      <c r="CC76" s="4"/>
      <c r="CD76" s="4"/>
      <c r="CE76" s="4"/>
      <c r="CF76" s="4">
        <f>(6.7+1.5)/2</f>
        <v>4.0999999999999996</v>
      </c>
      <c r="CG76" s="4"/>
      <c r="CH76" s="4"/>
      <c r="CI76" s="4"/>
      <c r="CJ76" s="4"/>
      <c r="CK76" s="4"/>
      <c r="CL76" s="4"/>
      <c r="CM76" s="4"/>
      <c r="CN76" s="4"/>
      <c r="CO76" s="4"/>
      <c r="CP76" s="2" t="s">
        <v>526</v>
      </c>
      <c r="CQ76" s="2" t="s">
        <v>254</v>
      </c>
      <c r="CR76" s="10" t="s">
        <v>527</v>
      </c>
      <c r="CS76" s="9" t="s">
        <v>256</v>
      </c>
    </row>
    <row r="77" spans="1:97" s="2" customFormat="1" ht="12.75">
      <c r="A77" s="2">
        <v>74</v>
      </c>
      <c r="B77" s="2" t="s">
        <v>114</v>
      </c>
      <c r="C77" s="2" t="s">
        <v>532</v>
      </c>
      <c r="D77" s="4" t="s">
        <v>116</v>
      </c>
      <c r="E77" s="2" t="s">
        <v>533</v>
      </c>
      <c r="F77" s="2" t="s">
        <v>534</v>
      </c>
      <c r="G77" s="2">
        <v>2004</v>
      </c>
      <c r="H77" s="2">
        <v>2007</v>
      </c>
      <c r="I77" s="2">
        <v>1</v>
      </c>
      <c r="J77" s="2">
        <v>1</v>
      </c>
      <c r="K77" s="2">
        <v>1</v>
      </c>
      <c r="L77" s="2">
        <v>1</v>
      </c>
      <c r="M77" s="2">
        <v>0</v>
      </c>
      <c r="N77" s="2">
        <v>0</v>
      </c>
      <c r="O77" s="4">
        <f>(11+22)/2</f>
        <v>16.5</v>
      </c>
      <c r="P77" s="4">
        <f t="shared" ref="P77:P101" si="8">(O77-5)*12</f>
        <v>138</v>
      </c>
      <c r="Q77" s="4">
        <f>(1900+2500)/2</f>
        <v>2200</v>
      </c>
      <c r="R77" s="4">
        <v>0</v>
      </c>
      <c r="S77" s="4">
        <f>(600+900)/2</f>
        <v>750</v>
      </c>
      <c r="T77" s="4">
        <v>82.666669999999996</v>
      </c>
      <c r="U77" s="4">
        <v>1561.7</v>
      </c>
      <c r="V77" s="4">
        <v>1.2250000000000001</v>
      </c>
      <c r="W77" s="4"/>
      <c r="X77" s="4"/>
      <c r="Y77" s="4"/>
      <c r="Z77" s="4"/>
      <c r="AA77" s="4"/>
      <c r="AB77" s="4"/>
      <c r="AC77" s="4"/>
      <c r="AD77" s="4"/>
      <c r="AE77" s="4"/>
      <c r="AF77" s="4"/>
      <c r="AG77" s="4"/>
      <c r="AH77" s="4"/>
      <c r="AI77" s="4"/>
      <c r="AJ77" s="4"/>
      <c r="AK77" s="4"/>
      <c r="AL77" s="4"/>
      <c r="AM77" s="4"/>
      <c r="AN77" s="4"/>
      <c r="AO77" s="4"/>
      <c r="AP77" s="4"/>
      <c r="AQ77" s="4"/>
      <c r="AR77" s="4"/>
      <c r="AS77" s="4"/>
      <c r="AT77" s="4"/>
      <c r="AV77" s="4"/>
      <c r="AW77" s="4">
        <v>6996</v>
      </c>
      <c r="AX77" s="4">
        <v>8.73</v>
      </c>
      <c r="AY77" s="4"/>
      <c r="AZ77" s="4">
        <f t="shared" si="7"/>
        <v>41.876287192360493</v>
      </c>
      <c r="BA77" s="4"/>
      <c r="BB77" s="4"/>
      <c r="BC77" s="4"/>
      <c r="BD77" s="4">
        <v>45.44</v>
      </c>
      <c r="BE77" s="4">
        <v>48.15</v>
      </c>
      <c r="BF77" s="4">
        <v>46.28</v>
      </c>
      <c r="BG77" s="4"/>
      <c r="BH77" s="4"/>
      <c r="BI77" s="4"/>
      <c r="BJ77" s="4"/>
      <c r="BK77" s="4"/>
      <c r="BL77" s="4"/>
      <c r="BM77" s="4">
        <f>3.65*BD77/100</f>
        <v>1.65856</v>
      </c>
      <c r="BN77" s="4">
        <f>11.33*BE77/100</f>
        <v>5.4553949999999993</v>
      </c>
      <c r="BO77" s="4">
        <f>79.42*BF77/100</f>
        <v>36.755575999999998</v>
      </c>
      <c r="BP77" s="4">
        <f>BM77+BN77+BO77</f>
        <v>43.869530999999995</v>
      </c>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2" t="s">
        <v>535</v>
      </c>
      <c r="CQ77" s="2" t="s">
        <v>254</v>
      </c>
      <c r="CR77" s="10" t="s">
        <v>520</v>
      </c>
      <c r="CS77" s="9" t="s">
        <v>256</v>
      </c>
    </row>
    <row r="78" spans="1:97" s="2" customFormat="1" ht="12.75">
      <c r="A78" s="2">
        <v>75</v>
      </c>
      <c r="B78" s="2" t="s">
        <v>114</v>
      </c>
      <c r="C78" s="2" t="s">
        <v>536</v>
      </c>
      <c r="D78" s="4" t="s">
        <v>507</v>
      </c>
      <c r="E78" s="2" t="s">
        <v>537</v>
      </c>
      <c r="F78" s="2" t="s">
        <v>538</v>
      </c>
      <c r="G78" s="2">
        <v>2004</v>
      </c>
      <c r="H78" s="2">
        <v>2007</v>
      </c>
      <c r="I78" s="2">
        <v>1</v>
      </c>
      <c r="J78" s="2">
        <v>1</v>
      </c>
      <c r="K78" s="2">
        <v>1</v>
      </c>
      <c r="L78" s="2">
        <v>1</v>
      </c>
      <c r="M78" s="2">
        <v>0</v>
      </c>
      <c r="N78" s="2">
        <v>0</v>
      </c>
      <c r="O78" s="4">
        <f>(11+22)/2</f>
        <v>16.5</v>
      </c>
      <c r="P78" s="4">
        <f t="shared" si="8"/>
        <v>138</v>
      </c>
      <c r="Q78" s="4">
        <f>(1900+2500)/2</f>
        <v>2200</v>
      </c>
      <c r="R78" s="4">
        <v>0</v>
      </c>
      <c r="S78" s="4">
        <f>(900+1200)/2</f>
        <v>1050</v>
      </c>
      <c r="T78" s="4">
        <v>82.666669999999996</v>
      </c>
      <c r="U78" s="4">
        <v>1561.7</v>
      </c>
      <c r="V78" s="4">
        <v>1.2250000000000001</v>
      </c>
      <c r="W78" s="4"/>
      <c r="X78" s="4"/>
      <c r="Y78" s="4"/>
      <c r="Z78" s="4"/>
      <c r="AA78" s="4"/>
      <c r="AB78" s="4"/>
      <c r="AC78" s="4"/>
      <c r="AD78" s="4"/>
      <c r="AE78" s="4"/>
      <c r="AF78" s="4"/>
      <c r="AG78" s="4"/>
      <c r="AH78" s="4"/>
      <c r="AI78" s="4"/>
      <c r="AJ78" s="4"/>
      <c r="AK78" s="4"/>
      <c r="AL78" s="4"/>
      <c r="AM78" s="4"/>
      <c r="AN78" s="4"/>
      <c r="AO78" s="4"/>
      <c r="AP78" s="4"/>
      <c r="AQ78" s="4"/>
      <c r="AR78" s="4"/>
      <c r="AS78" s="4"/>
      <c r="AT78" s="4"/>
      <c r="AV78" s="4"/>
      <c r="AW78" s="4">
        <v>7188</v>
      </c>
      <c r="AX78" s="4">
        <v>8.8699999999999992</v>
      </c>
      <c r="AY78" s="4"/>
      <c r="AZ78" s="4">
        <f t="shared" si="7"/>
        <v>44.41658755718521</v>
      </c>
      <c r="BA78" s="4"/>
      <c r="BB78" s="4"/>
      <c r="BC78" s="4"/>
      <c r="BD78" s="4">
        <v>45.44</v>
      </c>
      <c r="BE78" s="4">
        <v>48.15</v>
      </c>
      <c r="BF78" s="4">
        <v>46.28</v>
      </c>
      <c r="BG78" s="4"/>
      <c r="BH78" s="4"/>
      <c r="BI78" s="4"/>
      <c r="BJ78" s="4"/>
      <c r="BK78" s="4"/>
      <c r="BL78" s="4"/>
      <c r="BM78" s="4">
        <f>2.89*BD78/100</f>
        <v>1.3132159999999999</v>
      </c>
      <c r="BN78" s="4">
        <f>9.91*BE78/100</f>
        <v>4.7716649999999996</v>
      </c>
      <c r="BO78" s="4">
        <f>67.23*BF78/100</f>
        <v>31.114044000000003</v>
      </c>
      <c r="BP78" s="4">
        <f>BM78+BN78+BO78</f>
        <v>37.198925000000003</v>
      </c>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2" t="s">
        <v>519</v>
      </c>
      <c r="CQ78" s="2" t="s">
        <v>254</v>
      </c>
      <c r="CR78" s="10" t="s">
        <v>520</v>
      </c>
      <c r="CS78" s="9" t="s">
        <v>256</v>
      </c>
    </row>
    <row r="79" spans="1:97" s="2" customFormat="1" ht="12.75">
      <c r="A79" s="2">
        <v>76</v>
      </c>
      <c r="B79" s="2" t="s">
        <v>114</v>
      </c>
      <c r="C79" s="2" t="s">
        <v>506</v>
      </c>
      <c r="D79" s="4" t="s">
        <v>507</v>
      </c>
      <c r="E79" s="2" t="s">
        <v>539</v>
      </c>
      <c r="F79" s="2" t="s">
        <v>540</v>
      </c>
      <c r="G79" s="2">
        <v>2008</v>
      </c>
      <c r="H79" s="2">
        <v>2009</v>
      </c>
      <c r="I79" s="2">
        <v>1</v>
      </c>
      <c r="J79" s="2">
        <v>1</v>
      </c>
      <c r="K79" s="2">
        <v>0</v>
      </c>
      <c r="L79" s="2">
        <v>1</v>
      </c>
      <c r="M79" s="2">
        <v>0</v>
      </c>
      <c r="N79" s="2">
        <v>0</v>
      </c>
      <c r="O79" s="4">
        <v>23</v>
      </c>
      <c r="P79" s="4">
        <f t="shared" si="8"/>
        <v>216</v>
      </c>
      <c r="Q79" s="4">
        <v>2600</v>
      </c>
      <c r="R79" s="4">
        <v>0</v>
      </c>
      <c r="S79" s="4">
        <v>1135</v>
      </c>
      <c r="T79" s="4">
        <v>81.458330000000004</v>
      </c>
      <c r="U79" s="4">
        <v>1222</v>
      </c>
      <c r="V79" s="4">
        <v>0.65833299999999995</v>
      </c>
      <c r="W79" s="4"/>
      <c r="X79" s="4"/>
      <c r="Y79" s="4"/>
      <c r="Z79" s="4"/>
      <c r="AA79" s="4"/>
      <c r="AB79" s="4"/>
      <c r="AC79" s="4"/>
      <c r="AD79" s="4"/>
      <c r="AE79" s="4"/>
      <c r="AF79" s="4"/>
      <c r="AG79" s="4"/>
      <c r="AH79" s="4"/>
      <c r="AI79" s="4"/>
      <c r="AJ79" s="4"/>
      <c r="AK79" s="4"/>
      <c r="AL79" s="4"/>
      <c r="AM79" s="4"/>
      <c r="AN79" s="4"/>
      <c r="AO79" s="4"/>
      <c r="AP79" s="4"/>
      <c r="AQ79" s="4"/>
      <c r="AR79" s="4"/>
      <c r="AS79" s="4"/>
      <c r="AT79" s="4"/>
      <c r="AV79" s="4"/>
      <c r="AW79" s="4">
        <v>5167</v>
      </c>
      <c r="AX79" s="4">
        <v>8.9</v>
      </c>
      <c r="AY79" s="4">
        <v>12.6</v>
      </c>
      <c r="AZ79" s="4">
        <f t="shared" si="7"/>
        <v>32.144624449685232</v>
      </c>
      <c r="BA79" s="4"/>
      <c r="BB79" s="4"/>
      <c r="BC79" s="4"/>
      <c r="BD79" s="4"/>
      <c r="BE79" s="4"/>
      <c r="BF79" s="4"/>
      <c r="BG79" s="4"/>
      <c r="BH79" s="4"/>
      <c r="BI79" s="4"/>
      <c r="BJ79" s="4"/>
      <c r="BK79" s="4"/>
      <c r="BL79" s="4"/>
      <c r="BM79" s="4">
        <f>2.8*0.5</f>
        <v>1.4</v>
      </c>
      <c r="BN79" s="4">
        <f>9.7*0.5</f>
        <v>4.8499999999999996</v>
      </c>
      <c r="BO79" s="4">
        <f>61*0.5</f>
        <v>30.5</v>
      </c>
      <c r="BP79" s="4">
        <f>SUM(BM79:BO79)</f>
        <v>36.75</v>
      </c>
      <c r="BQ79" s="4">
        <f>BU79/BP79</f>
        <v>1.2394557823129251</v>
      </c>
      <c r="BR79" s="4">
        <f>6.2*0.5</f>
        <v>3.1</v>
      </c>
      <c r="BS79" s="4">
        <f>64.5*0.5</f>
        <v>32.25</v>
      </c>
      <c r="BT79" s="4">
        <f>20.4*0.5</f>
        <v>10.199999999999999</v>
      </c>
      <c r="BU79" s="4">
        <f>SUM(BR79:BT79)</f>
        <v>45.55</v>
      </c>
      <c r="BV79" s="4">
        <f>BU79+BP79</f>
        <v>82.3</v>
      </c>
      <c r="BW79" s="4"/>
      <c r="BX79" s="4"/>
      <c r="BY79" s="4"/>
      <c r="BZ79" s="4"/>
      <c r="CA79" s="4">
        <f>0.3*0.5</f>
        <v>0.15</v>
      </c>
      <c r="CB79" s="4">
        <f>1.2*0.5</f>
        <v>0.6</v>
      </c>
      <c r="CC79" s="4">
        <f>7.8*0.5</f>
        <v>3.9</v>
      </c>
      <c r="CD79" s="4"/>
      <c r="CE79" s="4"/>
      <c r="CF79" s="4">
        <f>SUM(CA79:CD79)</f>
        <v>4.6500000000000004</v>
      </c>
      <c r="CG79" s="4"/>
      <c r="CH79" s="4"/>
      <c r="CI79" s="4"/>
      <c r="CJ79" s="4"/>
      <c r="CK79" s="4"/>
      <c r="CL79" s="4"/>
      <c r="CM79" s="4"/>
      <c r="CN79" s="4"/>
      <c r="CO79" s="4"/>
      <c r="CP79" s="2" t="s">
        <v>541</v>
      </c>
      <c r="CQ79" s="2" t="s">
        <v>254</v>
      </c>
      <c r="CR79" s="10" t="s">
        <v>511</v>
      </c>
      <c r="CS79" s="9" t="s">
        <v>256</v>
      </c>
    </row>
    <row r="80" spans="1:97" s="2" customFormat="1" ht="12.75">
      <c r="A80" s="2">
        <v>77</v>
      </c>
      <c r="B80" s="2" t="s">
        <v>114</v>
      </c>
      <c r="C80" s="2" t="s">
        <v>506</v>
      </c>
      <c r="D80" s="4" t="s">
        <v>507</v>
      </c>
      <c r="E80" s="2" t="s">
        <v>542</v>
      </c>
      <c r="F80" s="2" t="s">
        <v>543</v>
      </c>
      <c r="G80" s="2">
        <v>2008</v>
      </c>
      <c r="H80" s="2">
        <v>2009</v>
      </c>
      <c r="I80" s="2">
        <v>1</v>
      </c>
      <c r="J80" s="2">
        <v>1</v>
      </c>
      <c r="K80" s="2">
        <v>0</v>
      </c>
      <c r="L80" s="2">
        <v>1</v>
      </c>
      <c r="M80" s="2">
        <v>0</v>
      </c>
      <c r="N80" s="2">
        <v>0</v>
      </c>
      <c r="O80" s="4">
        <v>23</v>
      </c>
      <c r="P80" s="4">
        <f t="shared" si="8"/>
        <v>216</v>
      </c>
      <c r="Q80" s="4">
        <v>2600</v>
      </c>
      <c r="R80" s="4">
        <v>0</v>
      </c>
      <c r="S80" s="4">
        <v>1135</v>
      </c>
      <c r="T80" s="4">
        <v>81.458330000000004</v>
      </c>
      <c r="U80" s="4">
        <v>1222</v>
      </c>
      <c r="V80" s="4">
        <v>0.65833299999999995</v>
      </c>
      <c r="W80" s="4"/>
      <c r="X80" s="4"/>
      <c r="Y80" s="4"/>
      <c r="Z80" s="4"/>
      <c r="AA80" s="4"/>
      <c r="AB80" s="4"/>
      <c r="AC80" s="4"/>
      <c r="AD80" s="4"/>
      <c r="AE80" s="4"/>
      <c r="AF80" s="4"/>
      <c r="AG80" s="4"/>
      <c r="AH80" s="4"/>
      <c r="AI80" s="4"/>
      <c r="AJ80" s="4"/>
      <c r="AK80" s="4"/>
      <c r="AL80" s="4"/>
      <c r="AM80" s="4"/>
      <c r="AN80" s="4"/>
      <c r="AO80" s="4"/>
      <c r="AP80" s="4"/>
      <c r="AQ80" s="4"/>
      <c r="AR80" s="4"/>
      <c r="AS80" s="4"/>
      <c r="AT80" s="4"/>
      <c r="AV80" s="4"/>
      <c r="AW80" s="4">
        <v>5733</v>
      </c>
      <c r="AX80" s="4">
        <v>9.1</v>
      </c>
      <c r="AY80" s="4">
        <v>13.2</v>
      </c>
      <c r="AZ80" s="4">
        <f t="shared" si="7"/>
        <v>37.286756601543445</v>
      </c>
      <c r="BA80" s="4"/>
      <c r="BB80" s="4"/>
      <c r="BC80" s="4"/>
      <c r="BD80" s="4"/>
      <c r="BE80" s="4"/>
      <c r="BF80" s="4"/>
      <c r="BG80" s="4"/>
      <c r="BH80" s="4"/>
      <c r="BI80" s="4"/>
      <c r="BJ80" s="4"/>
      <c r="BK80" s="4"/>
      <c r="BL80" s="4"/>
      <c r="BM80" s="4">
        <f>3.2*0.5</f>
        <v>1.6</v>
      </c>
      <c r="BN80" s="4">
        <f>10.8*0.5</f>
        <v>5.4</v>
      </c>
      <c r="BO80" s="4">
        <f>69.9*0.5</f>
        <v>34.950000000000003</v>
      </c>
      <c r="BP80" s="4">
        <f>SUM(BM80:BO80)</f>
        <v>41.95</v>
      </c>
      <c r="BQ80" s="4">
        <f>BU80/BP80</f>
        <v>1.1108462455303934</v>
      </c>
      <c r="BR80" s="4">
        <f>6.1*0.5</f>
        <v>3.05</v>
      </c>
      <c r="BS80" s="4">
        <f>63.4*0.5</f>
        <v>31.7</v>
      </c>
      <c r="BT80" s="4">
        <f>23.7*0.5</f>
        <v>11.85</v>
      </c>
      <c r="BU80" s="4">
        <f>SUM(BR80:BT80)</f>
        <v>46.6</v>
      </c>
      <c r="BV80" s="4">
        <f>BU80+BP80</f>
        <v>88.550000000000011</v>
      </c>
      <c r="BW80" s="4"/>
      <c r="BX80" s="4"/>
      <c r="BY80" s="4"/>
      <c r="BZ80" s="4"/>
      <c r="CA80" s="4">
        <f>0.2*0.5</f>
        <v>0.1</v>
      </c>
      <c r="CB80" s="4">
        <f>0.9*0.5</f>
        <v>0.45</v>
      </c>
      <c r="CC80" s="4">
        <f>5.8*0.5</f>
        <v>2.9</v>
      </c>
      <c r="CD80" s="4"/>
      <c r="CE80" s="4"/>
      <c r="CF80" s="4">
        <f>SUM(CA80:CD80)</f>
        <v>3.45</v>
      </c>
      <c r="CG80" s="4"/>
      <c r="CH80" s="4"/>
      <c r="CI80" s="4"/>
      <c r="CJ80" s="4"/>
      <c r="CK80" s="4"/>
      <c r="CL80" s="4"/>
      <c r="CM80" s="4"/>
      <c r="CN80" s="4"/>
      <c r="CO80" s="4"/>
      <c r="CP80" s="2" t="s">
        <v>541</v>
      </c>
      <c r="CQ80" s="2" t="s">
        <v>254</v>
      </c>
      <c r="CR80" s="10" t="s">
        <v>511</v>
      </c>
      <c r="CS80" s="9" t="s">
        <v>256</v>
      </c>
    </row>
    <row r="81" spans="1:97" s="2" customFormat="1" ht="12.75">
      <c r="A81" s="2">
        <v>78</v>
      </c>
      <c r="B81" s="2" t="s">
        <v>114</v>
      </c>
      <c r="C81" s="2" t="s">
        <v>544</v>
      </c>
      <c r="D81" s="4" t="s">
        <v>116</v>
      </c>
      <c r="E81" s="2" t="s">
        <v>545</v>
      </c>
      <c r="F81" s="2" t="s">
        <v>546</v>
      </c>
      <c r="G81" s="2">
        <v>2008</v>
      </c>
      <c r="H81" s="2">
        <v>2008</v>
      </c>
      <c r="I81" s="2">
        <v>1</v>
      </c>
      <c r="J81" s="2">
        <v>1</v>
      </c>
      <c r="K81" s="2">
        <v>0</v>
      </c>
      <c r="L81" s="2">
        <v>1</v>
      </c>
      <c r="M81" s="2">
        <v>0</v>
      </c>
      <c r="N81" s="2">
        <v>0</v>
      </c>
      <c r="O81" s="4">
        <v>15.3</v>
      </c>
      <c r="P81" s="4">
        <f t="shared" si="8"/>
        <v>123.60000000000001</v>
      </c>
      <c r="Q81" s="4">
        <v>1558</v>
      </c>
      <c r="R81" s="4">
        <v>0</v>
      </c>
      <c r="S81" s="4">
        <v>769</v>
      </c>
      <c r="T81" s="4">
        <v>82.666669999999996</v>
      </c>
      <c r="U81" s="4">
        <v>1561.7</v>
      </c>
      <c r="V81" s="4">
        <v>1.2250000000000001</v>
      </c>
      <c r="W81" s="4"/>
      <c r="X81" s="4"/>
      <c r="Y81" s="4"/>
      <c r="Z81" s="4"/>
      <c r="AA81" s="4"/>
      <c r="AB81" s="4"/>
      <c r="AC81" s="4"/>
      <c r="AD81" s="4"/>
      <c r="AE81" s="4"/>
      <c r="AF81" s="4"/>
      <c r="AG81" s="4"/>
      <c r="AH81" s="4"/>
      <c r="AI81" s="4"/>
      <c r="AJ81" s="4"/>
      <c r="AK81" s="4"/>
      <c r="AL81" s="4"/>
      <c r="AM81" s="4"/>
      <c r="AN81" s="4"/>
      <c r="AO81" s="4"/>
      <c r="AP81" s="4"/>
      <c r="AQ81" s="4"/>
      <c r="AR81" s="4"/>
      <c r="AS81" s="4"/>
      <c r="AT81" s="4"/>
      <c r="AV81" s="4"/>
      <c r="AW81" s="4">
        <v>5733</v>
      </c>
      <c r="AX81" s="4">
        <v>6.3</v>
      </c>
      <c r="AY81" s="4"/>
      <c r="AZ81" s="4">
        <f t="shared" si="7"/>
        <v>17.871167365236797</v>
      </c>
      <c r="BA81" s="4"/>
      <c r="BB81" s="4"/>
      <c r="BC81" s="4"/>
      <c r="BD81" s="4"/>
      <c r="BE81" s="4"/>
      <c r="BF81" s="4"/>
      <c r="BG81" s="4"/>
      <c r="BH81" s="4"/>
      <c r="BI81" s="4"/>
      <c r="BJ81" s="4"/>
      <c r="BK81" s="4"/>
      <c r="BL81" s="4"/>
      <c r="BM81" s="4"/>
      <c r="BN81" s="4"/>
      <c r="BO81" s="4"/>
      <c r="BP81" s="4">
        <v>38.4</v>
      </c>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2" t="s">
        <v>547</v>
      </c>
      <c r="CQ81" s="2" t="s">
        <v>254</v>
      </c>
      <c r="CR81" s="10" t="s">
        <v>548</v>
      </c>
      <c r="CS81" s="9" t="s">
        <v>256</v>
      </c>
    </row>
    <row r="82" spans="1:97" s="2" customFormat="1" ht="12.75">
      <c r="A82" s="2">
        <v>79</v>
      </c>
      <c r="B82" s="2" t="s">
        <v>114</v>
      </c>
      <c r="C82" s="2" t="s">
        <v>544</v>
      </c>
      <c r="D82" s="4" t="s">
        <v>116</v>
      </c>
      <c r="E82" s="2" t="s">
        <v>549</v>
      </c>
      <c r="F82" s="2" t="s">
        <v>550</v>
      </c>
      <c r="G82" s="2">
        <v>2008</v>
      </c>
      <c r="H82" s="2">
        <v>2014</v>
      </c>
      <c r="I82" s="2">
        <v>0</v>
      </c>
      <c r="J82" s="2">
        <v>0</v>
      </c>
      <c r="K82" s="2">
        <v>0</v>
      </c>
      <c r="L82" s="2">
        <v>0</v>
      </c>
      <c r="M82" s="2">
        <v>0</v>
      </c>
      <c r="N82" s="2">
        <v>0</v>
      </c>
      <c r="O82" s="4">
        <v>15.3</v>
      </c>
      <c r="P82" s="4">
        <f t="shared" si="8"/>
        <v>123.60000000000001</v>
      </c>
      <c r="Q82" s="4">
        <v>1558</v>
      </c>
      <c r="R82" s="4">
        <v>0</v>
      </c>
      <c r="S82" s="4">
        <v>769</v>
      </c>
      <c r="T82" s="4">
        <v>82.666669999999996</v>
      </c>
      <c r="U82" s="4">
        <v>1561.7</v>
      </c>
      <c r="V82" s="4">
        <v>1.2250000000000001</v>
      </c>
      <c r="W82" s="4"/>
      <c r="X82" s="4"/>
      <c r="Y82" s="4"/>
      <c r="Z82" s="4"/>
      <c r="AA82" s="4"/>
      <c r="AB82" s="4"/>
      <c r="AC82" s="4"/>
      <c r="AD82" s="4"/>
      <c r="AE82" s="4"/>
      <c r="AF82" s="4"/>
      <c r="AG82" s="4"/>
      <c r="AH82" s="4"/>
      <c r="AI82" s="4"/>
      <c r="AJ82" s="4"/>
      <c r="AK82" s="4"/>
      <c r="AL82" s="4"/>
      <c r="AM82" s="4"/>
      <c r="AN82" s="4"/>
      <c r="AO82" s="4"/>
      <c r="AP82" s="4"/>
      <c r="AQ82" s="4"/>
      <c r="AR82" s="4"/>
      <c r="AS82" s="4"/>
      <c r="AT82" s="4"/>
      <c r="AV82" s="4"/>
      <c r="AW82" s="4">
        <v>13067</v>
      </c>
      <c r="AX82" s="4">
        <v>5.5</v>
      </c>
      <c r="AY82" s="4"/>
      <c r="AZ82" s="4">
        <f t="shared" si="7"/>
        <v>31.044963348371233</v>
      </c>
      <c r="BA82" s="4"/>
      <c r="BB82" s="4"/>
      <c r="BC82" s="4"/>
      <c r="BD82" s="4"/>
      <c r="BE82" s="4"/>
      <c r="BF82" s="4"/>
      <c r="BG82" s="4"/>
      <c r="BH82" s="4"/>
      <c r="BI82" s="4"/>
      <c r="BJ82" s="4"/>
      <c r="BK82" s="4"/>
      <c r="BL82" s="4"/>
      <c r="BM82" s="4"/>
      <c r="BN82" s="4"/>
      <c r="BO82" s="4"/>
      <c r="BP82" s="4">
        <v>60.4</v>
      </c>
      <c r="BQ82" s="4"/>
      <c r="BR82" s="4"/>
      <c r="BS82" s="4"/>
      <c r="BT82" s="4"/>
      <c r="BU82" s="4"/>
      <c r="BV82" s="4"/>
      <c r="BW82" s="4"/>
      <c r="BX82" s="4"/>
      <c r="BY82" s="4"/>
      <c r="BZ82" s="4"/>
      <c r="CA82" s="4"/>
      <c r="CB82" s="4"/>
      <c r="CC82" s="4"/>
      <c r="CD82" s="4"/>
      <c r="CE82" s="4"/>
      <c r="CF82" s="4">
        <f>((51.7-53.2)+(53.2-60.4)+(60.4-59.2)+(59.2-49.8)+(49.8-46.7)+(46.7-38.4))/6</f>
        <v>2.2166666666666672</v>
      </c>
      <c r="CG82" s="4"/>
      <c r="CH82" s="4"/>
      <c r="CI82" s="4"/>
      <c r="CJ82" s="4"/>
      <c r="CK82" s="4"/>
      <c r="CL82" s="4"/>
      <c r="CM82" s="4"/>
      <c r="CN82" s="4"/>
      <c r="CO82" s="4"/>
      <c r="CP82" s="2" t="s">
        <v>547</v>
      </c>
      <c r="CQ82" s="2" t="s">
        <v>254</v>
      </c>
      <c r="CR82" s="10" t="s">
        <v>548</v>
      </c>
      <c r="CS82" s="9" t="s">
        <v>256</v>
      </c>
    </row>
    <row r="83" spans="1:97" s="2" customFormat="1" ht="12.75">
      <c r="A83" s="2">
        <v>80</v>
      </c>
      <c r="B83" s="2" t="s">
        <v>114</v>
      </c>
      <c r="C83" s="2" t="s">
        <v>551</v>
      </c>
      <c r="D83" s="4" t="s">
        <v>507</v>
      </c>
      <c r="E83" s="2" t="s">
        <v>552</v>
      </c>
      <c r="F83" s="14" t="s">
        <v>553</v>
      </c>
      <c r="G83" s="2">
        <v>2012</v>
      </c>
      <c r="H83" s="2">
        <v>2012</v>
      </c>
      <c r="I83" s="2">
        <v>1</v>
      </c>
      <c r="J83" s="2">
        <v>1</v>
      </c>
      <c r="K83" s="2">
        <v>1</v>
      </c>
      <c r="L83" s="2">
        <v>0</v>
      </c>
      <c r="M83" s="2">
        <v>0</v>
      </c>
      <c r="N83" s="2">
        <v>0</v>
      </c>
      <c r="O83" s="4">
        <v>17.2</v>
      </c>
      <c r="P83" s="4">
        <f t="shared" si="8"/>
        <v>146.39999999999998</v>
      </c>
      <c r="Q83" s="4">
        <v>3030</v>
      </c>
      <c r="R83" s="4">
        <v>0</v>
      </c>
      <c r="S83" s="4">
        <v>1120</v>
      </c>
      <c r="T83" s="4">
        <v>83.666666666666671</v>
      </c>
      <c r="U83" s="4">
        <v>1388.8000000000002</v>
      </c>
      <c r="V83" s="4">
        <v>1.1000000000000003</v>
      </c>
      <c r="W83" s="4"/>
      <c r="X83" s="4"/>
      <c r="Y83" s="4">
        <v>4.0999999999999996</v>
      </c>
      <c r="Z83" s="4"/>
      <c r="AA83" s="4"/>
      <c r="AB83" s="4"/>
      <c r="AC83" s="4"/>
      <c r="AD83" s="4"/>
      <c r="AE83" s="4"/>
      <c r="AF83" s="4"/>
      <c r="AG83" s="4"/>
      <c r="AH83" s="4"/>
      <c r="AI83" s="4"/>
      <c r="AJ83" s="4"/>
      <c r="AK83" s="4"/>
      <c r="AL83" s="4"/>
      <c r="AM83" s="4"/>
      <c r="AN83" s="4"/>
      <c r="AO83" s="4"/>
      <c r="AP83" s="4"/>
      <c r="AQ83" s="4"/>
      <c r="AR83" s="4"/>
      <c r="AS83" s="4"/>
      <c r="AT83" s="4"/>
      <c r="AV83" s="4"/>
      <c r="AW83" s="4">
        <v>3954</v>
      </c>
      <c r="AX83" s="4">
        <v>8.4</v>
      </c>
      <c r="AY83" s="4">
        <v>12</v>
      </c>
      <c r="AZ83" s="4">
        <f>(AX83/2)^2*PI()*AW83/10000</f>
        <v>21.912156369446688</v>
      </c>
      <c r="BA83" s="4"/>
      <c r="BB83" s="4"/>
      <c r="BC83" s="4"/>
      <c r="BD83" s="4">
        <v>47.6</v>
      </c>
      <c r="BE83" s="4">
        <v>43.5</v>
      </c>
      <c r="BF83" s="4">
        <v>49.5</v>
      </c>
      <c r="BG83" s="4">
        <v>43.4</v>
      </c>
      <c r="BH83" s="4">
        <v>49.4</v>
      </c>
      <c r="BI83" s="4">
        <v>48.4</v>
      </c>
      <c r="BJ83" s="4">
        <v>49.5</v>
      </c>
      <c r="BK83" s="4">
        <v>4.05</v>
      </c>
      <c r="BL83" s="4">
        <f>(2.57+1.93)/2</f>
        <v>2.25</v>
      </c>
      <c r="BM83" s="4">
        <v>2.06</v>
      </c>
      <c r="BN83" s="4">
        <v>3.73</v>
      </c>
      <c r="BO83" s="4">
        <v>21.47</v>
      </c>
      <c r="BP83" s="4">
        <f>SUM(BM83:BO83)</f>
        <v>27.259999999999998</v>
      </c>
      <c r="BQ83" s="4"/>
      <c r="BR83" s="4"/>
      <c r="BS83" s="4"/>
      <c r="BT83" s="4"/>
      <c r="BU83" s="4"/>
      <c r="BV83" s="4"/>
      <c r="BW83" s="4"/>
      <c r="BX83" s="4"/>
      <c r="BY83" s="4"/>
      <c r="BZ83" s="4"/>
      <c r="CA83" s="4">
        <v>0.38</v>
      </c>
      <c r="CB83" s="4">
        <v>0.69</v>
      </c>
      <c r="CC83" s="4">
        <v>4.05</v>
      </c>
      <c r="CD83" s="4">
        <v>1.99</v>
      </c>
      <c r="CE83" s="4">
        <f>CD83+CA83</f>
        <v>2.37</v>
      </c>
      <c r="CF83" s="4">
        <f>SUM(CA83:CD83)</f>
        <v>7.1099999999999994</v>
      </c>
      <c r="CG83" s="4">
        <v>0.8</v>
      </c>
      <c r="CH83" s="4">
        <v>0.59</v>
      </c>
      <c r="CI83" s="4"/>
      <c r="CJ83" s="4">
        <f>SUM(CG83:CI83)</f>
        <v>1.3900000000000001</v>
      </c>
      <c r="CK83" s="4">
        <f>CJ83+CF83</f>
        <v>8.5</v>
      </c>
      <c r="CL83" s="4">
        <v>11.21</v>
      </c>
      <c r="CM83" s="4">
        <v>4.4800000000000004</v>
      </c>
      <c r="CN83" s="4">
        <f>CL83-CM83</f>
        <v>6.73</v>
      </c>
      <c r="CO83" s="4">
        <f>CK83-CM83</f>
        <v>4.0199999999999996</v>
      </c>
      <c r="CP83" s="2" t="s">
        <v>554</v>
      </c>
      <c r="CQ83" s="2" t="s">
        <v>254</v>
      </c>
      <c r="CR83" s="10" t="s">
        <v>555</v>
      </c>
      <c r="CS83" s="9" t="s">
        <v>256</v>
      </c>
    </row>
    <row r="84" spans="1:97" s="2" customFormat="1" ht="12.75">
      <c r="A84" s="15">
        <v>81</v>
      </c>
      <c r="B84" s="15" t="s">
        <v>114</v>
      </c>
      <c r="C84" s="15" t="s">
        <v>551</v>
      </c>
      <c r="D84" s="16" t="s">
        <v>507</v>
      </c>
      <c r="E84" s="15" t="s">
        <v>556</v>
      </c>
      <c r="F84" s="17" t="s">
        <v>557</v>
      </c>
      <c r="G84" s="15">
        <v>2012</v>
      </c>
      <c r="H84" s="15">
        <v>2015</v>
      </c>
      <c r="I84" s="15">
        <v>0</v>
      </c>
      <c r="J84" s="15">
        <v>0</v>
      </c>
      <c r="K84" s="15">
        <v>0</v>
      </c>
      <c r="L84" s="15">
        <v>0</v>
      </c>
      <c r="M84" s="15">
        <v>0</v>
      </c>
      <c r="N84" s="15">
        <v>0</v>
      </c>
      <c r="O84" s="16">
        <v>18.600000000000001</v>
      </c>
      <c r="P84" s="16">
        <f t="shared" si="8"/>
        <v>163.20000000000002</v>
      </c>
      <c r="Q84" s="16">
        <v>2407</v>
      </c>
      <c r="R84" s="16">
        <v>0</v>
      </c>
      <c r="S84" s="16">
        <v>1120</v>
      </c>
      <c r="T84" s="16">
        <v>83.104169999999996</v>
      </c>
      <c r="U84" s="16">
        <v>1541.15</v>
      </c>
      <c r="V84" s="16">
        <v>1.077083</v>
      </c>
      <c r="W84" s="16"/>
      <c r="X84" s="16"/>
      <c r="Y84" s="16">
        <v>4.0999999999999996</v>
      </c>
      <c r="Z84" s="16"/>
      <c r="AA84" s="16"/>
      <c r="AB84" s="16"/>
      <c r="AC84" s="16"/>
      <c r="AD84" s="16"/>
      <c r="AE84" s="16"/>
      <c r="AF84" s="16"/>
      <c r="AG84" s="16"/>
      <c r="AH84" s="16"/>
      <c r="AI84" s="16"/>
      <c r="AJ84" s="16"/>
      <c r="AK84" s="16"/>
      <c r="AL84" s="16"/>
      <c r="AM84" s="16"/>
      <c r="AN84" s="16"/>
      <c r="AO84" s="16"/>
      <c r="AP84" s="16"/>
      <c r="AQ84" s="16"/>
      <c r="AR84" s="16"/>
      <c r="AS84" s="16"/>
      <c r="AT84" s="16"/>
      <c r="AU84" s="15"/>
      <c r="AV84" s="16"/>
      <c r="AW84" s="16">
        <v>6000</v>
      </c>
      <c r="AX84" s="16"/>
      <c r="AY84" s="16"/>
      <c r="AZ84" s="16"/>
      <c r="BA84" s="16"/>
      <c r="BB84" s="16"/>
      <c r="BC84" s="16"/>
      <c r="BD84" s="16">
        <v>47.6</v>
      </c>
      <c r="BE84" s="16">
        <v>43.5</v>
      </c>
      <c r="BF84" s="16">
        <v>49.5</v>
      </c>
      <c r="BG84" s="16">
        <v>43.4</v>
      </c>
      <c r="BH84" s="16">
        <v>49.4</v>
      </c>
      <c r="BI84" s="16">
        <v>48.4</v>
      </c>
      <c r="BJ84" s="16">
        <v>49.5</v>
      </c>
      <c r="BK84" s="16">
        <v>4.05</v>
      </c>
      <c r="BL84" s="16">
        <f>(2.57+1.93)/2</f>
        <v>2.25</v>
      </c>
      <c r="BM84" s="16">
        <v>3.13</v>
      </c>
      <c r="BN84" s="16">
        <v>5.65</v>
      </c>
      <c r="BO84" s="16">
        <v>33.26</v>
      </c>
      <c r="BP84" s="16">
        <f>SUM(BM84:BO84)</f>
        <v>42.04</v>
      </c>
      <c r="BQ84" s="16">
        <f>BU84/BP84</f>
        <v>0.80137963843958127</v>
      </c>
      <c r="BR84" s="16">
        <v>6.48</v>
      </c>
      <c r="BS84" s="16">
        <v>27.21</v>
      </c>
      <c r="BT84" s="16"/>
      <c r="BU84" s="16">
        <f>SUM(BR84:BT84)</f>
        <v>33.69</v>
      </c>
      <c r="BV84" s="16">
        <f>BU84+BP84</f>
        <v>75.72999999999999</v>
      </c>
      <c r="BW84" s="16"/>
      <c r="BX84" s="16">
        <v>70.25</v>
      </c>
      <c r="BY84" s="16"/>
      <c r="BZ84" s="16">
        <f>BV84+BX84</f>
        <v>145.97999999999999</v>
      </c>
      <c r="CA84" s="16">
        <v>0.41</v>
      </c>
      <c r="CB84" s="16">
        <v>0.75</v>
      </c>
      <c r="CC84" s="16">
        <v>4.42</v>
      </c>
      <c r="CD84" s="16">
        <v>2.1800000000000002</v>
      </c>
      <c r="CE84" s="4">
        <f>CD84+CA84</f>
        <v>2.5900000000000003</v>
      </c>
      <c r="CF84" s="16">
        <f>SUM(CA84:CD84)</f>
        <v>7.76</v>
      </c>
      <c r="CG84" s="16">
        <v>0.71</v>
      </c>
      <c r="CH84" s="16">
        <v>0.4</v>
      </c>
      <c r="CI84" s="16"/>
      <c r="CJ84" s="16">
        <f>SUM(CG84:CI84)</f>
        <v>1.1099999999999999</v>
      </c>
      <c r="CK84" s="16">
        <f>CJ84+CF84</f>
        <v>8.8699999999999992</v>
      </c>
      <c r="CL84" s="16">
        <v>11.41</v>
      </c>
      <c r="CM84" s="16">
        <v>4.55</v>
      </c>
      <c r="CN84" s="16">
        <f>CL84-CM84</f>
        <v>6.86</v>
      </c>
      <c r="CO84" s="16">
        <f>CK84-CM84</f>
        <v>4.3199999999999994</v>
      </c>
      <c r="CP84" s="15" t="s">
        <v>554</v>
      </c>
      <c r="CQ84" s="15" t="s">
        <v>254</v>
      </c>
      <c r="CR84" s="18" t="s">
        <v>555</v>
      </c>
      <c r="CS84" s="19" t="s">
        <v>256</v>
      </c>
    </row>
    <row r="85" spans="1:97" s="2" customFormat="1" ht="12.75">
      <c r="A85" s="2">
        <v>82</v>
      </c>
      <c r="B85" s="2" t="s">
        <v>558</v>
      </c>
      <c r="C85" s="2" t="s">
        <v>559</v>
      </c>
      <c r="D85" s="4" t="s">
        <v>250</v>
      </c>
      <c r="E85" s="2" t="s">
        <v>560</v>
      </c>
      <c r="F85" s="14" t="s">
        <v>561</v>
      </c>
      <c r="G85" s="2">
        <v>2018</v>
      </c>
      <c r="H85" s="2">
        <v>2018</v>
      </c>
      <c r="I85" s="2">
        <v>1</v>
      </c>
      <c r="J85" s="2">
        <v>1</v>
      </c>
      <c r="K85" s="2">
        <v>1</v>
      </c>
      <c r="L85" s="2">
        <v>1</v>
      </c>
      <c r="M85" s="2">
        <v>0</v>
      </c>
      <c r="N85" s="2">
        <v>0</v>
      </c>
      <c r="O85" s="4">
        <v>16</v>
      </c>
      <c r="P85" s="4">
        <f t="shared" si="8"/>
        <v>132</v>
      </c>
      <c r="Q85" s="4">
        <v>1600</v>
      </c>
      <c r="R85" s="4">
        <v>0</v>
      </c>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V85" s="4"/>
      <c r="AW85" s="4">
        <f>340.466*0+2272.763</f>
        <v>2272.7629999999999</v>
      </c>
      <c r="AX85" s="4">
        <v>10.199999999999999</v>
      </c>
      <c r="AY85" s="4"/>
      <c r="AZ85" s="4">
        <f>(AX85/2)^2*PI()*AW85/10000</f>
        <v>18.571388510335968</v>
      </c>
      <c r="BA85" s="4"/>
      <c r="BB85" s="4"/>
      <c r="BC85" s="4"/>
      <c r="BD85" s="4"/>
      <c r="BE85" s="4"/>
      <c r="BF85" s="4"/>
      <c r="BG85" s="4"/>
      <c r="BH85" s="4"/>
      <c r="BI85" s="4"/>
      <c r="BJ85" s="4"/>
      <c r="BK85" s="4"/>
      <c r="BL85" s="4"/>
      <c r="BM85" s="4"/>
      <c r="BN85" s="4"/>
      <c r="BO85" s="4"/>
      <c r="BP85" s="4">
        <f>BV85/1.36</f>
        <v>19.360294117647054</v>
      </c>
      <c r="BQ85" s="4">
        <v>0.36159999999999998</v>
      </c>
      <c r="BR85" s="4"/>
      <c r="BS85" s="4"/>
      <c r="BT85" s="4"/>
      <c r="BU85" s="4">
        <f>BV85-BP85</f>
        <v>6.9697058823529439</v>
      </c>
      <c r="BV85" s="4">
        <v>26.33</v>
      </c>
      <c r="BW85" s="4">
        <v>2.0699999999999998</v>
      </c>
      <c r="BX85" s="4">
        <f>50.11+44.92</f>
        <v>95.03</v>
      </c>
      <c r="BY85" s="4">
        <f>0.17+0.4</f>
        <v>0.57000000000000006</v>
      </c>
      <c r="BZ85" s="4">
        <f>SUM(BV85:BY85)</f>
        <v>124</v>
      </c>
      <c r="CA85" s="4"/>
      <c r="CB85" s="4"/>
      <c r="CC85" s="4"/>
      <c r="CD85" s="4"/>
      <c r="CE85" s="4"/>
      <c r="CF85" s="4"/>
      <c r="CG85" s="4"/>
      <c r="CH85" s="4"/>
      <c r="CI85" s="4"/>
      <c r="CJ85" s="4"/>
      <c r="CK85" s="4"/>
      <c r="CL85" s="4"/>
      <c r="CM85" s="4"/>
      <c r="CN85" s="4"/>
      <c r="CO85" s="4"/>
      <c r="CP85" s="2" t="s">
        <v>562</v>
      </c>
      <c r="CQ85" s="2" t="s">
        <v>254</v>
      </c>
      <c r="CR85" s="10" t="s">
        <v>563</v>
      </c>
      <c r="CS85" s="9" t="s">
        <v>256</v>
      </c>
    </row>
    <row r="86" spans="1:97" s="2" customFormat="1" ht="12.75">
      <c r="A86" s="2">
        <v>83</v>
      </c>
      <c r="B86" s="2" t="s">
        <v>558</v>
      </c>
      <c r="C86" s="2" t="s">
        <v>559</v>
      </c>
      <c r="D86" s="4" t="s">
        <v>250</v>
      </c>
      <c r="E86" s="2" t="s">
        <v>564</v>
      </c>
      <c r="F86" s="14" t="s">
        <v>565</v>
      </c>
      <c r="G86" s="2">
        <v>2016</v>
      </c>
      <c r="H86" s="2">
        <v>2018</v>
      </c>
      <c r="I86" s="2">
        <v>0</v>
      </c>
      <c r="J86" s="2">
        <v>0</v>
      </c>
      <c r="K86" s="2">
        <v>0</v>
      </c>
      <c r="L86" s="2">
        <v>0</v>
      </c>
      <c r="M86" s="2">
        <v>0</v>
      </c>
      <c r="N86" s="2">
        <v>0</v>
      </c>
      <c r="O86" s="4">
        <v>16</v>
      </c>
      <c r="P86" s="4">
        <f t="shared" si="8"/>
        <v>132</v>
      </c>
      <c r="Q86" s="4">
        <v>1600</v>
      </c>
      <c r="R86" s="4">
        <v>0</v>
      </c>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V86" s="4"/>
      <c r="AW86" s="4">
        <f>340.466*2+2272.763</f>
        <v>2953.6949999999997</v>
      </c>
      <c r="AX86" s="4">
        <v>10.1</v>
      </c>
      <c r="AY86" s="4"/>
      <c r="AZ86" s="4">
        <f t="shared" ref="AZ86:AZ87" si="9">(AX86/2)^2*PI()*AW86/10000</f>
        <v>23.664551434637737</v>
      </c>
      <c r="BA86" s="4"/>
      <c r="BB86" s="4"/>
      <c r="BC86" s="4"/>
      <c r="BD86" s="4"/>
      <c r="BE86" s="4"/>
      <c r="BF86" s="4"/>
      <c r="BG86" s="4"/>
      <c r="BH86" s="4"/>
      <c r="BI86" s="4"/>
      <c r="BJ86" s="4"/>
      <c r="BK86" s="4"/>
      <c r="BL86" s="4"/>
      <c r="BM86" s="4"/>
      <c r="BN86" s="4"/>
      <c r="BO86" s="4"/>
      <c r="BP86" s="4">
        <f t="shared" ref="BP86:BP88" si="10">BV86/1.36</f>
        <v>23.882352941176467</v>
      </c>
      <c r="BQ86" s="4">
        <v>0.36159999999999998</v>
      </c>
      <c r="BR86" s="4"/>
      <c r="BS86" s="4"/>
      <c r="BT86" s="4"/>
      <c r="BU86" s="4">
        <f t="shared" ref="BU86:BU88" si="11">BV86-BP86</f>
        <v>8.5976470588235294</v>
      </c>
      <c r="BV86" s="4">
        <v>32.479999999999997</v>
      </c>
      <c r="BW86" s="4">
        <v>1.43</v>
      </c>
      <c r="BX86" s="4">
        <f>56.29+46.49</f>
        <v>102.78</v>
      </c>
      <c r="BY86" s="4">
        <f>0.3+0.47</f>
        <v>0.77</v>
      </c>
      <c r="BZ86" s="4">
        <f t="shared" ref="BZ86:BZ88" si="12">SUM(BV86:BY86)</f>
        <v>137.46</v>
      </c>
      <c r="CA86" s="4"/>
      <c r="CB86" s="4"/>
      <c r="CC86" s="4"/>
      <c r="CD86" s="4"/>
      <c r="CE86" s="4"/>
      <c r="CF86" s="4"/>
      <c r="CG86" s="4"/>
      <c r="CH86" s="4"/>
      <c r="CI86" s="4"/>
      <c r="CJ86" s="4"/>
      <c r="CK86" s="4"/>
      <c r="CL86" s="4"/>
      <c r="CM86" s="4"/>
      <c r="CN86" s="4"/>
      <c r="CO86" s="4"/>
      <c r="CP86" s="2" t="s">
        <v>562</v>
      </c>
      <c r="CQ86" s="2" t="s">
        <v>254</v>
      </c>
      <c r="CR86" s="10" t="s">
        <v>563</v>
      </c>
      <c r="CS86" s="9" t="s">
        <v>256</v>
      </c>
    </row>
    <row r="87" spans="1:97" s="2" customFormat="1" ht="12.75">
      <c r="A87" s="2">
        <v>84</v>
      </c>
      <c r="B87" s="2" t="s">
        <v>558</v>
      </c>
      <c r="C87" s="2" t="s">
        <v>559</v>
      </c>
      <c r="D87" s="4" t="s">
        <v>250</v>
      </c>
      <c r="E87" s="2" t="s">
        <v>566</v>
      </c>
      <c r="F87" s="14" t="s">
        <v>567</v>
      </c>
      <c r="G87" s="2">
        <v>2008</v>
      </c>
      <c r="H87" s="2">
        <v>2018</v>
      </c>
      <c r="I87" s="2">
        <v>0</v>
      </c>
      <c r="J87" s="2">
        <v>0</v>
      </c>
      <c r="K87" s="2">
        <v>0</v>
      </c>
      <c r="L87" s="2">
        <v>0</v>
      </c>
      <c r="M87" s="2">
        <v>0</v>
      </c>
      <c r="N87" s="2">
        <v>0</v>
      </c>
      <c r="O87" s="4">
        <v>16</v>
      </c>
      <c r="P87" s="4">
        <f t="shared" si="8"/>
        <v>132</v>
      </c>
      <c r="Q87" s="4">
        <v>1600</v>
      </c>
      <c r="R87" s="4">
        <v>0</v>
      </c>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V87" s="4"/>
      <c r="AW87" s="4">
        <f>340.466*(7+10)/2+2272.763</f>
        <v>5166.7240000000002</v>
      </c>
      <c r="AX87" s="4">
        <v>9.6</v>
      </c>
      <c r="AY87" s="4"/>
      <c r="AZ87" s="4">
        <f t="shared" si="9"/>
        <v>37.397933940156065</v>
      </c>
      <c r="BA87" s="4"/>
      <c r="BB87" s="4"/>
      <c r="BC87" s="4"/>
      <c r="BD87" s="4"/>
      <c r="BE87" s="4"/>
      <c r="BF87" s="4"/>
      <c r="BG87" s="4"/>
      <c r="BH87" s="4"/>
      <c r="BI87" s="4"/>
      <c r="BJ87" s="4"/>
      <c r="BK87" s="4"/>
      <c r="BL87" s="4"/>
      <c r="BM87" s="4"/>
      <c r="BN87" s="4"/>
      <c r="BO87" s="4"/>
      <c r="BP87" s="4">
        <f t="shared" si="10"/>
        <v>36.772058823529406</v>
      </c>
      <c r="BQ87" s="4">
        <v>0.36159999999999998</v>
      </c>
      <c r="BR87" s="4"/>
      <c r="BS87" s="4"/>
      <c r="BT87" s="4"/>
      <c r="BU87" s="4">
        <f t="shared" si="11"/>
        <v>13.237941176470592</v>
      </c>
      <c r="BV87" s="4">
        <v>50.01</v>
      </c>
      <c r="BW87" s="4">
        <v>1.9</v>
      </c>
      <c r="BX87" s="4">
        <f>59.64+49.3</f>
        <v>108.94</v>
      </c>
      <c r="BY87" s="4">
        <f>0.31+0.43</f>
        <v>0.74</v>
      </c>
      <c r="BZ87" s="4">
        <f t="shared" si="12"/>
        <v>161.59</v>
      </c>
      <c r="CA87" s="4"/>
      <c r="CB87" s="4"/>
      <c r="CC87" s="4"/>
      <c r="CD87" s="4"/>
      <c r="CE87" s="4"/>
      <c r="CF87" s="4"/>
      <c r="CG87" s="4"/>
      <c r="CH87" s="4"/>
      <c r="CI87" s="4"/>
      <c r="CJ87" s="4"/>
      <c r="CK87" s="4"/>
      <c r="CL87" s="4"/>
      <c r="CM87" s="4"/>
      <c r="CN87" s="4"/>
      <c r="CO87" s="4"/>
      <c r="CP87" s="2" t="s">
        <v>562</v>
      </c>
      <c r="CQ87" s="2" t="s">
        <v>254</v>
      </c>
      <c r="CR87" s="10" t="s">
        <v>563</v>
      </c>
      <c r="CS87" s="9" t="s">
        <v>256</v>
      </c>
    </row>
    <row r="88" spans="1:97" s="2" customFormat="1" ht="12.75">
      <c r="A88" s="2">
        <v>85</v>
      </c>
      <c r="B88" s="2" t="s">
        <v>558</v>
      </c>
      <c r="C88" s="2" t="s">
        <v>559</v>
      </c>
      <c r="D88" s="4" t="s">
        <v>250</v>
      </c>
      <c r="E88" s="2" t="s">
        <v>568</v>
      </c>
      <c r="F88" s="14" t="s">
        <v>569</v>
      </c>
      <c r="G88" s="2">
        <v>2000</v>
      </c>
      <c r="H88" s="2">
        <v>2018</v>
      </c>
      <c r="I88" s="2">
        <v>0</v>
      </c>
      <c r="J88" s="2">
        <v>0</v>
      </c>
      <c r="K88" s="2">
        <v>0</v>
      </c>
      <c r="L88" s="2">
        <v>0</v>
      </c>
      <c r="M88" s="2">
        <v>0</v>
      </c>
      <c r="N88" s="2">
        <v>0</v>
      </c>
      <c r="O88" s="4">
        <v>16</v>
      </c>
      <c r="P88" s="4">
        <f t="shared" si="8"/>
        <v>132</v>
      </c>
      <c r="Q88" s="4">
        <v>1600</v>
      </c>
      <c r="R88" s="4">
        <v>0</v>
      </c>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V88" s="4"/>
      <c r="AW88" s="4">
        <f>340.466*(15+18)/2+2272.763</f>
        <v>7890.4520000000002</v>
      </c>
      <c r="AX88" s="4">
        <v>8.6</v>
      </c>
      <c r="AY88" s="4"/>
      <c r="AZ88" s="4">
        <f>(AX88/2)^2*PI()*AW88/10000</f>
        <v>45.834095581863643</v>
      </c>
      <c r="BA88" s="4"/>
      <c r="BB88" s="4"/>
      <c r="BC88" s="4"/>
      <c r="BD88" s="4"/>
      <c r="BE88" s="4"/>
      <c r="BF88" s="4"/>
      <c r="BG88" s="4"/>
      <c r="BH88" s="4"/>
      <c r="BI88" s="4"/>
      <c r="BJ88" s="4"/>
      <c r="BK88" s="4"/>
      <c r="BL88" s="4"/>
      <c r="BM88" s="4"/>
      <c r="BN88" s="4"/>
      <c r="BO88" s="4"/>
      <c r="BP88" s="4">
        <f t="shared" si="10"/>
        <v>47.882352941176471</v>
      </c>
      <c r="BQ88" s="4">
        <v>0.36159999999999998</v>
      </c>
      <c r="BR88" s="4"/>
      <c r="BS88" s="4"/>
      <c r="BT88" s="4"/>
      <c r="BU88" s="4">
        <f t="shared" si="11"/>
        <v>17.237647058823534</v>
      </c>
      <c r="BV88" s="4">
        <v>65.12</v>
      </c>
      <c r="BW88" s="4">
        <v>2.65</v>
      </c>
      <c r="BX88" s="4">
        <f>65.41+48.32</f>
        <v>113.72999999999999</v>
      </c>
      <c r="BY88" s="4">
        <f>0.14+0.07</f>
        <v>0.21000000000000002</v>
      </c>
      <c r="BZ88" s="4">
        <f t="shared" si="12"/>
        <v>181.71</v>
      </c>
      <c r="CA88" s="4"/>
      <c r="CB88" s="4"/>
      <c r="CC88" s="4"/>
      <c r="CD88" s="4"/>
      <c r="CE88" s="4"/>
      <c r="CF88" s="4"/>
      <c r="CG88" s="4"/>
      <c r="CH88" s="4"/>
      <c r="CI88" s="4"/>
      <c r="CJ88" s="4"/>
      <c r="CK88" s="4"/>
      <c r="CL88" s="4"/>
      <c r="CM88" s="4"/>
      <c r="CN88" s="4"/>
      <c r="CO88" s="4"/>
      <c r="CP88" s="2" t="s">
        <v>562</v>
      </c>
      <c r="CQ88" s="2" t="s">
        <v>254</v>
      </c>
      <c r="CR88" s="10" t="s">
        <v>563</v>
      </c>
      <c r="CS88" s="9" t="s">
        <v>256</v>
      </c>
    </row>
    <row r="89" spans="1:97" s="2" customFormat="1" ht="12.75">
      <c r="A89" s="2">
        <v>86</v>
      </c>
      <c r="B89" s="2" t="s">
        <v>558</v>
      </c>
      <c r="C89" s="2" t="s">
        <v>570</v>
      </c>
      <c r="D89" s="4" t="s">
        <v>250</v>
      </c>
      <c r="E89" s="2" t="s">
        <v>571</v>
      </c>
      <c r="F89" s="14" t="s">
        <v>572</v>
      </c>
      <c r="G89" s="2">
        <v>1989</v>
      </c>
      <c r="H89" s="2">
        <v>1990</v>
      </c>
      <c r="I89" s="2">
        <v>1</v>
      </c>
      <c r="J89" s="2">
        <v>0</v>
      </c>
      <c r="K89" s="2">
        <v>0</v>
      </c>
      <c r="L89" s="2">
        <v>1</v>
      </c>
      <c r="M89" s="2">
        <v>0</v>
      </c>
      <c r="N89" s="2">
        <v>0</v>
      </c>
      <c r="O89" s="4">
        <v>21.2</v>
      </c>
      <c r="P89" s="4">
        <f>(O89-5)*12</f>
        <v>194.39999999999998</v>
      </c>
      <c r="Q89" s="4">
        <v>2001.2</v>
      </c>
      <c r="R89" s="4">
        <v>0</v>
      </c>
      <c r="S89" s="4">
        <f>(320+350)/2</f>
        <v>335</v>
      </c>
      <c r="T89" s="4">
        <v>81.400000000000006</v>
      </c>
      <c r="U89" s="4">
        <v>1820</v>
      </c>
      <c r="V89" s="4"/>
      <c r="W89" s="4"/>
      <c r="X89" s="4"/>
      <c r="Y89" s="4">
        <v>5.2</v>
      </c>
      <c r="Z89" s="4"/>
      <c r="AA89" s="4"/>
      <c r="AB89" s="4"/>
      <c r="AC89" s="4"/>
      <c r="AD89" s="4"/>
      <c r="AE89" s="4"/>
      <c r="AF89" s="4"/>
      <c r="AG89" s="4"/>
      <c r="AH89" s="4"/>
      <c r="AI89" s="4"/>
      <c r="AJ89" s="4"/>
      <c r="AK89" s="4"/>
      <c r="AL89" s="4"/>
      <c r="AM89" s="4"/>
      <c r="AN89" s="4"/>
      <c r="AO89" s="4"/>
      <c r="AP89" s="4"/>
      <c r="AQ89" s="4"/>
      <c r="AR89" s="4"/>
      <c r="AS89" s="4"/>
      <c r="AT89" s="4"/>
      <c r="AV89" s="4"/>
      <c r="AW89" s="4"/>
      <c r="AX89" s="4"/>
      <c r="AY89" s="4">
        <v>16</v>
      </c>
      <c r="AZ89" s="4"/>
      <c r="BA89" s="4"/>
      <c r="BB89" s="4"/>
      <c r="BC89" s="4"/>
      <c r="BD89" s="4"/>
      <c r="BE89" s="4"/>
      <c r="BF89" s="4"/>
      <c r="BG89" s="4"/>
      <c r="BH89" s="4"/>
      <c r="BI89" s="4"/>
      <c r="BJ89" s="4"/>
      <c r="BK89" s="4"/>
      <c r="BL89" s="4"/>
      <c r="BM89" s="4">
        <f>3.23%*BV89</f>
        <v>1.258731</v>
      </c>
      <c r="BN89" s="4">
        <f>10.7%*BV89</f>
        <v>4.1697899999999999</v>
      </c>
      <c r="BO89" s="4">
        <f>58.67%*BV89</f>
        <v>22.863699</v>
      </c>
      <c r="BP89" s="4">
        <f>56.58*0.5</f>
        <v>28.29</v>
      </c>
      <c r="BQ89" s="4">
        <f t="shared" ref="BQ89" si="13">BU89/BP89</f>
        <v>0.37751855779427362</v>
      </c>
      <c r="BR89" s="4">
        <f>17.25%*BV89</f>
        <v>6.7223249999999997</v>
      </c>
      <c r="BS89" s="4">
        <f>10.16%*BV89</f>
        <v>3.9593519999999995</v>
      </c>
      <c r="BT89" s="4"/>
      <c r="BU89" s="4">
        <f>21.36*0.5</f>
        <v>10.68</v>
      </c>
      <c r="BV89" s="4">
        <f>BP89+BU89</f>
        <v>38.97</v>
      </c>
      <c r="BW89" s="4"/>
      <c r="BX89" s="4"/>
      <c r="BY89" s="4">
        <f>0.495*0.5</f>
        <v>0.2475</v>
      </c>
      <c r="BZ89" s="4"/>
      <c r="CA89" s="4"/>
      <c r="CB89" s="4"/>
      <c r="CC89" s="4"/>
      <c r="CD89" s="4">
        <f>2.475*0.5</f>
        <v>1.2375</v>
      </c>
      <c r="CE89" s="4"/>
      <c r="CF89" s="4">
        <f>(10.77+0.054+0.326)*0.5+CD89</f>
        <v>6.8125</v>
      </c>
      <c r="CG89" s="4"/>
      <c r="CH89" s="4"/>
      <c r="CI89" s="4"/>
      <c r="CJ89" s="4">
        <v>4.2720000000000002</v>
      </c>
      <c r="CK89" s="4">
        <f>CF89+CJ89</f>
        <v>11.0845</v>
      </c>
      <c r="CL89" s="4"/>
      <c r="CM89" s="4"/>
      <c r="CN89" s="4"/>
      <c r="CO89" s="4"/>
      <c r="CP89" s="2" t="s">
        <v>573</v>
      </c>
      <c r="CQ89" s="2" t="s">
        <v>254</v>
      </c>
      <c r="CR89" s="10" t="s">
        <v>574</v>
      </c>
      <c r="CS89" s="9" t="s">
        <v>256</v>
      </c>
    </row>
    <row r="90" spans="1:97" s="2" customFormat="1" ht="12.75">
      <c r="A90" s="2">
        <v>87</v>
      </c>
      <c r="B90" s="2" t="s">
        <v>558</v>
      </c>
      <c r="C90" s="2" t="s">
        <v>575</v>
      </c>
      <c r="D90" s="4" t="s">
        <v>116</v>
      </c>
      <c r="E90" s="2" t="s">
        <v>576</v>
      </c>
      <c r="F90" s="14" t="s">
        <v>577</v>
      </c>
      <c r="G90" s="2">
        <v>2010</v>
      </c>
      <c r="H90" s="2">
        <v>2011</v>
      </c>
      <c r="I90" s="2">
        <v>1</v>
      </c>
      <c r="J90" s="2">
        <v>0</v>
      </c>
      <c r="K90" s="2">
        <v>0</v>
      </c>
      <c r="L90" s="2">
        <v>1</v>
      </c>
      <c r="M90" s="2">
        <v>0</v>
      </c>
      <c r="N90" s="2">
        <v>0</v>
      </c>
      <c r="O90" s="4">
        <v>16.600000000000001</v>
      </c>
      <c r="P90" s="4">
        <f>(O90-5)*12</f>
        <v>139.20000000000002</v>
      </c>
      <c r="Q90" s="4">
        <v>1270</v>
      </c>
      <c r="R90" s="4">
        <v>0</v>
      </c>
      <c r="S90" s="4">
        <v>380</v>
      </c>
      <c r="T90" s="4">
        <v>70.2</v>
      </c>
      <c r="U90" s="4">
        <v>2021</v>
      </c>
      <c r="V90" s="4"/>
      <c r="W90" s="4"/>
      <c r="X90" s="4"/>
      <c r="Y90" s="4"/>
      <c r="Z90" s="4"/>
      <c r="AA90" s="4"/>
      <c r="AB90" s="4"/>
      <c r="AC90" s="4"/>
      <c r="AD90" s="4"/>
      <c r="AE90" s="4"/>
      <c r="AF90" s="4"/>
      <c r="AG90" s="4"/>
      <c r="AH90" s="4"/>
      <c r="AI90" s="4"/>
      <c r="AJ90" s="4"/>
      <c r="AK90" s="4"/>
      <c r="AL90" s="4"/>
      <c r="AM90" s="4"/>
      <c r="AN90" s="4"/>
      <c r="AO90" s="4"/>
      <c r="AP90" s="4"/>
      <c r="AQ90" s="4"/>
      <c r="AR90" s="4"/>
      <c r="AS90" s="4"/>
      <c r="AT90" s="4"/>
      <c r="AV90" s="4"/>
      <c r="AW90" s="4"/>
      <c r="AX90" s="4">
        <f>(12+18)/2</f>
        <v>15</v>
      </c>
      <c r="AY90" s="4">
        <f>(13+20)/2</f>
        <v>16.5</v>
      </c>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v>6.68</v>
      </c>
      <c r="CP90" s="2" t="s">
        <v>578</v>
      </c>
      <c r="CQ90" s="2" t="s">
        <v>254</v>
      </c>
      <c r="CR90" s="10" t="s">
        <v>579</v>
      </c>
      <c r="CS90" s="9" t="s">
        <v>256</v>
      </c>
    </row>
    <row r="91" spans="1:97" s="2" customFormat="1" ht="12.75">
      <c r="A91" s="2">
        <v>88</v>
      </c>
      <c r="B91" s="2" t="s">
        <v>558</v>
      </c>
      <c r="C91" s="2" t="s">
        <v>580</v>
      </c>
      <c r="D91" s="4" t="s">
        <v>116</v>
      </c>
      <c r="E91" s="2" t="s">
        <v>581</v>
      </c>
      <c r="F91" s="14" t="s">
        <v>582</v>
      </c>
      <c r="G91" s="2">
        <v>2014</v>
      </c>
      <c r="H91" s="2">
        <v>2016</v>
      </c>
      <c r="I91" s="2">
        <v>1</v>
      </c>
      <c r="J91" s="2">
        <v>0</v>
      </c>
      <c r="K91" s="2">
        <v>1</v>
      </c>
      <c r="L91" s="2">
        <v>0</v>
      </c>
      <c r="M91" s="2">
        <v>0</v>
      </c>
      <c r="N91" s="2">
        <v>0</v>
      </c>
      <c r="O91" s="4">
        <v>15.8</v>
      </c>
      <c r="P91" s="4">
        <f t="shared" si="8"/>
        <v>129.60000000000002</v>
      </c>
      <c r="Q91" s="4">
        <v>1450</v>
      </c>
      <c r="R91" s="4">
        <v>0</v>
      </c>
      <c r="S91" s="4">
        <f>(150+200)/2</f>
        <v>175</v>
      </c>
      <c r="T91" s="4"/>
      <c r="U91" s="4">
        <v>1847</v>
      </c>
      <c r="V91" s="4"/>
      <c r="W91" s="4"/>
      <c r="X91" s="4"/>
      <c r="Y91" s="4">
        <f>(4.96+4.96)/2</f>
        <v>4.96</v>
      </c>
      <c r="Z91" s="4">
        <v>1.76</v>
      </c>
      <c r="AA91" s="4"/>
      <c r="AB91" s="4"/>
      <c r="AC91" s="4">
        <v>7.52</v>
      </c>
      <c r="AD91" s="4"/>
      <c r="AE91" s="4"/>
      <c r="AF91" s="4"/>
      <c r="AG91" s="4"/>
      <c r="AH91" s="4"/>
      <c r="AI91" s="4">
        <f>(498/(498+321+181)*100)</f>
        <v>49.8</v>
      </c>
      <c r="AJ91" s="4">
        <f>(321/(498+321+181)*100)</f>
        <v>32.1</v>
      </c>
      <c r="AK91" s="4">
        <f>(181/(498+321+181)*100)</f>
        <v>18.099999999999998</v>
      </c>
      <c r="AL91" s="4"/>
      <c r="AM91" s="4"/>
      <c r="AN91" s="4"/>
      <c r="AO91" s="4"/>
      <c r="AP91" s="4"/>
      <c r="AQ91" s="4"/>
      <c r="AR91" s="4"/>
      <c r="AS91" s="4"/>
      <c r="AT91" s="4"/>
      <c r="AV91" s="4"/>
      <c r="AW91" s="4">
        <v>3000</v>
      </c>
      <c r="AX91" s="4">
        <v>9.8000000000000007</v>
      </c>
      <c r="AY91" s="4"/>
      <c r="AZ91" s="4">
        <f t="shared" ref="AZ91:AZ101" si="14">(AX91/2)^2*PI()*AW91/10000</f>
        <v>22.628891883807285</v>
      </c>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f>31.66*12/44</f>
        <v>8.6345454545454547</v>
      </c>
      <c r="CM91" s="4">
        <f>20.11*12/44</f>
        <v>5.4845454545454544</v>
      </c>
      <c r="CN91" s="4">
        <f>CL91-CM91</f>
        <v>3.1500000000000004</v>
      </c>
      <c r="CO91" s="4"/>
      <c r="CP91" s="2" t="s">
        <v>583</v>
      </c>
      <c r="CQ91" s="2" t="s">
        <v>254</v>
      </c>
      <c r="CR91" s="10" t="s">
        <v>584</v>
      </c>
      <c r="CS91" s="9" t="s">
        <v>256</v>
      </c>
    </row>
    <row r="92" spans="1:97" s="2" customFormat="1" ht="12.75">
      <c r="A92" s="2">
        <v>89</v>
      </c>
      <c r="B92" s="2" t="s">
        <v>558</v>
      </c>
      <c r="C92" s="2" t="s">
        <v>580</v>
      </c>
      <c r="D92" s="4" t="s">
        <v>116</v>
      </c>
      <c r="E92" s="2" t="s">
        <v>585</v>
      </c>
      <c r="F92" s="14" t="s">
        <v>586</v>
      </c>
      <c r="G92" s="2">
        <v>2014</v>
      </c>
      <c r="H92" s="2">
        <v>2016</v>
      </c>
      <c r="I92" s="2">
        <v>1</v>
      </c>
      <c r="J92" s="2">
        <v>1</v>
      </c>
      <c r="K92" s="2">
        <v>1</v>
      </c>
      <c r="L92" s="2">
        <v>0</v>
      </c>
      <c r="M92" s="2">
        <v>0</v>
      </c>
      <c r="N92" s="2">
        <v>0</v>
      </c>
      <c r="O92" s="4">
        <v>15.8</v>
      </c>
      <c r="P92" s="4">
        <f t="shared" si="8"/>
        <v>129.60000000000002</v>
      </c>
      <c r="Q92" s="4">
        <v>1450</v>
      </c>
      <c r="R92" s="4">
        <v>0</v>
      </c>
      <c r="S92" s="4">
        <f>(150+200)/2</f>
        <v>175</v>
      </c>
      <c r="T92" s="4"/>
      <c r="U92" s="4">
        <v>1847</v>
      </c>
      <c r="V92" s="4"/>
      <c r="W92" s="4"/>
      <c r="X92" s="4"/>
      <c r="Y92" s="4">
        <v>5.18</v>
      </c>
      <c r="Z92" s="4">
        <v>2.15</v>
      </c>
      <c r="AA92" s="4"/>
      <c r="AB92" s="4"/>
      <c r="AC92" s="4">
        <v>9.1</v>
      </c>
      <c r="AD92" s="4"/>
      <c r="AE92" s="4"/>
      <c r="AF92" s="4"/>
      <c r="AG92" s="4"/>
      <c r="AH92" s="4"/>
      <c r="AI92" s="4">
        <f>(498/(498+321+181)*100)</f>
        <v>49.8</v>
      </c>
      <c r="AJ92" s="4">
        <f>(321/(498+321+181)*100)</f>
        <v>32.1</v>
      </c>
      <c r="AK92" s="4">
        <f>(181/(498+321+181)*100)</f>
        <v>18.099999999999998</v>
      </c>
      <c r="AL92" s="4"/>
      <c r="AM92" s="4"/>
      <c r="AN92" s="4"/>
      <c r="AO92" s="4"/>
      <c r="AP92" s="4"/>
      <c r="AQ92" s="4"/>
      <c r="AR92" s="4"/>
      <c r="AS92" s="4"/>
      <c r="AT92" s="4"/>
      <c r="AV92" s="4"/>
      <c r="AW92" s="4">
        <v>3000</v>
      </c>
      <c r="AX92" s="4">
        <v>9.8000000000000007</v>
      </c>
      <c r="AY92" s="4"/>
      <c r="AZ92" s="4">
        <f t="shared" si="14"/>
        <v>22.628891883807285</v>
      </c>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f>32.32*12/44</f>
        <v>8.8145454545454545</v>
      </c>
      <c r="CM92" s="4">
        <f>17.71*12/44</f>
        <v>4.83</v>
      </c>
      <c r="CN92" s="4">
        <f>CL92-CM92</f>
        <v>3.9845454545454544</v>
      </c>
      <c r="CO92" s="4"/>
      <c r="CP92" s="2" t="s">
        <v>583</v>
      </c>
      <c r="CQ92" s="2" t="s">
        <v>254</v>
      </c>
      <c r="CR92" s="10" t="s">
        <v>584</v>
      </c>
      <c r="CS92" s="9" t="s">
        <v>256</v>
      </c>
    </row>
    <row r="93" spans="1:97" s="2" customFormat="1" ht="12.75">
      <c r="A93" s="2">
        <v>90</v>
      </c>
      <c r="B93" s="2" t="s">
        <v>558</v>
      </c>
      <c r="C93" s="2" t="s">
        <v>580</v>
      </c>
      <c r="D93" s="4" t="s">
        <v>116</v>
      </c>
      <c r="E93" s="2" t="s">
        <v>587</v>
      </c>
      <c r="F93" s="14" t="s">
        <v>588</v>
      </c>
      <c r="G93" s="2">
        <v>2014</v>
      </c>
      <c r="H93" s="2">
        <v>2016</v>
      </c>
      <c r="I93" s="2">
        <v>1</v>
      </c>
      <c r="J93" s="2">
        <v>1</v>
      </c>
      <c r="K93" s="2">
        <v>1</v>
      </c>
      <c r="L93" s="2">
        <v>0</v>
      </c>
      <c r="M93" s="2">
        <v>0</v>
      </c>
      <c r="N93" s="2">
        <v>0</v>
      </c>
      <c r="O93" s="4">
        <v>15.8</v>
      </c>
      <c r="P93" s="4">
        <f t="shared" si="8"/>
        <v>129.60000000000002</v>
      </c>
      <c r="Q93" s="4">
        <v>1450</v>
      </c>
      <c r="R93" s="4">
        <v>0</v>
      </c>
      <c r="S93" s="4">
        <f>(150+200)/2</f>
        <v>175</v>
      </c>
      <c r="T93" s="4"/>
      <c r="U93" s="4">
        <v>1847</v>
      </c>
      <c r="V93" s="4"/>
      <c r="W93" s="4"/>
      <c r="X93" s="4"/>
      <c r="Y93" s="4">
        <v>4.62</v>
      </c>
      <c r="Z93" s="4">
        <v>2.02</v>
      </c>
      <c r="AA93" s="4"/>
      <c r="AB93" s="4"/>
      <c r="AC93" s="4">
        <v>8.7899999999999991</v>
      </c>
      <c r="AD93" s="4"/>
      <c r="AE93" s="4"/>
      <c r="AF93" s="4"/>
      <c r="AG93" s="4"/>
      <c r="AH93" s="4"/>
      <c r="AI93" s="4">
        <f>(498/(498+321+181)*100)</f>
        <v>49.8</v>
      </c>
      <c r="AJ93" s="4">
        <f>(321/(498+321+181)*100)</f>
        <v>32.1</v>
      </c>
      <c r="AK93" s="4">
        <f>(181/(498+321+181)*100)</f>
        <v>18.099999999999998</v>
      </c>
      <c r="AL93" s="4"/>
      <c r="AM93" s="4"/>
      <c r="AN93" s="4"/>
      <c r="AO93" s="4"/>
      <c r="AP93" s="4"/>
      <c r="AQ93" s="4"/>
      <c r="AR93" s="4"/>
      <c r="AS93" s="4"/>
      <c r="AT93" s="4"/>
      <c r="AV93" s="4"/>
      <c r="AW93" s="4">
        <v>3000</v>
      </c>
      <c r="AX93" s="4">
        <v>9.8000000000000007</v>
      </c>
      <c r="AY93" s="4"/>
      <c r="AZ93" s="4">
        <f t="shared" si="14"/>
        <v>22.628891883807285</v>
      </c>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f>37.65*12/44</f>
        <v>10.268181818181818</v>
      </c>
      <c r="CM93" s="4">
        <f>22.06*12/44</f>
        <v>6.0163636363636357</v>
      </c>
      <c r="CN93" s="4">
        <f>CL93-CM93</f>
        <v>4.2518181818181819</v>
      </c>
      <c r="CO93" s="4"/>
      <c r="CP93" s="2" t="s">
        <v>583</v>
      </c>
      <c r="CQ93" s="2" t="s">
        <v>254</v>
      </c>
      <c r="CR93" s="10" t="s">
        <v>584</v>
      </c>
      <c r="CS93" s="9" t="s">
        <v>256</v>
      </c>
    </row>
    <row r="94" spans="1:97" s="2" customFormat="1" ht="12.75">
      <c r="A94" s="2">
        <v>91</v>
      </c>
      <c r="B94" s="2" t="s">
        <v>558</v>
      </c>
      <c r="C94" s="2" t="s">
        <v>580</v>
      </c>
      <c r="D94" s="4" t="s">
        <v>116</v>
      </c>
      <c r="E94" s="2" t="s">
        <v>589</v>
      </c>
      <c r="F94" s="14" t="s">
        <v>590</v>
      </c>
      <c r="G94" s="2">
        <v>2014</v>
      </c>
      <c r="H94" s="2">
        <v>2016</v>
      </c>
      <c r="I94" s="2">
        <v>1</v>
      </c>
      <c r="J94" s="2">
        <v>1</v>
      </c>
      <c r="K94" s="2">
        <v>1</v>
      </c>
      <c r="L94" s="2">
        <v>0</v>
      </c>
      <c r="M94" s="2">
        <v>0</v>
      </c>
      <c r="N94" s="2">
        <v>0</v>
      </c>
      <c r="O94" s="4">
        <v>15.8</v>
      </c>
      <c r="P94" s="4">
        <f t="shared" si="8"/>
        <v>129.60000000000002</v>
      </c>
      <c r="Q94" s="4">
        <v>1450</v>
      </c>
      <c r="R94" s="4">
        <v>0</v>
      </c>
      <c r="S94" s="4">
        <f>(150+200)/2</f>
        <v>175</v>
      </c>
      <c r="T94" s="4"/>
      <c r="U94" s="4">
        <v>1847</v>
      </c>
      <c r="V94" s="4"/>
      <c r="W94" s="4"/>
      <c r="X94" s="4"/>
      <c r="Y94" s="4">
        <v>4.8499999999999996</v>
      </c>
      <c r="Z94" s="4">
        <v>2.09</v>
      </c>
      <c r="AA94" s="4"/>
      <c r="AB94" s="4"/>
      <c r="AC94" s="4">
        <v>8.81</v>
      </c>
      <c r="AD94" s="4"/>
      <c r="AE94" s="4"/>
      <c r="AF94" s="4"/>
      <c r="AG94" s="4"/>
      <c r="AH94" s="4"/>
      <c r="AI94" s="4">
        <f>(498/(498+321+181)*100)</f>
        <v>49.8</v>
      </c>
      <c r="AJ94" s="4">
        <f>(321/(498+321+181)*100)</f>
        <v>32.1</v>
      </c>
      <c r="AK94" s="4">
        <f>(181/(498+321+181)*100)</f>
        <v>18.099999999999998</v>
      </c>
      <c r="AL94" s="4"/>
      <c r="AM94" s="4"/>
      <c r="AN94" s="4"/>
      <c r="AO94" s="4"/>
      <c r="AP94" s="4"/>
      <c r="AQ94" s="4"/>
      <c r="AR94" s="4"/>
      <c r="AS94" s="4"/>
      <c r="AT94" s="4"/>
      <c r="AV94" s="4"/>
      <c r="AW94" s="4">
        <v>3000</v>
      </c>
      <c r="AX94" s="4">
        <v>9.8000000000000007</v>
      </c>
      <c r="AY94" s="4"/>
      <c r="AZ94" s="4">
        <f t="shared" si="14"/>
        <v>22.628891883807285</v>
      </c>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f>36.53*12/44</f>
        <v>9.9627272727272729</v>
      </c>
      <c r="CM94" s="4">
        <f>21.47*12/44</f>
        <v>5.8554545454545455</v>
      </c>
      <c r="CN94" s="4">
        <f>CL94-CM94</f>
        <v>4.1072727272727274</v>
      </c>
      <c r="CO94" s="4"/>
      <c r="CP94" s="2" t="s">
        <v>583</v>
      </c>
      <c r="CQ94" s="2" t="s">
        <v>254</v>
      </c>
      <c r="CR94" s="10" t="s">
        <v>584</v>
      </c>
      <c r="CS94" s="9" t="s">
        <v>256</v>
      </c>
    </row>
    <row r="95" spans="1:97" s="2" customFormat="1" ht="12.75">
      <c r="A95" s="2">
        <v>92</v>
      </c>
      <c r="B95" s="2" t="s">
        <v>558</v>
      </c>
      <c r="C95" s="2" t="s">
        <v>591</v>
      </c>
      <c r="D95" s="4" t="s">
        <v>250</v>
      </c>
      <c r="E95" s="2" t="s">
        <v>592</v>
      </c>
      <c r="F95" s="14" t="s">
        <v>593</v>
      </c>
      <c r="G95" s="2">
        <v>2013</v>
      </c>
      <c r="H95" s="2">
        <v>2013</v>
      </c>
      <c r="I95" s="2">
        <v>1</v>
      </c>
      <c r="J95" s="2">
        <v>0</v>
      </c>
      <c r="K95" s="2">
        <v>1</v>
      </c>
      <c r="L95" s="2">
        <v>1</v>
      </c>
      <c r="M95" s="2">
        <v>0</v>
      </c>
      <c r="N95" s="2">
        <v>0</v>
      </c>
      <c r="O95" s="4">
        <v>16.399999999999999</v>
      </c>
      <c r="P95" s="4">
        <f t="shared" si="8"/>
        <v>136.79999999999998</v>
      </c>
      <c r="Q95" s="4">
        <v>1628</v>
      </c>
      <c r="R95" s="4">
        <v>0</v>
      </c>
      <c r="S95" s="4">
        <f>(165+220)/2</f>
        <v>192.5</v>
      </c>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V95" s="4"/>
      <c r="AW95" s="4">
        <v>3400</v>
      </c>
      <c r="AX95" s="4">
        <v>10.1</v>
      </c>
      <c r="AY95" s="4"/>
      <c r="AZ95" s="4">
        <f t="shared" si="14"/>
        <v>27.240278660379055</v>
      </c>
      <c r="BA95" s="4"/>
      <c r="BB95" s="4"/>
      <c r="BC95" s="4"/>
      <c r="BD95" s="4"/>
      <c r="BE95" s="4"/>
      <c r="BF95" s="4"/>
      <c r="BG95" s="4"/>
      <c r="BH95" s="4"/>
      <c r="BI95" s="4"/>
      <c r="BJ95" s="4"/>
      <c r="BK95" s="4"/>
      <c r="BL95" s="4"/>
      <c r="BM95" s="4"/>
      <c r="BN95" s="4">
        <v>7.0030480000000006</v>
      </c>
      <c r="BO95" s="4">
        <v>27.351870000000002</v>
      </c>
      <c r="BP95" s="4">
        <f>SUM(BM95:BO95)</f>
        <v>34.354918000000005</v>
      </c>
      <c r="BQ95" s="4">
        <f>BU95/BP95</f>
        <v>0.7056956445071414</v>
      </c>
      <c r="BR95" s="4">
        <v>8.317634</v>
      </c>
      <c r="BS95" s="4">
        <v>4.955444</v>
      </c>
      <c r="BT95" s="4">
        <v>10.971037999999998</v>
      </c>
      <c r="BU95" s="4">
        <f>SUM(BR95:BT95)</f>
        <v>24.244115999999998</v>
      </c>
      <c r="BV95" s="4">
        <f>BP95+BU95</f>
        <v>58.599034000000003</v>
      </c>
      <c r="BW95" s="4">
        <v>1.799226</v>
      </c>
      <c r="BX95" s="4">
        <v>119.5</v>
      </c>
      <c r="BY95" s="4"/>
      <c r="BZ95" s="4">
        <f>SUM(BV95:BY95)</f>
        <v>179.89825999999999</v>
      </c>
      <c r="CA95" s="4"/>
      <c r="CB95" s="4"/>
      <c r="CC95" s="4"/>
      <c r="CD95" s="4"/>
      <c r="CE95" s="4"/>
      <c r="CF95" s="4">
        <f>BP95/5</f>
        <v>6.8709836000000006</v>
      </c>
      <c r="CG95" s="4"/>
      <c r="CH95" s="4"/>
      <c r="CI95" s="4"/>
      <c r="CJ95" s="4"/>
      <c r="CK95" s="4"/>
      <c r="CL95" s="4"/>
      <c r="CM95" s="4"/>
      <c r="CN95" s="4"/>
      <c r="CO95" s="4"/>
      <c r="CP95" s="2" t="s">
        <v>594</v>
      </c>
      <c r="CQ95" s="2" t="s">
        <v>254</v>
      </c>
      <c r="CR95" s="10" t="s">
        <v>595</v>
      </c>
      <c r="CS95" s="9" t="s">
        <v>256</v>
      </c>
    </row>
    <row r="96" spans="1:97" s="2" customFormat="1" ht="12.75">
      <c r="A96" s="2">
        <v>93</v>
      </c>
      <c r="B96" s="2" t="s">
        <v>558</v>
      </c>
      <c r="C96" s="2" t="s">
        <v>596</v>
      </c>
      <c r="D96" s="4" t="s">
        <v>250</v>
      </c>
      <c r="E96" s="2" t="s">
        <v>592</v>
      </c>
      <c r="F96" s="14" t="s">
        <v>597</v>
      </c>
      <c r="G96" s="2">
        <v>2013</v>
      </c>
      <c r="H96" s="2">
        <v>2013</v>
      </c>
      <c r="I96" s="2">
        <v>1</v>
      </c>
      <c r="J96" s="2">
        <v>0</v>
      </c>
      <c r="K96" s="2">
        <v>1</v>
      </c>
      <c r="L96" s="2">
        <v>1</v>
      </c>
      <c r="M96" s="2">
        <v>0</v>
      </c>
      <c r="N96" s="2">
        <v>0</v>
      </c>
      <c r="O96" s="4">
        <v>17.100000000000001</v>
      </c>
      <c r="P96" s="4">
        <f t="shared" si="8"/>
        <v>145.20000000000002</v>
      </c>
      <c r="Q96" s="4">
        <v>1602</v>
      </c>
      <c r="R96" s="4">
        <v>0</v>
      </c>
      <c r="S96" s="4">
        <f>(248+265)/2</f>
        <v>256.5</v>
      </c>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V96" s="4"/>
      <c r="AW96" s="4">
        <v>3378</v>
      </c>
      <c r="AX96" s="4">
        <v>10.119999999999999</v>
      </c>
      <c r="AY96" s="4"/>
      <c r="AZ96" s="4">
        <f t="shared" si="14"/>
        <v>27.171308386589551</v>
      </c>
      <c r="BA96" s="4"/>
      <c r="BB96" s="4"/>
      <c r="BC96" s="4"/>
      <c r="BD96" s="4"/>
      <c r="BE96" s="4"/>
      <c r="BF96" s="4"/>
      <c r="BG96" s="4"/>
      <c r="BH96" s="4"/>
      <c r="BI96" s="4"/>
      <c r="BJ96" s="4"/>
      <c r="BK96" s="4"/>
      <c r="BL96" s="4"/>
      <c r="BM96" s="4"/>
      <c r="BN96" s="4">
        <v>8.3222719999999999</v>
      </c>
      <c r="BO96" s="4">
        <v>23.906903999999997</v>
      </c>
      <c r="BP96" s="4">
        <f t="shared" ref="BP96:BP98" si="15">SUM(BM96:BO96)</f>
        <v>32.229175999999995</v>
      </c>
      <c r="BQ96" s="4">
        <f>BU96/BP96</f>
        <v>0.49375761266747886</v>
      </c>
      <c r="BR96" s="4">
        <v>5.5105610000000009</v>
      </c>
      <c r="BS96" s="4">
        <v>3.7931110000000006</v>
      </c>
      <c r="BT96" s="4">
        <v>6.6097290000000006</v>
      </c>
      <c r="BU96" s="4">
        <f t="shared" ref="BU96:BU98" si="16">SUM(BR96:BT96)</f>
        <v>15.913401000000004</v>
      </c>
      <c r="BV96" s="4">
        <f t="shared" ref="BV96:BV98" si="17">BP96+BU96</f>
        <v>48.142577000000003</v>
      </c>
      <c r="BW96" s="4">
        <v>0.90779500000000013</v>
      </c>
      <c r="BX96" s="4">
        <v>114.7</v>
      </c>
      <c r="BY96" s="4"/>
      <c r="BZ96" s="4">
        <f>SUM(BV96:BY96)</f>
        <v>163.750372</v>
      </c>
      <c r="CA96" s="4"/>
      <c r="CB96" s="4"/>
      <c r="CC96" s="4"/>
      <c r="CD96" s="4"/>
      <c r="CE96" s="4"/>
      <c r="CF96" s="4">
        <f t="shared" ref="CF96:CF98" si="18">BP96/5</f>
        <v>6.4458351999999994</v>
      </c>
      <c r="CG96" s="4"/>
      <c r="CH96" s="4"/>
      <c r="CI96" s="4"/>
      <c r="CJ96" s="4"/>
      <c r="CK96" s="4"/>
      <c r="CL96" s="4"/>
      <c r="CM96" s="4"/>
      <c r="CN96" s="4"/>
      <c r="CO96" s="4"/>
      <c r="CP96" s="2" t="s">
        <v>594</v>
      </c>
      <c r="CQ96" s="2" t="s">
        <v>254</v>
      </c>
      <c r="CR96" s="10" t="s">
        <v>595</v>
      </c>
      <c r="CS96" s="9" t="s">
        <v>256</v>
      </c>
    </row>
    <row r="97" spans="1:97" s="2" customFormat="1" ht="12.75">
      <c r="A97" s="2">
        <v>94</v>
      </c>
      <c r="B97" s="2" t="s">
        <v>558</v>
      </c>
      <c r="C97" s="2" t="s">
        <v>598</v>
      </c>
      <c r="D97" s="4" t="s">
        <v>250</v>
      </c>
      <c r="E97" s="2" t="s">
        <v>592</v>
      </c>
      <c r="F97" s="14" t="s">
        <v>599</v>
      </c>
      <c r="G97" s="2">
        <v>2013</v>
      </c>
      <c r="H97" s="2">
        <v>2013</v>
      </c>
      <c r="I97" s="2">
        <v>1</v>
      </c>
      <c r="J97" s="2">
        <v>0</v>
      </c>
      <c r="K97" s="2">
        <v>1</v>
      </c>
      <c r="L97" s="2">
        <v>1</v>
      </c>
      <c r="M97" s="2">
        <v>0</v>
      </c>
      <c r="N97" s="2">
        <v>0</v>
      </c>
      <c r="O97" s="4">
        <v>19.3</v>
      </c>
      <c r="P97" s="4">
        <f t="shared" si="8"/>
        <v>171.60000000000002</v>
      </c>
      <c r="Q97" s="4">
        <v>1670</v>
      </c>
      <c r="R97" s="4">
        <v>0</v>
      </c>
      <c r="S97" s="4">
        <f>(250+278)/2</f>
        <v>264</v>
      </c>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V97" s="4"/>
      <c r="AW97" s="4">
        <v>3667</v>
      </c>
      <c r="AX97" s="4">
        <v>9.99</v>
      </c>
      <c r="AY97" s="4"/>
      <c r="AZ97" s="4">
        <f t="shared" si="14"/>
        <v>28.74297835103151</v>
      </c>
      <c r="BA97" s="4"/>
      <c r="BB97" s="4"/>
      <c r="BC97" s="4"/>
      <c r="BD97" s="4"/>
      <c r="BE97" s="4"/>
      <c r="BF97" s="4"/>
      <c r="BG97" s="4"/>
      <c r="BH97" s="4"/>
      <c r="BI97" s="4"/>
      <c r="BJ97" s="4"/>
      <c r="BK97" s="4"/>
      <c r="BL97" s="4"/>
      <c r="BM97" s="4"/>
      <c r="BN97" s="4">
        <v>7.2895279999999998</v>
      </c>
      <c r="BO97" s="4">
        <v>30.685542000000002</v>
      </c>
      <c r="BP97" s="4">
        <f t="shared" si="15"/>
        <v>37.975070000000002</v>
      </c>
      <c r="BQ97" s="4">
        <f>BU97/BP97</f>
        <v>0.35880721220527045</v>
      </c>
      <c r="BR97" s="4">
        <v>4.8877759999999997</v>
      </c>
      <c r="BS97" s="4">
        <v>2.7125050000000002</v>
      </c>
      <c r="BT97" s="4">
        <v>6.0254479999999999</v>
      </c>
      <c r="BU97" s="4">
        <f t="shared" si="16"/>
        <v>13.625729</v>
      </c>
      <c r="BV97" s="4">
        <f t="shared" si="17"/>
        <v>51.600799000000002</v>
      </c>
      <c r="BW97" s="4">
        <v>1.0955360000000001</v>
      </c>
      <c r="BX97" s="4">
        <v>98.2</v>
      </c>
      <c r="BY97" s="4"/>
      <c r="BZ97" s="4">
        <f>SUM(BV97:BY97)</f>
        <v>150.89633500000002</v>
      </c>
      <c r="CA97" s="4"/>
      <c r="CB97" s="4"/>
      <c r="CC97" s="4"/>
      <c r="CD97" s="4"/>
      <c r="CE97" s="4"/>
      <c r="CF97" s="4">
        <f t="shared" si="18"/>
        <v>7.5950140000000008</v>
      </c>
      <c r="CG97" s="4"/>
      <c r="CH97" s="4"/>
      <c r="CI97" s="4"/>
      <c r="CJ97" s="4"/>
      <c r="CK97" s="4"/>
      <c r="CL97" s="4"/>
      <c r="CM97" s="4"/>
      <c r="CN97" s="4"/>
      <c r="CO97" s="4"/>
      <c r="CP97" s="2" t="s">
        <v>594</v>
      </c>
      <c r="CQ97" s="2" t="s">
        <v>254</v>
      </c>
      <c r="CR97" s="10" t="s">
        <v>595</v>
      </c>
      <c r="CS97" s="9" t="s">
        <v>256</v>
      </c>
    </row>
    <row r="98" spans="1:97" s="2" customFormat="1" ht="12.75">
      <c r="A98" s="2">
        <v>95</v>
      </c>
      <c r="B98" s="2" t="s">
        <v>558</v>
      </c>
      <c r="C98" s="2" t="s">
        <v>600</v>
      </c>
      <c r="D98" s="4" t="s">
        <v>250</v>
      </c>
      <c r="E98" s="2" t="s">
        <v>592</v>
      </c>
      <c r="F98" s="14" t="s">
        <v>601</v>
      </c>
      <c r="G98" s="2">
        <v>2013</v>
      </c>
      <c r="H98" s="2">
        <v>2013</v>
      </c>
      <c r="I98" s="2">
        <v>1</v>
      </c>
      <c r="J98" s="2">
        <v>0</v>
      </c>
      <c r="K98" s="2">
        <v>1</v>
      </c>
      <c r="L98" s="2">
        <v>1</v>
      </c>
      <c r="M98" s="2">
        <v>0</v>
      </c>
      <c r="N98" s="2">
        <v>0</v>
      </c>
      <c r="O98" s="4">
        <v>21</v>
      </c>
      <c r="P98" s="4">
        <f t="shared" si="8"/>
        <v>192</v>
      </c>
      <c r="Q98" s="4">
        <v>1618</v>
      </c>
      <c r="R98" s="4">
        <v>0</v>
      </c>
      <c r="S98" s="4">
        <f>(204+268)/2</f>
        <v>236</v>
      </c>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V98" s="4"/>
      <c r="AW98" s="4">
        <v>4722</v>
      </c>
      <c r="AX98" s="4">
        <v>8.3699999999999992</v>
      </c>
      <c r="AY98" s="4"/>
      <c r="AZ98" s="4">
        <f t="shared" si="14"/>
        <v>25.98165311216508</v>
      </c>
      <c r="BA98" s="4"/>
      <c r="BB98" s="4"/>
      <c r="BC98" s="4"/>
      <c r="BD98" s="4"/>
      <c r="BE98" s="4"/>
      <c r="BF98" s="4"/>
      <c r="BG98" s="4"/>
      <c r="BH98" s="4"/>
      <c r="BI98" s="4"/>
      <c r="BJ98" s="4"/>
      <c r="BK98" s="4"/>
      <c r="BL98" s="4"/>
      <c r="BM98" s="4"/>
      <c r="BN98" s="4">
        <v>6.956640000000001</v>
      </c>
      <c r="BO98" s="4">
        <v>24.367563999999998</v>
      </c>
      <c r="BP98" s="4">
        <f t="shared" si="15"/>
        <v>31.324203999999998</v>
      </c>
      <c r="BQ98" s="4">
        <f>BU98/BP98</f>
        <v>0.49275138803207896</v>
      </c>
      <c r="BR98" s="4">
        <v>7.1595420000000001</v>
      </c>
      <c r="BS98" s="4">
        <v>3.5266299999999999</v>
      </c>
      <c r="BT98" s="4">
        <v>4.7488730000000006</v>
      </c>
      <c r="BU98" s="4">
        <f t="shared" si="16"/>
        <v>15.435044999999999</v>
      </c>
      <c r="BV98" s="4">
        <f t="shared" si="17"/>
        <v>46.759248999999997</v>
      </c>
      <c r="BW98" s="4">
        <v>1.5749059999999999</v>
      </c>
      <c r="BX98" s="4">
        <v>87.83</v>
      </c>
      <c r="BY98" s="4"/>
      <c r="BZ98" s="4">
        <f>SUM(BV98:BY98)</f>
        <v>136.16415499999999</v>
      </c>
      <c r="CA98" s="4"/>
      <c r="CB98" s="4"/>
      <c r="CC98" s="4"/>
      <c r="CD98" s="4"/>
      <c r="CE98" s="4"/>
      <c r="CF98" s="4">
        <f t="shared" si="18"/>
        <v>6.2648408</v>
      </c>
      <c r="CG98" s="4"/>
      <c r="CH98" s="4"/>
      <c r="CI98" s="4"/>
      <c r="CJ98" s="4"/>
      <c r="CK98" s="4"/>
      <c r="CL98" s="4"/>
      <c r="CM98" s="4"/>
      <c r="CN98" s="4"/>
      <c r="CO98" s="4"/>
      <c r="CP98" s="2" t="s">
        <v>594</v>
      </c>
      <c r="CQ98" s="2" t="s">
        <v>254</v>
      </c>
      <c r="CR98" s="10" t="s">
        <v>595</v>
      </c>
      <c r="CS98" s="9" t="s">
        <v>256</v>
      </c>
    </row>
    <row r="99" spans="1:97" s="2" customFormat="1" ht="12.75">
      <c r="A99" s="2">
        <v>96</v>
      </c>
      <c r="B99" s="2" t="s">
        <v>558</v>
      </c>
      <c r="C99" s="2" t="s">
        <v>602</v>
      </c>
      <c r="D99" s="4" t="s">
        <v>116</v>
      </c>
      <c r="E99" s="2" t="s">
        <v>603</v>
      </c>
      <c r="F99" s="14" t="s">
        <v>604</v>
      </c>
      <c r="G99" s="2">
        <v>2017</v>
      </c>
      <c r="H99" s="2">
        <v>2017</v>
      </c>
      <c r="I99" s="2">
        <v>0</v>
      </c>
      <c r="J99" s="2">
        <v>0</v>
      </c>
      <c r="K99" s="2">
        <v>0</v>
      </c>
      <c r="L99" s="2">
        <v>0</v>
      </c>
      <c r="M99" s="2">
        <v>0</v>
      </c>
      <c r="N99" s="2">
        <v>1</v>
      </c>
      <c r="O99" s="4">
        <v>17.489999999999998</v>
      </c>
      <c r="P99" s="4">
        <f t="shared" si="8"/>
        <v>149.88</v>
      </c>
      <c r="Q99" s="4">
        <v>1420</v>
      </c>
      <c r="R99" s="4">
        <v>0</v>
      </c>
      <c r="S99" s="4">
        <f>(100+300)/2</f>
        <v>200</v>
      </c>
      <c r="T99" s="4"/>
      <c r="U99" s="4">
        <v>1774</v>
      </c>
      <c r="V99" s="4"/>
      <c r="W99" s="4"/>
      <c r="X99" s="4"/>
      <c r="Y99" s="4">
        <v>5.21</v>
      </c>
      <c r="Z99" s="4"/>
      <c r="AA99" s="4"/>
      <c r="AB99" s="4"/>
      <c r="AC99" s="4"/>
      <c r="AD99" s="4"/>
      <c r="AE99" s="4"/>
      <c r="AF99" s="4"/>
      <c r="AG99" s="4"/>
      <c r="AH99" s="4"/>
      <c r="AI99" s="4"/>
      <c r="AJ99" s="4"/>
      <c r="AK99" s="4"/>
      <c r="AL99" s="4"/>
      <c r="AM99" s="4"/>
      <c r="AN99" s="4"/>
      <c r="AO99" s="4"/>
      <c r="AP99" s="4"/>
      <c r="AQ99" s="4"/>
      <c r="AR99" s="4"/>
      <c r="AS99" s="4"/>
      <c r="AT99" s="4"/>
      <c r="AV99" s="4"/>
      <c r="AW99" s="4">
        <v>2500</v>
      </c>
      <c r="AX99" s="4">
        <v>8.9700000000000006</v>
      </c>
      <c r="AY99" s="4">
        <v>10.5</v>
      </c>
      <c r="AZ99" s="4">
        <f t="shared" si="14"/>
        <v>15.798460771326438</v>
      </c>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f>28.16*12/44</f>
        <v>7.6800000000000006</v>
      </c>
      <c r="CG99" s="4"/>
      <c r="CH99" s="4"/>
      <c r="CI99" s="4"/>
      <c r="CJ99" s="4"/>
      <c r="CK99" s="4"/>
      <c r="CL99" s="4">
        <f>72.04*12/44</f>
        <v>19.647272727272728</v>
      </c>
      <c r="CM99" s="4"/>
      <c r="CN99" s="4"/>
      <c r="CO99" s="4">
        <f>4.71*12/44</f>
        <v>1.2845454545454544</v>
      </c>
      <c r="CP99" s="2" t="s">
        <v>605</v>
      </c>
      <c r="CQ99" s="2" t="s">
        <v>254</v>
      </c>
      <c r="CR99" s="10" t="s">
        <v>606</v>
      </c>
      <c r="CS99" s="9" t="s">
        <v>256</v>
      </c>
    </row>
    <row r="100" spans="1:97" s="2" customFormat="1" ht="12.75">
      <c r="A100" s="2">
        <v>97</v>
      </c>
      <c r="B100" s="2" t="s">
        <v>558</v>
      </c>
      <c r="C100" s="2" t="s">
        <v>591</v>
      </c>
      <c r="D100" s="4" t="s">
        <v>116</v>
      </c>
      <c r="E100" s="2" t="s">
        <v>607</v>
      </c>
      <c r="F100" s="14" t="s">
        <v>608</v>
      </c>
      <c r="G100" s="2">
        <v>2013</v>
      </c>
      <c r="H100" s="2">
        <v>2015</v>
      </c>
      <c r="I100" s="2">
        <v>1</v>
      </c>
      <c r="J100" s="2">
        <v>0</v>
      </c>
      <c r="K100" s="2">
        <v>1</v>
      </c>
      <c r="L100" s="2">
        <v>1</v>
      </c>
      <c r="M100" s="2">
        <v>0</v>
      </c>
      <c r="N100" s="2">
        <v>1</v>
      </c>
      <c r="O100" s="4">
        <v>15.6</v>
      </c>
      <c r="P100" s="4">
        <f t="shared" si="8"/>
        <v>127.19999999999999</v>
      </c>
      <c r="Q100" s="4">
        <v>1420</v>
      </c>
      <c r="R100" s="4">
        <v>0</v>
      </c>
      <c r="S100" s="4">
        <f>(100+300)/2</f>
        <v>200</v>
      </c>
      <c r="T100" s="4"/>
      <c r="U100" s="4"/>
      <c r="V100" s="4"/>
      <c r="W100" s="4"/>
      <c r="X100" s="4"/>
      <c r="Y100" s="4">
        <v>4.22</v>
      </c>
      <c r="Z100" s="4">
        <v>2.27</v>
      </c>
      <c r="AA100" s="4">
        <v>0.69</v>
      </c>
      <c r="AB100" s="4"/>
      <c r="AC100" s="4">
        <v>2</v>
      </c>
      <c r="AD100" s="4"/>
      <c r="AE100" s="4"/>
      <c r="AF100" s="4"/>
      <c r="AG100" s="4"/>
      <c r="AH100" s="4"/>
      <c r="AI100" s="4"/>
      <c r="AJ100" s="4"/>
      <c r="AK100" s="4"/>
      <c r="AL100" s="4"/>
      <c r="AM100" s="4"/>
      <c r="AN100" s="4"/>
      <c r="AO100" s="4"/>
      <c r="AP100" s="4"/>
      <c r="AQ100" s="4"/>
      <c r="AR100" s="4"/>
      <c r="AS100" s="4"/>
      <c r="AT100" s="4"/>
      <c r="AV100" s="4"/>
      <c r="AW100" s="4">
        <v>3106</v>
      </c>
      <c r="AX100" s="4">
        <v>10.08</v>
      </c>
      <c r="AY100" s="4"/>
      <c r="AZ100" s="4">
        <f t="shared" si="14"/>
        <v>24.78633967229187</v>
      </c>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f>((34.44867+32.37182+33.44647)/3)*12/44</f>
        <v>9.1151781818181821</v>
      </c>
      <c r="CM100" s="4"/>
      <c r="CN100" s="4"/>
      <c r="CO100" s="4"/>
      <c r="CP100" s="2" t="s">
        <v>609</v>
      </c>
      <c r="CQ100" s="2" t="s">
        <v>254</v>
      </c>
      <c r="CR100" s="10" t="s">
        <v>610</v>
      </c>
      <c r="CS100" s="9" t="s">
        <v>256</v>
      </c>
    </row>
    <row r="101" spans="1:97" s="2" customFormat="1" ht="12.75">
      <c r="A101" s="2">
        <v>98</v>
      </c>
      <c r="B101" s="2" t="s">
        <v>558</v>
      </c>
      <c r="C101" s="2" t="s">
        <v>591</v>
      </c>
      <c r="D101" s="4" t="s">
        <v>116</v>
      </c>
      <c r="E101" s="2" t="s">
        <v>611</v>
      </c>
      <c r="F101" s="14" t="s">
        <v>612</v>
      </c>
      <c r="G101" s="2">
        <v>2013</v>
      </c>
      <c r="H101" s="2">
        <v>2015</v>
      </c>
      <c r="I101" s="2">
        <v>1</v>
      </c>
      <c r="J101" s="2">
        <v>1</v>
      </c>
      <c r="K101" s="2">
        <v>1</v>
      </c>
      <c r="L101" s="2">
        <v>1</v>
      </c>
      <c r="M101" s="2">
        <v>0</v>
      </c>
      <c r="N101" s="2">
        <v>1</v>
      </c>
      <c r="O101" s="4">
        <v>15.6</v>
      </c>
      <c r="P101" s="4">
        <f t="shared" si="8"/>
        <v>127.19999999999999</v>
      </c>
      <c r="Q101" s="4">
        <v>1420</v>
      </c>
      <c r="R101" s="4">
        <v>0</v>
      </c>
      <c r="S101" s="4">
        <f>(100+300)/2</f>
        <v>200</v>
      </c>
      <c r="T101" s="4"/>
      <c r="U101" s="4"/>
      <c r="V101" s="4"/>
      <c r="W101" s="4"/>
      <c r="X101" s="4"/>
      <c r="Y101" s="4">
        <v>3.82</v>
      </c>
      <c r="Z101" s="4">
        <v>2.29</v>
      </c>
      <c r="AA101" s="4">
        <v>0.9</v>
      </c>
      <c r="AB101" s="4"/>
      <c r="AC101" s="4">
        <v>2</v>
      </c>
      <c r="AD101" s="4"/>
      <c r="AE101" s="4"/>
      <c r="AF101" s="4"/>
      <c r="AG101" s="4"/>
      <c r="AH101" s="4"/>
      <c r="AI101" s="4"/>
      <c r="AJ101" s="4"/>
      <c r="AK101" s="4"/>
      <c r="AL101" s="4"/>
      <c r="AM101" s="4"/>
      <c r="AN101" s="4"/>
      <c r="AO101" s="4"/>
      <c r="AP101" s="4"/>
      <c r="AQ101" s="4"/>
      <c r="AR101" s="4"/>
      <c r="AS101" s="4"/>
      <c r="AT101" s="4"/>
      <c r="AV101" s="4"/>
      <c r="AW101" s="4">
        <v>3362</v>
      </c>
      <c r="AX101" s="4">
        <v>10.16</v>
      </c>
      <c r="AY101" s="4"/>
      <c r="AZ101" s="4">
        <f t="shared" si="14"/>
        <v>27.2568087156126</v>
      </c>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f>((36.29459+35.16678+36.20264)/3)*12/44</f>
        <v>9.7876372727272738</v>
      </c>
      <c r="CM101" s="4"/>
      <c r="CN101" s="4"/>
      <c r="CO101" s="4"/>
      <c r="CP101" s="2" t="s">
        <v>609</v>
      </c>
      <c r="CQ101" s="2" t="s">
        <v>254</v>
      </c>
      <c r="CR101" s="10" t="s">
        <v>610</v>
      </c>
      <c r="CS101" s="9" t="s">
        <v>256</v>
      </c>
    </row>
    <row r="102" spans="1:97" s="2" customFormat="1" ht="25.5">
      <c r="A102" s="2">
        <v>99</v>
      </c>
      <c r="B102" s="2" t="s">
        <v>363</v>
      </c>
      <c r="C102" s="2" t="s">
        <v>613</v>
      </c>
      <c r="D102" s="4" t="s">
        <v>365</v>
      </c>
      <c r="E102" s="2" t="s">
        <v>614</v>
      </c>
      <c r="F102" s="2" t="s">
        <v>615</v>
      </c>
      <c r="G102" s="2">
        <v>2007</v>
      </c>
      <c r="H102" s="2">
        <v>2007</v>
      </c>
      <c r="I102" s="2">
        <v>0</v>
      </c>
      <c r="J102" s="2">
        <v>0</v>
      </c>
      <c r="K102" s="2">
        <v>0</v>
      </c>
      <c r="L102" s="2">
        <v>0</v>
      </c>
      <c r="M102" s="2">
        <v>0</v>
      </c>
      <c r="N102" s="2">
        <v>0</v>
      </c>
      <c r="O102" s="4">
        <v>16.55833333333333</v>
      </c>
      <c r="P102" s="4">
        <v>138.69999999999996</v>
      </c>
      <c r="Q102" s="4">
        <v>1258</v>
      </c>
      <c r="R102" s="4">
        <v>0</v>
      </c>
      <c r="S102" s="4">
        <v>3</v>
      </c>
      <c r="T102" s="4">
        <v>67.5</v>
      </c>
      <c r="U102" s="4">
        <v>2240.1166666666668</v>
      </c>
      <c r="V102" s="4">
        <v>2.3083330000000002</v>
      </c>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V102" s="4"/>
      <c r="AW102" s="4">
        <v>8800</v>
      </c>
      <c r="AX102" s="4">
        <v>11.5</v>
      </c>
      <c r="AY102" s="4"/>
      <c r="AZ102" s="4">
        <f>91.4</f>
        <v>91.4</v>
      </c>
      <c r="BA102" s="4"/>
      <c r="BB102" s="4"/>
      <c r="BC102" s="4"/>
      <c r="BD102" s="4"/>
      <c r="BE102" s="4"/>
      <c r="BF102" s="4"/>
      <c r="BG102" s="4"/>
      <c r="BH102" s="4"/>
      <c r="BI102" s="4"/>
      <c r="BJ102" s="4"/>
      <c r="BK102" s="4"/>
      <c r="BL102" s="4"/>
      <c r="BM102" s="4">
        <f>7.1*0.5</f>
        <v>3.55</v>
      </c>
      <c r="BN102" s="4">
        <f>21.8*0.5</f>
        <v>10.9</v>
      </c>
      <c r="BO102" s="4">
        <f>159.7*0.5</f>
        <v>79.849999999999994</v>
      </c>
      <c r="BP102" s="4">
        <f>188.5*0.5</f>
        <v>94.25</v>
      </c>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2" t="s">
        <v>616</v>
      </c>
      <c r="CQ102" s="2" t="s">
        <v>254</v>
      </c>
      <c r="CR102" s="20" t="s">
        <v>617</v>
      </c>
      <c r="CS102" s="9" t="s">
        <v>256</v>
      </c>
    </row>
    <row r="103" spans="1:97" s="2" customFormat="1" ht="25.5">
      <c r="A103" s="2">
        <v>100</v>
      </c>
      <c r="B103" s="2" t="s">
        <v>363</v>
      </c>
      <c r="C103" s="2" t="s">
        <v>618</v>
      </c>
      <c r="D103" s="4" t="s">
        <v>365</v>
      </c>
      <c r="E103" s="2" t="s">
        <v>614</v>
      </c>
      <c r="F103" s="2" t="s">
        <v>619</v>
      </c>
      <c r="G103" s="2">
        <v>2007</v>
      </c>
      <c r="H103" s="2">
        <v>2007</v>
      </c>
      <c r="I103" s="2">
        <v>0</v>
      </c>
      <c r="J103" s="2">
        <v>0</v>
      </c>
      <c r="K103" s="2">
        <v>0</v>
      </c>
      <c r="L103" s="2">
        <v>0</v>
      </c>
      <c r="M103" s="2">
        <v>0</v>
      </c>
      <c r="N103" s="2">
        <v>0</v>
      </c>
      <c r="O103" s="4">
        <v>16.158333333333335</v>
      </c>
      <c r="P103" s="4">
        <v>133.90000000000003</v>
      </c>
      <c r="Q103" s="4">
        <v>1367</v>
      </c>
      <c r="R103" s="4">
        <v>0</v>
      </c>
      <c r="S103" s="4">
        <v>4</v>
      </c>
      <c r="T103" s="4">
        <v>67.5</v>
      </c>
      <c r="U103" s="4">
        <v>2241.85</v>
      </c>
      <c r="V103" s="4">
        <v>1.95</v>
      </c>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V103" s="4"/>
      <c r="AW103" s="4">
        <v>8100</v>
      </c>
      <c r="AX103" s="4">
        <v>13.1</v>
      </c>
      <c r="AY103" s="4"/>
      <c r="AZ103" s="4">
        <v>109.2</v>
      </c>
      <c r="BA103" s="4"/>
      <c r="BB103" s="4"/>
      <c r="BC103" s="4"/>
      <c r="BD103" s="4"/>
      <c r="BE103" s="4"/>
      <c r="BF103" s="4"/>
      <c r="BG103" s="4"/>
      <c r="BH103" s="4"/>
      <c r="BI103" s="4"/>
      <c r="BJ103" s="4"/>
      <c r="BK103" s="4"/>
      <c r="BL103" s="4"/>
      <c r="BM103" s="4">
        <f>6.1*0.5</f>
        <v>3.05</v>
      </c>
      <c r="BN103" s="4">
        <f>19.2*0.5</f>
        <v>9.6</v>
      </c>
      <c r="BO103" s="4">
        <f>187.5*0.5</f>
        <v>93.75</v>
      </c>
      <c r="BP103" s="4">
        <f>212.8*0.5</f>
        <v>106.4</v>
      </c>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2" t="s">
        <v>616</v>
      </c>
      <c r="CQ103" s="2" t="s">
        <v>254</v>
      </c>
      <c r="CR103" s="20" t="s">
        <v>617</v>
      </c>
      <c r="CS103" s="9" t="s">
        <v>256</v>
      </c>
    </row>
    <row r="104" spans="1:97" s="2" customFormat="1" ht="25.5">
      <c r="A104" s="2">
        <v>101</v>
      </c>
      <c r="B104" s="2" t="s">
        <v>363</v>
      </c>
      <c r="C104" s="2" t="s">
        <v>620</v>
      </c>
      <c r="D104" s="4" t="s">
        <v>365</v>
      </c>
      <c r="E104" s="2" t="s">
        <v>614</v>
      </c>
      <c r="F104" s="2" t="s">
        <v>621</v>
      </c>
      <c r="G104" s="2">
        <v>2007</v>
      </c>
      <c r="H104" s="2">
        <v>2007</v>
      </c>
      <c r="I104" s="2">
        <v>0</v>
      </c>
      <c r="J104" s="2">
        <v>0</v>
      </c>
      <c r="K104" s="2">
        <v>0</v>
      </c>
      <c r="L104" s="2">
        <v>0</v>
      </c>
      <c r="M104" s="2">
        <v>0</v>
      </c>
      <c r="N104" s="2">
        <v>0</v>
      </c>
      <c r="O104" s="4">
        <v>14.699999999999998</v>
      </c>
      <c r="P104" s="4">
        <v>116.39999999999998</v>
      </c>
      <c r="Q104" s="4">
        <v>1384</v>
      </c>
      <c r="R104" s="4">
        <v>0</v>
      </c>
      <c r="S104" s="4">
        <v>40</v>
      </c>
      <c r="T104" s="4">
        <v>67.5</v>
      </c>
      <c r="U104" s="4">
        <v>1928.1166666666666</v>
      </c>
      <c r="V104" s="4">
        <v>1.8416666666666668</v>
      </c>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V104" s="4"/>
      <c r="AW104" s="4">
        <v>3978</v>
      </c>
      <c r="AX104" s="4">
        <v>14</v>
      </c>
      <c r="AY104" s="4"/>
      <c r="AZ104" s="4">
        <v>61.2</v>
      </c>
      <c r="BA104" s="4"/>
      <c r="BB104" s="4"/>
      <c r="BC104" s="4"/>
      <c r="BD104" s="4"/>
      <c r="BE104" s="4"/>
      <c r="BF104" s="4"/>
      <c r="BG104" s="4"/>
      <c r="BH104" s="4"/>
      <c r="BI104" s="4"/>
      <c r="BJ104" s="4"/>
      <c r="BK104" s="4"/>
      <c r="BL104" s="4"/>
      <c r="BM104" s="4">
        <f>3.9*0.5</f>
        <v>1.95</v>
      </c>
      <c r="BN104" s="4">
        <f>11*0.5</f>
        <v>5.5</v>
      </c>
      <c r="BO104" s="4">
        <f>102.3*0.5</f>
        <v>51.15</v>
      </c>
      <c r="BP104" s="4">
        <f>117.2*0.5</f>
        <v>58.6</v>
      </c>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2" t="s">
        <v>616</v>
      </c>
      <c r="CQ104" s="2" t="s">
        <v>254</v>
      </c>
      <c r="CR104" s="20" t="s">
        <v>617</v>
      </c>
      <c r="CS104" s="9" t="s">
        <v>256</v>
      </c>
    </row>
    <row r="105" spans="1:97" s="2" customFormat="1" ht="14.25">
      <c r="A105" s="2">
        <v>102</v>
      </c>
      <c r="B105" s="2" t="s">
        <v>486</v>
      </c>
      <c r="C105" s="2" t="s">
        <v>622</v>
      </c>
      <c r="D105" s="4" t="s">
        <v>488</v>
      </c>
      <c r="E105" s="2" t="s">
        <v>623</v>
      </c>
      <c r="F105" s="2" t="s">
        <v>624</v>
      </c>
      <c r="G105" s="2">
        <v>2016</v>
      </c>
      <c r="H105" s="2">
        <v>2016</v>
      </c>
      <c r="I105" s="2">
        <v>1</v>
      </c>
      <c r="J105" s="2">
        <v>1</v>
      </c>
      <c r="K105" s="2">
        <v>1</v>
      </c>
      <c r="L105" s="2">
        <v>1</v>
      </c>
      <c r="M105" s="2">
        <v>0</v>
      </c>
      <c r="N105" s="2">
        <v>0</v>
      </c>
      <c r="O105" s="4">
        <v>13.1</v>
      </c>
      <c r="P105" s="4">
        <f>(O105-5)*12</f>
        <v>97.199999999999989</v>
      </c>
      <c r="Q105" s="4">
        <v>1512</v>
      </c>
      <c r="R105" s="4"/>
      <c r="S105" s="4">
        <v>50</v>
      </c>
      <c r="T105" s="4"/>
      <c r="U105" s="4"/>
      <c r="V105" s="4"/>
      <c r="W105" s="4"/>
      <c r="X105" s="4"/>
      <c r="Y105" s="4">
        <f>(4.59+4.45)/2</f>
        <v>4.5199999999999996</v>
      </c>
      <c r="Z105" s="4">
        <f>(0.23+0.2)/2</f>
        <v>0.21500000000000002</v>
      </c>
      <c r="AA105" s="4"/>
      <c r="AB105" s="4"/>
      <c r="AC105" s="4">
        <f>(174.5+132.2)/2</f>
        <v>153.35</v>
      </c>
      <c r="AD105" s="4"/>
      <c r="AE105" s="4"/>
      <c r="AF105" s="4">
        <f>(3.84+3.74)/2</f>
        <v>3.79</v>
      </c>
      <c r="AG105" s="4">
        <f>(3.49+2.49)/2</f>
        <v>2.99</v>
      </c>
      <c r="AH105" s="4">
        <f>(0.07+0.06)/2</f>
        <v>6.5000000000000002E-2</v>
      </c>
      <c r="AI105" s="4">
        <f>(53+47)/2</f>
        <v>50</v>
      </c>
      <c r="AJ105" s="4">
        <f>(37+40)/2</f>
        <v>38.5</v>
      </c>
      <c r="AK105" s="4">
        <f>(10+13)/2</f>
        <v>11.5</v>
      </c>
      <c r="AL105" s="4"/>
      <c r="AM105" s="4"/>
      <c r="AN105" s="4"/>
      <c r="AO105" s="4"/>
      <c r="AP105" s="4"/>
      <c r="AQ105" s="4"/>
      <c r="AR105" s="4"/>
      <c r="AS105" s="4"/>
      <c r="AT105" s="4"/>
      <c r="AV105" s="4"/>
      <c r="AW105" s="4">
        <v>4633</v>
      </c>
      <c r="AX105" s="4">
        <v>10.8</v>
      </c>
      <c r="AY105" s="4"/>
      <c r="AZ105" s="4">
        <f>(AX105/2)^2*PI()*AW105/10000</f>
        <v>42.442376396061697</v>
      </c>
      <c r="BA105" s="4"/>
      <c r="BB105" s="4"/>
      <c r="BC105" s="4"/>
      <c r="BD105" s="4"/>
      <c r="BE105" s="4"/>
      <c r="BF105" s="4"/>
      <c r="BG105" s="4">
        <v>42.9</v>
      </c>
      <c r="BH105" s="4"/>
      <c r="BI105" s="4">
        <v>45</v>
      </c>
      <c r="BJ105" s="4"/>
      <c r="BK105" s="4">
        <v>2.48</v>
      </c>
      <c r="BL105" s="4">
        <v>2.0299999999999998</v>
      </c>
      <c r="BM105" s="4">
        <v>1.738</v>
      </c>
      <c r="BN105" s="4">
        <v>3.7831000000000001</v>
      </c>
      <c r="BO105" s="4">
        <v>20.810500000000001</v>
      </c>
      <c r="BP105" s="4">
        <v>26.331600000000002</v>
      </c>
      <c r="BQ105" s="4">
        <f>BU105/BP105</f>
        <v>9.2235185100791442E-2</v>
      </c>
      <c r="BR105" s="4">
        <v>1.0106999999999999</v>
      </c>
      <c r="BS105" s="4">
        <v>1.4179999999999999</v>
      </c>
      <c r="BT105" s="4"/>
      <c r="BU105" s="4">
        <f>BR105+BS105</f>
        <v>2.4287000000000001</v>
      </c>
      <c r="BV105" s="4">
        <f>BU105+BP105</f>
        <v>28.760300000000001</v>
      </c>
      <c r="BW105" s="4"/>
      <c r="BX105" s="4"/>
      <c r="BY105" s="4"/>
      <c r="BZ105" s="4"/>
      <c r="CA105" s="4"/>
      <c r="CB105" s="4"/>
      <c r="CC105" s="4"/>
      <c r="CD105" s="4"/>
      <c r="CE105" s="4"/>
      <c r="CF105" s="4"/>
      <c r="CG105" s="4"/>
      <c r="CH105" s="4"/>
      <c r="CI105" s="4"/>
      <c r="CJ105" s="4"/>
      <c r="CK105" s="4"/>
      <c r="CL105" s="4"/>
      <c r="CM105" s="4"/>
      <c r="CN105" s="4"/>
      <c r="CO105" s="4"/>
      <c r="CP105" s="2" t="s">
        <v>625</v>
      </c>
      <c r="CQ105" s="2" t="s">
        <v>254</v>
      </c>
      <c r="CR105" s="10" t="s">
        <v>626</v>
      </c>
      <c r="CS105" s="9" t="s">
        <v>256</v>
      </c>
    </row>
    <row r="106" spans="1:97" s="2" customFormat="1" ht="12.75">
      <c r="A106" s="2">
        <v>103</v>
      </c>
      <c r="B106" s="2" t="s">
        <v>627</v>
      </c>
      <c r="C106" s="2" t="s">
        <v>628</v>
      </c>
      <c r="D106" s="4" t="s">
        <v>629</v>
      </c>
      <c r="E106" s="2" t="s">
        <v>630</v>
      </c>
      <c r="F106" s="2" t="s">
        <v>631</v>
      </c>
      <c r="G106" s="2">
        <v>2016</v>
      </c>
      <c r="H106" s="2">
        <v>2016</v>
      </c>
      <c r="I106" s="2">
        <v>1</v>
      </c>
      <c r="J106" s="2">
        <v>0</v>
      </c>
      <c r="K106" s="2">
        <v>1</v>
      </c>
      <c r="L106" s="2">
        <v>0</v>
      </c>
      <c r="M106" s="2">
        <v>0</v>
      </c>
      <c r="N106" s="2">
        <v>0</v>
      </c>
      <c r="O106" s="4">
        <v>13.1</v>
      </c>
      <c r="P106" s="4">
        <v>97.199999999999989</v>
      </c>
      <c r="Q106" s="4">
        <v>1512</v>
      </c>
      <c r="R106" s="4"/>
      <c r="S106" s="4">
        <v>67</v>
      </c>
      <c r="T106" s="4"/>
      <c r="U106" s="4"/>
      <c r="V106" s="4"/>
      <c r="W106" s="4"/>
      <c r="X106" s="4"/>
      <c r="Y106" s="4">
        <v>4.625</v>
      </c>
      <c r="Z106" s="4">
        <v>0.2</v>
      </c>
      <c r="AA106" s="4"/>
      <c r="AB106" s="4"/>
      <c r="AC106" s="4">
        <v>5.71</v>
      </c>
      <c r="AD106" s="4"/>
      <c r="AE106" s="4"/>
      <c r="AF106" s="4">
        <v>2.7250000000000001</v>
      </c>
      <c r="AG106" s="4">
        <v>1.3149999999999999</v>
      </c>
      <c r="AH106" s="4">
        <v>0.03</v>
      </c>
      <c r="AI106" s="4">
        <v>59.5</v>
      </c>
      <c r="AJ106" s="4">
        <v>30</v>
      </c>
      <c r="AK106" s="4">
        <v>10</v>
      </c>
      <c r="AL106" s="4"/>
      <c r="AM106" s="4"/>
      <c r="AN106" s="4"/>
      <c r="AO106" s="4"/>
      <c r="AP106" s="4"/>
      <c r="AQ106" s="4"/>
      <c r="AR106" s="4"/>
      <c r="AS106" s="4"/>
      <c r="AT106" s="4"/>
      <c r="AV106" s="4"/>
      <c r="AW106" s="4">
        <v>6833</v>
      </c>
      <c r="AX106" s="4">
        <v>10.7</v>
      </c>
      <c r="AY106" s="4"/>
      <c r="AZ106" s="4">
        <v>61.442497072514541</v>
      </c>
      <c r="BA106" s="4"/>
      <c r="BB106" s="4"/>
      <c r="BC106" s="4"/>
      <c r="BD106" s="4"/>
      <c r="BE106" s="4"/>
      <c r="BF106" s="4"/>
      <c r="BG106" s="4">
        <v>36.4</v>
      </c>
      <c r="BH106" s="4"/>
      <c r="BI106" s="4">
        <v>45.6</v>
      </c>
      <c r="BJ106" s="4"/>
      <c r="BK106" s="4">
        <v>2.46</v>
      </c>
      <c r="BL106" s="4">
        <v>2.31</v>
      </c>
      <c r="BM106" s="4">
        <v>2.9476</v>
      </c>
      <c r="BN106" s="4">
        <v>6.3715999999999999</v>
      </c>
      <c r="BO106" s="4">
        <v>39.851300000000002</v>
      </c>
      <c r="BP106" s="4">
        <v>48.900399999999998</v>
      </c>
      <c r="BQ106" s="4">
        <v>0.15130142084727324</v>
      </c>
      <c r="BR106" s="4">
        <v>4.1403999999999996</v>
      </c>
      <c r="BS106" s="4">
        <v>3.2583000000000002</v>
      </c>
      <c r="BT106" s="4"/>
      <c r="BU106" s="4">
        <v>7.3986999999999998</v>
      </c>
      <c r="BV106" s="4">
        <v>56.299099999999996</v>
      </c>
      <c r="BW106" s="4"/>
      <c r="BX106" s="4"/>
      <c r="BY106" s="4"/>
      <c r="BZ106" s="4"/>
      <c r="CA106" s="4"/>
      <c r="CB106" s="4"/>
      <c r="CC106" s="4"/>
      <c r="CD106" s="4"/>
      <c r="CE106" s="4"/>
      <c r="CF106" s="4"/>
      <c r="CG106" s="4"/>
      <c r="CH106" s="4"/>
      <c r="CI106" s="4"/>
      <c r="CJ106" s="4"/>
      <c r="CK106" s="4"/>
      <c r="CL106" s="4"/>
      <c r="CM106" s="4"/>
      <c r="CN106" s="4"/>
      <c r="CO106" s="4"/>
      <c r="CP106" s="2" t="s">
        <v>632</v>
      </c>
      <c r="CQ106" s="2" t="s">
        <v>120</v>
      </c>
      <c r="CR106" s="10" t="s">
        <v>626</v>
      </c>
      <c r="CS106" s="9" t="s">
        <v>122</v>
      </c>
    </row>
    <row r="107" spans="1:97" s="2" customFormat="1" ht="12.75">
      <c r="A107" s="2">
        <v>104</v>
      </c>
      <c r="B107" s="2" t="s">
        <v>633</v>
      </c>
      <c r="C107" s="2" t="s">
        <v>634</v>
      </c>
      <c r="D107" s="4" t="s">
        <v>635</v>
      </c>
      <c r="E107" s="2" t="s">
        <v>636</v>
      </c>
      <c r="F107" s="2" t="s">
        <v>637</v>
      </c>
      <c r="G107" s="2">
        <v>1971</v>
      </c>
      <c r="H107" s="2">
        <v>2019</v>
      </c>
      <c r="I107" s="2">
        <v>0.5</v>
      </c>
      <c r="J107" s="2">
        <v>0.5</v>
      </c>
      <c r="K107" s="2">
        <v>0.5</v>
      </c>
      <c r="L107" s="2">
        <v>0.5</v>
      </c>
      <c r="M107" s="2">
        <v>0.5</v>
      </c>
      <c r="N107" s="2">
        <v>0.5</v>
      </c>
      <c r="O107" s="2">
        <v>20.12</v>
      </c>
      <c r="P107" s="4">
        <f>(O107-5)*12</f>
        <v>181.44</v>
      </c>
      <c r="Q107" s="4">
        <v>2795.4</v>
      </c>
      <c r="R107" s="4">
        <v>0</v>
      </c>
      <c r="S107" s="4">
        <v>688.57</v>
      </c>
      <c r="T107" s="4">
        <v>78.907999999999987</v>
      </c>
      <c r="U107" s="4">
        <v>1733.4720000000002</v>
      </c>
      <c r="V107" s="4">
        <v>3.2319999999999998</v>
      </c>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V107" s="4"/>
      <c r="AW107" s="4">
        <f>AVERAGE(AW68:AW84)</f>
        <v>6986.2352941176468</v>
      </c>
      <c r="AX107" s="4">
        <f>AVERAGE(AX68:AX84)</f>
        <v>7.8537499999999998</v>
      </c>
      <c r="AY107" s="4"/>
      <c r="AZ107" s="4">
        <f>AVERAGE(AZ68:AZ84)</f>
        <v>33.15015231975017</v>
      </c>
      <c r="BA107" s="4"/>
      <c r="BB107" s="4"/>
      <c r="BC107" s="4"/>
      <c r="BD107" s="4"/>
      <c r="BE107" s="4"/>
      <c r="BF107" s="4"/>
      <c r="BG107" s="4"/>
      <c r="BH107" s="4"/>
      <c r="BI107" s="4"/>
      <c r="BJ107" s="4"/>
      <c r="BK107" s="4"/>
      <c r="BL107" s="4"/>
      <c r="BM107" s="4"/>
      <c r="BN107" s="4"/>
      <c r="BO107" s="4"/>
      <c r="BP107" s="4">
        <v>33.18</v>
      </c>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2" t="s">
        <v>638</v>
      </c>
      <c r="CQ107" s="2" t="s">
        <v>120</v>
      </c>
      <c r="CR107" s="10" t="s">
        <v>639</v>
      </c>
      <c r="CS107" s="9" t="s">
        <v>256</v>
      </c>
    </row>
    <row r="108" spans="1:97" s="2" customFormat="1" ht="13.5" thickBot="1">
      <c r="A108" s="1">
        <v>105</v>
      </c>
      <c r="B108" s="1" t="s">
        <v>633</v>
      </c>
      <c r="C108" s="1" t="s">
        <v>640</v>
      </c>
      <c r="D108" s="21" t="s">
        <v>261</v>
      </c>
      <c r="E108" s="1" t="s">
        <v>641</v>
      </c>
      <c r="F108" s="1" t="s">
        <v>642</v>
      </c>
      <c r="G108" s="1">
        <v>2004</v>
      </c>
      <c r="H108" s="1">
        <v>2007</v>
      </c>
      <c r="I108" s="1">
        <v>1</v>
      </c>
      <c r="J108" s="1">
        <v>1</v>
      </c>
      <c r="K108" s="1">
        <v>1</v>
      </c>
      <c r="L108" s="1">
        <v>1</v>
      </c>
      <c r="M108" s="1">
        <v>0</v>
      </c>
      <c r="N108" s="1">
        <v>0</v>
      </c>
      <c r="O108" s="21">
        <v>16.5</v>
      </c>
      <c r="P108" s="21">
        <v>138</v>
      </c>
      <c r="Q108" s="21">
        <v>2200</v>
      </c>
      <c r="R108" s="21">
        <v>0</v>
      </c>
      <c r="S108" s="21">
        <v>1050</v>
      </c>
      <c r="T108" s="21">
        <v>82.666669999999996</v>
      </c>
      <c r="U108" s="21">
        <v>1561.7</v>
      </c>
      <c r="V108" s="21">
        <v>1.2250000000000001</v>
      </c>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1"/>
      <c r="AV108" s="21"/>
      <c r="AW108" s="21">
        <f>(AW72+AW77+AW78)/3</f>
        <v>7078</v>
      </c>
      <c r="AX108" s="21">
        <f>(AX72+AX77+AX78)/3</f>
        <v>8.7533333333333321</v>
      </c>
      <c r="AY108" s="21"/>
      <c r="AZ108" s="21">
        <f>(AZ72+AZ77+AZ78)/3</f>
        <v>42.606122111360975</v>
      </c>
      <c r="BA108" s="21"/>
      <c r="BB108" s="21"/>
      <c r="BC108" s="21"/>
      <c r="BD108" s="21">
        <f>(BD72+BD77+BD78)/3</f>
        <v>45.44</v>
      </c>
      <c r="BE108" s="21">
        <f>(BE72+BE77+BE78)/3</f>
        <v>48.15</v>
      </c>
      <c r="BF108" s="21">
        <f>(BF72+BF77+BF78)/3</f>
        <v>46.28</v>
      </c>
      <c r="BG108" s="21"/>
      <c r="BH108" s="21"/>
      <c r="BI108" s="21"/>
      <c r="BJ108" s="21"/>
      <c r="BK108" s="21"/>
      <c r="BL108" s="21"/>
      <c r="BM108" s="21"/>
      <c r="BN108" s="21"/>
      <c r="BO108" s="21"/>
      <c r="BP108" s="21">
        <v>40.6</v>
      </c>
      <c r="BQ108" s="21"/>
      <c r="BR108" s="21"/>
      <c r="BS108" s="21"/>
      <c r="BT108" s="21"/>
      <c r="BU108" s="21"/>
      <c r="BV108" s="21"/>
      <c r="BW108" s="21"/>
      <c r="BX108" s="21"/>
      <c r="BY108" s="21"/>
      <c r="BZ108" s="21"/>
      <c r="CA108" s="21"/>
      <c r="CB108" s="21"/>
      <c r="CC108" s="21"/>
      <c r="CD108" s="21"/>
      <c r="CE108" s="21"/>
      <c r="CF108" s="21">
        <v>8.1300000000000008</v>
      </c>
      <c r="CG108" s="21"/>
      <c r="CH108" s="21"/>
      <c r="CI108" s="21"/>
      <c r="CJ108" s="21"/>
      <c r="CK108" s="21"/>
      <c r="CL108" s="21"/>
      <c r="CM108" s="21"/>
      <c r="CN108" s="21"/>
      <c r="CO108" s="21"/>
      <c r="CP108" s="1" t="s">
        <v>643</v>
      </c>
      <c r="CQ108" s="1" t="s">
        <v>120</v>
      </c>
      <c r="CR108" s="22" t="s">
        <v>644</v>
      </c>
      <c r="CS108" s="23" t="s">
        <v>122</v>
      </c>
    </row>
    <row r="109" spans="1:97" ht="18">
      <c r="A109" s="24" t="s">
        <v>645</v>
      </c>
      <c r="B109" s="25"/>
      <c r="C109" s="25"/>
      <c r="D109" s="26"/>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row>
    <row r="110" spans="1:97" ht="18">
      <c r="A110" s="24" t="s">
        <v>646</v>
      </c>
      <c r="B110" s="25"/>
      <c r="C110" s="25"/>
      <c r="D110" s="26"/>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row>
    <row r="111" spans="1:97">
      <c r="A111" s="24" t="s">
        <v>647</v>
      </c>
      <c r="B111" s="25"/>
      <c r="C111" s="25"/>
      <c r="D111" s="26"/>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row>
    <row r="112" spans="1:97" ht="18">
      <c r="A112" s="24" t="s">
        <v>648</v>
      </c>
      <c r="B112" s="25"/>
      <c r="C112" s="25"/>
      <c r="D112" s="26"/>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row>
    <row r="113" spans="1:97" ht="18">
      <c r="A113" s="24" t="s">
        <v>649</v>
      </c>
      <c r="B113" s="25"/>
      <c r="C113" s="25"/>
      <c r="D113" s="26"/>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row>
    <row r="114" spans="1:97" ht="18">
      <c r="A114" s="24" t="s">
        <v>650</v>
      </c>
      <c r="B114" s="25"/>
      <c r="C114" s="25"/>
      <c r="D114" s="26"/>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row>
    <row r="115" spans="1:97" ht="18">
      <c r="A115" s="24" t="s">
        <v>651</v>
      </c>
      <c r="B115" s="25"/>
      <c r="C115" s="25"/>
      <c r="D115" s="26"/>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row>
    <row r="116" spans="1:97" ht="18">
      <c r="A116" s="24" t="s">
        <v>652</v>
      </c>
      <c r="B116" s="25"/>
      <c r="C116" s="25"/>
      <c r="D116" s="26"/>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row>
    <row r="117" spans="1:97">
      <c r="B117" s="25"/>
      <c r="C117" s="25"/>
      <c r="D117" s="26"/>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row>
    <row r="118" spans="1:97">
      <c r="B118" s="25"/>
      <c r="C118" s="25"/>
      <c r="D118" s="26"/>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row>
    <row r="119" spans="1:97">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row>
    <row r="120" spans="1:97">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row>
    <row r="121" spans="1:97">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row>
    <row r="122" spans="1:97">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row>
    <row r="123" spans="1:97">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row>
    <row r="124" spans="1:97">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c r="BB124" s="25"/>
      <c r="BC124" s="25"/>
      <c r="BD124" s="25"/>
      <c r="BE124" s="25"/>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row>
    <row r="125" spans="1:97">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row>
    <row r="126" spans="1:97">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row>
    <row r="127" spans="1:97">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c r="BF127" s="25"/>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row>
    <row r="128" spans="1:97">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row>
    <row r="129" spans="2:97">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row>
    <row r="130" spans="2:97">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row>
    <row r="131" spans="2:97">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c r="AY131" s="25"/>
      <c r="AZ131" s="25"/>
      <c r="BA131" s="25"/>
      <c r="BB131" s="25"/>
      <c r="BC131" s="25"/>
      <c r="BD131" s="25"/>
      <c r="BE131" s="25"/>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row>
    <row r="132" spans="2:97">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row>
    <row r="133" spans="2:97">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row>
    <row r="134" spans="2:97">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row>
    <row r="135" spans="2:97">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row>
    <row r="136" spans="2:97">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row>
    <row r="137" spans="2:97">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row>
    <row r="138" spans="2:97">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row>
    <row r="139" spans="2:97">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5"/>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row>
    <row r="140" spans="2:97">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c r="AY140" s="25"/>
      <c r="AZ140" s="25"/>
      <c r="BA140" s="25"/>
      <c r="BB140" s="25"/>
      <c r="BC140" s="25"/>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row>
    <row r="141" spans="2:97">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row>
    <row r="142" spans="2:97">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row>
    <row r="143" spans="2:97">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c r="BB143" s="25"/>
      <c r="BC143" s="25"/>
      <c r="BD143" s="25"/>
      <c r="BE143" s="25"/>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row>
    <row r="144" spans="2:97">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c r="AV144" s="25"/>
      <c r="AW144" s="25"/>
      <c r="AX144" s="25"/>
      <c r="AY144" s="25"/>
      <c r="AZ144" s="25"/>
      <c r="BA144" s="25"/>
      <c r="BB144" s="25"/>
      <c r="BC144" s="25"/>
      <c r="BD144" s="25"/>
      <c r="BE144" s="25"/>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row>
    <row r="145" spans="2:97">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c r="AV145" s="25"/>
      <c r="AW145" s="25"/>
      <c r="AX145" s="25"/>
      <c r="AY145" s="25"/>
      <c r="AZ145" s="25"/>
      <c r="BA145" s="25"/>
      <c r="BB145" s="25"/>
      <c r="BC145" s="25"/>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row>
    <row r="146" spans="2:97">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c r="AV146" s="25"/>
      <c r="AW146" s="25"/>
      <c r="AX146" s="25"/>
      <c r="AY146" s="25"/>
      <c r="AZ146" s="25"/>
      <c r="BA146" s="25"/>
      <c r="BB146" s="25"/>
      <c r="BC146" s="25"/>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row>
    <row r="147" spans="2:97">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c r="AV147" s="25"/>
      <c r="AW147" s="25"/>
      <c r="AX147" s="25"/>
      <c r="AY147" s="25"/>
      <c r="AZ147" s="25"/>
      <c r="BA147" s="25"/>
      <c r="BB147" s="25"/>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row>
    <row r="148" spans="2:97">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c r="AV148" s="25"/>
      <c r="AW148" s="25"/>
      <c r="AX148" s="25"/>
      <c r="AY148" s="25"/>
      <c r="AZ148" s="25"/>
      <c r="BA148" s="25"/>
      <c r="BB148" s="25"/>
      <c r="BC148" s="25"/>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row>
    <row r="149" spans="2:97">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c r="AV149" s="25"/>
      <c r="AW149" s="25"/>
      <c r="AX149" s="25"/>
      <c r="AY149" s="25"/>
      <c r="AZ149" s="25"/>
      <c r="BA149" s="25"/>
      <c r="BB149" s="25"/>
      <c r="BC149" s="25"/>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row>
    <row r="150" spans="2:97">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c r="AV150" s="25"/>
      <c r="AW150" s="25"/>
      <c r="AX150" s="25"/>
      <c r="AY150" s="25"/>
      <c r="AZ150" s="25"/>
      <c r="BA150" s="25"/>
      <c r="BB150" s="25"/>
      <c r="BC150" s="25"/>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row>
    <row r="151" spans="2:97">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c r="AV151" s="25"/>
      <c r="AW151" s="25"/>
      <c r="AX151" s="25"/>
      <c r="AY151" s="25"/>
      <c r="AZ151" s="25"/>
      <c r="BA151" s="25"/>
      <c r="BB151" s="25"/>
      <c r="BC151" s="25"/>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row>
    <row r="152" spans="2:97">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c r="AV152" s="25"/>
      <c r="AW152" s="25"/>
      <c r="AX152" s="25"/>
      <c r="AY152" s="25"/>
      <c r="AZ152" s="25"/>
      <c r="BA152" s="25"/>
      <c r="BB152" s="25"/>
      <c r="BC152" s="25"/>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row>
    <row r="153" spans="2:97">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c r="AV153" s="25"/>
      <c r="AW153" s="25"/>
      <c r="AX153" s="25"/>
      <c r="AY153" s="25"/>
      <c r="AZ153" s="25"/>
      <c r="BA153" s="25"/>
      <c r="BB153" s="25"/>
      <c r="BC153" s="25"/>
      <c r="BD153" s="25"/>
      <c r="BE153" s="25"/>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c r="CC153" s="25"/>
      <c r="CD153" s="25"/>
      <c r="CE153" s="25"/>
      <c r="CF153" s="25"/>
      <c r="CG153" s="25"/>
      <c r="CH153" s="25"/>
      <c r="CI153" s="25"/>
      <c r="CJ153" s="25"/>
      <c r="CK153" s="25"/>
      <c r="CL153" s="25"/>
      <c r="CM153" s="25"/>
      <c r="CN153" s="25"/>
      <c r="CO153" s="25"/>
      <c r="CP153" s="25"/>
      <c r="CQ153" s="25"/>
      <c r="CR153" s="25"/>
      <c r="CS153" s="25"/>
    </row>
    <row r="154" spans="2:97">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row>
    <row r="155" spans="2:97">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c r="AV155" s="25"/>
      <c r="AW155" s="25"/>
      <c r="AX155" s="25"/>
      <c r="AY155" s="25"/>
      <c r="AZ155" s="25"/>
      <c r="BA155" s="25"/>
      <c r="BB155" s="25"/>
      <c r="BC155" s="25"/>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row>
    <row r="156" spans="2:97">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5"/>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row>
    <row r="157" spans="2:97">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c r="AV157" s="25"/>
      <c r="AW157" s="25"/>
      <c r="AX157" s="25"/>
      <c r="AY157" s="25"/>
      <c r="AZ157" s="25"/>
      <c r="BA157" s="25"/>
      <c r="BB157" s="25"/>
      <c r="BC157" s="25"/>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row>
    <row r="158" spans="2:97">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5"/>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row>
    <row r="159" spans="2:97">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c r="AV159" s="25"/>
      <c r="AW159" s="25"/>
      <c r="AX159" s="25"/>
      <c r="AY159" s="25"/>
      <c r="AZ159" s="25"/>
      <c r="BA159" s="25"/>
      <c r="BB159" s="25"/>
      <c r="BC159" s="25"/>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row>
    <row r="160" spans="2:97">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c r="AV160" s="25"/>
      <c r="AW160" s="25"/>
      <c r="AX160" s="25"/>
      <c r="AY160" s="25"/>
      <c r="AZ160" s="25"/>
      <c r="BA160" s="25"/>
      <c r="BB160" s="25"/>
      <c r="BC160" s="25"/>
      <c r="BD160" s="25"/>
      <c r="BE160" s="25"/>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row>
    <row r="161" spans="2:97">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c r="AV161" s="25"/>
      <c r="AW161" s="25"/>
      <c r="AX161" s="25"/>
      <c r="AY161" s="25"/>
      <c r="AZ161" s="25"/>
      <c r="BA161" s="25"/>
      <c r="BB161" s="25"/>
      <c r="BC161" s="25"/>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row>
    <row r="162" spans="2:97">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c r="AV162" s="25"/>
      <c r="AW162" s="25"/>
      <c r="AX162" s="25"/>
      <c r="AY162" s="25"/>
      <c r="AZ162" s="25"/>
      <c r="BA162" s="25"/>
      <c r="BB162" s="25"/>
      <c r="BC162" s="25"/>
      <c r="BD162" s="25"/>
      <c r="BE162" s="25"/>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row>
    <row r="163" spans="2:97">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c r="AV163" s="25"/>
      <c r="AW163" s="25"/>
      <c r="AX163" s="25"/>
      <c r="AY163" s="25"/>
      <c r="AZ163" s="25"/>
      <c r="BA163" s="25"/>
      <c r="BB163" s="25"/>
      <c r="BC163" s="25"/>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row>
    <row r="164" spans="2:97">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5"/>
      <c r="BC164" s="25"/>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row>
    <row r="165" spans="2:97">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c r="AV165" s="25"/>
      <c r="AW165" s="25"/>
      <c r="AX165" s="25"/>
      <c r="AY165" s="25"/>
      <c r="AZ165" s="25"/>
      <c r="BA165" s="25"/>
      <c r="BB165" s="25"/>
      <c r="BC165" s="25"/>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row>
    <row r="166" spans="2:97">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row>
    <row r="167" spans="2:97">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c r="BB167" s="25"/>
      <c r="BC167" s="25"/>
      <c r="BD167" s="25"/>
      <c r="BE167" s="25"/>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row>
    <row r="168" spans="2:97">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row>
    <row r="169" spans="2:97">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c r="AV169" s="25"/>
      <c r="AW169" s="25"/>
      <c r="AX169" s="25"/>
      <c r="AY169" s="25"/>
      <c r="AZ169" s="25"/>
      <c r="BA169" s="25"/>
      <c r="BB169" s="25"/>
      <c r="BC169" s="25"/>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row>
    <row r="170" spans="2:97">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row>
    <row r="171" spans="2:97">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c r="AV171" s="25"/>
      <c r="AW171" s="25"/>
      <c r="AX171" s="25"/>
      <c r="AY171" s="25"/>
      <c r="AZ171" s="25"/>
      <c r="BA171" s="25"/>
      <c r="BB171" s="25"/>
      <c r="BC171" s="25"/>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row>
    <row r="172" spans="2:97">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c r="AV172" s="25"/>
      <c r="AW172" s="25"/>
      <c r="AX172" s="25"/>
      <c r="AY172" s="25"/>
      <c r="AZ172" s="25"/>
      <c r="BA172" s="25"/>
      <c r="BB172" s="25"/>
      <c r="BC172" s="25"/>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row>
    <row r="173" spans="2:97">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row>
    <row r="174" spans="2:97">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c r="AV174" s="25"/>
      <c r="AW174" s="25"/>
      <c r="AX174" s="25"/>
      <c r="AY174" s="25"/>
      <c r="AZ174" s="25"/>
      <c r="BA174" s="25"/>
      <c r="BB174" s="25"/>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row>
    <row r="175" spans="2:97">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c r="AV175" s="25"/>
      <c r="AW175" s="25"/>
      <c r="AX175" s="25"/>
      <c r="AY175" s="25"/>
      <c r="AZ175" s="25"/>
      <c r="BA175" s="25"/>
      <c r="BB175" s="25"/>
      <c r="BC175" s="25"/>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row>
    <row r="176" spans="2:97">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c r="AV176" s="25"/>
      <c r="AW176" s="25"/>
      <c r="AX176" s="25"/>
      <c r="AY176" s="25"/>
      <c r="AZ176" s="25"/>
      <c r="BA176" s="25"/>
      <c r="BB176" s="25"/>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row>
    <row r="177" spans="2:97">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5"/>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row>
    <row r="178" spans="2:97">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c r="AV178" s="25"/>
      <c r="AW178" s="25"/>
      <c r="AX178" s="25"/>
      <c r="AY178" s="25"/>
      <c r="AZ178" s="25"/>
      <c r="BA178" s="25"/>
      <c r="BB178" s="25"/>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row>
    <row r="179" spans="2:97">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c r="AV179" s="25"/>
      <c r="AW179" s="25"/>
      <c r="AX179" s="25"/>
      <c r="AY179" s="25"/>
      <c r="AZ179" s="25"/>
      <c r="BA179" s="25"/>
      <c r="BB179" s="25"/>
      <c r="BC179" s="25"/>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row>
    <row r="180" spans="2:97">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c r="BB180" s="25"/>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row>
    <row r="181" spans="2:97">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c r="AV181" s="25"/>
      <c r="AW181" s="25"/>
      <c r="AX181" s="25"/>
      <c r="AY181" s="25"/>
      <c r="AZ181" s="25"/>
      <c r="BA181" s="25"/>
      <c r="BB181" s="25"/>
      <c r="BC181" s="25"/>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row>
    <row r="182" spans="2:97">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c r="AV182" s="25"/>
      <c r="AW182" s="25"/>
      <c r="AX182" s="25"/>
      <c r="AY182" s="25"/>
      <c r="AZ182" s="25"/>
      <c r="BA182" s="25"/>
      <c r="BB182" s="25"/>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row>
    <row r="183" spans="2:97">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row>
    <row r="184" spans="2:97">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row>
    <row r="185" spans="2:97">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c r="AV185" s="25"/>
      <c r="AW185" s="25"/>
      <c r="AX185" s="25"/>
      <c r="AY185" s="25"/>
      <c r="AZ185" s="25"/>
      <c r="BA185" s="25"/>
      <c r="BB185" s="25"/>
      <c r="BC185" s="25"/>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row>
    <row r="186" spans="2:97">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row>
    <row r="187" spans="2:97">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c r="AV187" s="25"/>
      <c r="AW187" s="25"/>
      <c r="AX187" s="25"/>
      <c r="AY187" s="25"/>
      <c r="AZ187" s="25"/>
      <c r="BA187" s="25"/>
      <c r="BB187" s="25"/>
      <c r="BC187" s="25"/>
      <c r="BD187" s="25"/>
      <c r="BE187" s="25"/>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row>
    <row r="188" spans="2:97">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row>
    <row r="189" spans="2:97">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c r="AV189" s="25"/>
      <c r="AW189" s="25"/>
      <c r="AX189" s="25"/>
      <c r="AY189" s="25"/>
      <c r="AZ189" s="25"/>
      <c r="BA189" s="25"/>
      <c r="BB189" s="25"/>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row>
    <row r="190" spans="2:97">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row>
    <row r="191" spans="2:97">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c r="AV191" s="25"/>
      <c r="AW191" s="25"/>
      <c r="AX191" s="25"/>
      <c r="AY191" s="25"/>
      <c r="AZ191" s="25"/>
      <c r="BA191" s="25"/>
      <c r="BB191" s="25"/>
      <c r="BC191" s="25"/>
      <c r="BD191" s="25"/>
      <c r="BE191" s="25"/>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row>
    <row r="192" spans="2:97">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row>
    <row r="193" spans="2:97">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c r="AY193" s="25"/>
      <c r="AZ193" s="25"/>
      <c r="BA193" s="25"/>
      <c r="BB193" s="25"/>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row>
    <row r="194" spans="2:97">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row>
    <row r="195" spans="2:97">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c r="AV195" s="25"/>
      <c r="AW195" s="25"/>
      <c r="AX195" s="25"/>
      <c r="AY195" s="25"/>
      <c r="AZ195" s="25"/>
      <c r="BA195" s="25"/>
      <c r="BB195" s="25"/>
      <c r="BC195" s="25"/>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row>
    <row r="196" spans="2:97">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row>
    <row r="197" spans="2:97">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row>
    <row r="198" spans="2:97">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row>
    <row r="199" spans="2:97">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row>
    <row r="200" spans="2:97">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row>
    <row r="201" spans="2:97">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5"/>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row>
    <row r="202" spans="2:97">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row>
    <row r="203" spans="2:97">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row>
    <row r="204" spans="2:97">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c r="AV204" s="25"/>
      <c r="AW204" s="25"/>
      <c r="AX204" s="25"/>
      <c r="AY204" s="25"/>
      <c r="AZ204" s="25"/>
      <c r="BA204" s="25"/>
      <c r="BB204" s="25"/>
      <c r="BC204" s="25"/>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row>
    <row r="205" spans="2:97">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c r="AV205" s="25"/>
      <c r="AW205" s="25"/>
      <c r="AX205" s="25"/>
      <c r="AY205" s="25"/>
      <c r="AZ205" s="25"/>
      <c r="BA205" s="25"/>
      <c r="BB205" s="25"/>
      <c r="BC205" s="25"/>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row>
    <row r="206" spans="2:97">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row>
    <row r="207" spans="2:97">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c r="AV207" s="25"/>
      <c r="AW207" s="25"/>
      <c r="AX207" s="25"/>
      <c r="AY207" s="25"/>
      <c r="AZ207" s="25"/>
      <c r="BA207" s="25"/>
      <c r="BB207" s="25"/>
      <c r="BC207" s="25"/>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row>
    <row r="208" spans="2:97">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c r="AY208" s="25"/>
      <c r="AZ208" s="25"/>
      <c r="BA208" s="25"/>
      <c r="BB208" s="25"/>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row>
    <row r="209" spans="2:97">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c r="AV209" s="25"/>
      <c r="AW209" s="25"/>
      <c r="AX209" s="25"/>
      <c r="AY209" s="25"/>
      <c r="AZ209" s="25"/>
      <c r="BA209" s="25"/>
      <c r="BB209" s="25"/>
      <c r="BC209" s="25"/>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row>
    <row r="210" spans="2:97">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c r="AV210" s="25"/>
      <c r="AW210" s="25"/>
      <c r="AX210" s="25"/>
      <c r="AY210" s="25"/>
      <c r="AZ210" s="25"/>
      <c r="BA210" s="25"/>
      <c r="BB210" s="25"/>
      <c r="BC210" s="25"/>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row>
    <row r="211" spans="2:97">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c r="AV211" s="25"/>
      <c r="AW211" s="25"/>
      <c r="AX211" s="25"/>
      <c r="AY211" s="25"/>
      <c r="AZ211" s="25"/>
      <c r="BA211" s="25"/>
      <c r="BB211" s="25"/>
      <c r="BC211" s="25"/>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row>
    <row r="212" spans="2:97">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c r="AV212" s="25"/>
      <c r="AW212" s="25"/>
      <c r="AX212" s="25"/>
      <c r="AY212" s="25"/>
      <c r="AZ212" s="25"/>
      <c r="BA212" s="25"/>
      <c r="BB212" s="25"/>
      <c r="BC212" s="25"/>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row>
    <row r="213" spans="2:97">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c r="AV213" s="25"/>
      <c r="AW213" s="25"/>
      <c r="AX213" s="25"/>
      <c r="AY213" s="25"/>
      <c r="AZ213" s="25"/>
      <c r="BA213" s="25"/>
      <c r="BB213" s="25"/>
      <c r="BC213" s="25"/>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c r="CD213" s="25"/>
      <c r="CE213" s="25"/>
      <c r="CF213" s="25"/>
      <c r="CG213" s="25"/>
      <c r="CH213" s="25"/>
      <c r="CI213" s="25"/>
      <c r="CJ213" s="25"/>
      <c r="CK213" s="25"/>
      <c r="CL213" s="25"/>
      <c r="CM213" s="25"/>
      <c r="CN213" s="25"/>
      <c r="CO213" s="25"/>
      <c r="CP213" s="25"/>
      <c r="CQ213" s="25"/>
      <c r="CR213" s="25"/>
      <c r="CS213" s="25"/>
    </row>
    <row r="214" spans="2:97">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c r="AV214" s="25"/>
      <c r="AW214" s="25"/>
      <c r="AX214" s="25"/>
      <c r="AY214" s="25"/>
      <c r="AZ214" s="25"/>
      <c r="BA214" s="25"/>
      <c r="BB214" s="25"/>
      <c r="BC214" s="25"/>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row>
    <row r="215" spans="2:97">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c r="AV215" s="25"/>
      <c r="AW215" s="25"/>
      <c r="AX215" s="25"/>
      <c r="AY215" s="25"/>
      <c r="AZ215" s="25"/>
      <c r="BA215" s="25"/>
      <c r="BB215" s="25"/>
      <c r="BC215" s="25"/>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row>
    <row r="216" spans="2:97">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c r="AV216" s="25"/>
      <c r="AW216" s="25"/>
      <c r="AX216" s="25"/>
      <c r="AY216" s="25"/>
      <c r="AZ216" s="25"/>
      <c r="BA216" s="25"/>
      <c r="BB216" s="25"/>
      <c r="BC216" s="25"/>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row>
    <row r="217" spans="2:97">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c r="AV217" s="25"/>
      <c r="AW217" s="25"/>
      <c r="AX217" s="25"/>
      <c r="AY217" s="25"/>
      <c r="AZ217" s="25"/>
      <c r="BA217" s="25"/>
      <c r="BB217" s="25"/>
      <c r="BC217" s="25"/>
      <c r="BD217" s="25"/>
      <c r="BE217" s="25"/>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row>
    <row r="218" spans="2:97">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25"/>
      <c r="AW218" s="25"/>
      <c r="AX218" s="25"/>
      <c r="AY218" s="25"/>
      <c r="AZ218" s="25"/>
      <c r="BA218" s="25"/>
      <c r="BB218" s="25"/>
      <c r="BC218" s="25"/>
      <c r="BD218" s="25"/>
      <c r="BE218" s="25"/>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row>
    <row r="219" spans="2:97">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25"/>
      <c r="AW219" s="25"/>
      <c r="AX219" s="25"/>
      <c r="AY219" s="25"/>
      <c r="AZ219" s="25"/>
      <c r="BA219" s="25"/>
      <c r="BB219" s="25"/>
      <c r="BC219" s="25"/>
      <c r="BD219" s="25"/>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row>
    <row r="220" spans="2:97">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c r="AV220" s="25"/>
      <c r="AW220" s="25"/>
      <c r="AX220" s="25"/>
      <c r="AY220" s="25"/>
      <c r="AZ220" s="25"/>
      <c r="BA220" s="25"/>
      <c r="BB220" s="25"/>
      <c r="BC220" s="25"/>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row>
    <row r="221" spans="2:97">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c r="AV221" s="25"/>
      <c r="AW221" s="25"/>
      <c r="AX221" s="25"/>
      <c r="AY221" s="25"/>
      <c r="AZ221" s="25"/>
      <c r="BA221" s="25"/>
      <c r="BB221" s="25"/>
      <c r="BC221" s="25"/>
      <c r="BD221" s="25"/>
      <c r="BE221" s="25"/>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row>
    <row r="222" spans="2:97">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c r="AV222" s="25"/>
      <c r="AW222" s="25"/>
      <c r="AX222" s="25"/>
      <c r="AY222" s="25"/>
      <c r="AZ222" s="25"/>
      <c r="BA222" s="25"/>
      <c r="BB222" s="25"/>
      <c r="BC222" s="25"/>
      <c r="BD222" s="25"/>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c r="CD222" s="25"/>
      <c r="CE222" s="25"/>
      <c r="CF222" s="25"/>
      <c r="CG222" s="25"/>
      <c r="CH222" s="25"/>
      <c r="CI222" s="25"/>
      <c r="CJ222" s="25"/>
      <c r="CK222" s="25"/>
      <c r="CL222" s="25"/>
      <c r="CM222" s="25"/>
      <c r="CN222" s="25"/>
      <c r="CO222" s="25"/>
      <c r="CP222" s="25"/>
      <c r="CQ222" s="25"/>
      <c r="CR222" s="25"/>
      <c r="CS222" s="25"/>
    </row>
    <row r="223" spans="2:97">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c r="AV223" s="25"/>
      <c r="AW223" s="25"/>
      <c r="AX223" s="25"/>
      <c r="AY223" s="25"/>
      <c r="AZ223" s="25"/>
      <c r="BA223" s="25"/>
      <c r="BB223" s="25"/>
      <c r="BC223" s="25"/>
      <c r="BD223" s="25"/>
      <c r="BE223" s="25"/>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row>
    <row r="224" spans="2:97">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row>
    <row r="225" spans="2:97">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c r="AV225" s="25"/>
      <c r="AW225" s="25"/>
      <c r="AX225" s="25"/>
      <c r="AY225" s="25"/>
      <c r="AZ225" s="25"/>
      <c r="BA225" s="25"/>
      <c r="BB225" s="25"/>
      <c r="BC225" s="25"/>
      <c r="BD225" s="25"/>
      <c r="BE225" s="25"/>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row>
    <row r="226" spans="2:97">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c r="AV226" s="25"/>
      <c r="AW226" s="25"/>
      <c r="AX226" s="25"/>
      <c r="AY226" s="25"/>
      <c r="AZ226" s="25"/>
      <c r="BA226" s="25"/>
      <c r="BB226" s="25"/>
      <c r="BC226" s="25"/>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row>
    <row r="227" spans="2:97">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25"/>
      <c r="BE227" s="25"/>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row>
    <row r="228" spans="2:97">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c r="AV228" s="25"/>
      <c r="AW228" s="25"/>
      <c r="AX228" s="25"/>
      <c r="AY228" s="25"/>
      <c r="AZ228" s="25"/>
      <c r="BA228" s="25"/>
      <c r="BB228" s="25"/>
      <c r="BC228" s="25"/>
      <c r="BD228" s="25"/>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row>
    <row r="229" spans="2:97">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c r="AV229" s="25"/>
      <c r="AW229" s="25"/>
      <c r="AX229" s="25"/>
      <c r="AY229" s="25"/>
      <c r="AZ229" s="25"/>
      <c r="BA229" s="25"/>
      <c r="BB229" s="25"/>
      <c r="BC229" s="25"/>
      <c r="BD229" s="25"/>
      <c r="BE229" s="25"/>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row>
    <row r="230" spans="2:97">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5"/>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row>
    <row r="231" spans="2:97">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c r="AV231" s="25"/>
      <c r="AW231" s="25"/>
      <c r="AX231" s="25"/>
      <c r="AY231" s="25"/>
      <c r="AZ231" s="25"/>
      <c r="BA231" s="25"/>
      <c r="BB231" s="25"/>
      <c r="BC231" s="25"/>
      <c r="BD231" s="25"/>
      <c r="BE231" s="25"/>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row>
    <row r="232" spans="2:97">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25"/>
      <c r="AW232" s="25"/>
      <c r="AX232" s="25"/>
      <c r="AY232" s="25"/>
      <c r="AZ232" s="25"/>
      <c r="BA232" s="25"/>
      <c r="BB232" s="25"/>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row>
    <row r="233" spans="2:97">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c r="AV233" s="25"/>
      <c r="AW233" s="25"/>
      <c r="AX233" s="25"/>
      <c r="AY233" s="25"/>
      <c r="AZ233" s="25"/>
      <c r="BA233" s="25"/>
      <c r="BB233" s="25"/>
      <c r="BC233" s="25"/>
      <c r="BD233" s="25"/>
      <c r="BE233" s="25"/>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row>
    <row r="234" spans="2:97">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c r="AV234" s="25"/>
      <c r="AW234" s="25"/>
      <c r="AX234" s="25"/>
      <c r="AY234" s="25"/>
      <c r="AZ234" s="25"/>
      <c r="BA234" s="25"/>
      <c r="BB234" s="25"/>
      <c r="BC234" s="25"/>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row>
    <row r="235" spans="2:97">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c r="AV235" s="25"/>
      <c r="AW235" s="25"/>
      <c r="AX235" s="25"/>
      <c r="AY235" s="25"/>
      <c r="AZ235" s="25"/>
      <c r="BA235" s="25"/>
      <c r="BB235" s="25"/>
      <c r="BC235" s="25"/>
      <c r="BD235" s="25"/>
      <c r="BE235" s="25"/>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row>
    <row r="236" spans="2:97">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c r="AV236" s="25"/>
      <c r="AW236" s="25"/>
      <c r="AX236" s="25"/>
      <c r="AY236" s="25"/>
      <c r="AZ236" s="25"/>
      <c r="BA236" s="25"/>
      <c r="BB236" s="25"/>
      <c r="BC236" s="25"/>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row>
    <row r="237" spans="2:97">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c r="AV237" s="25"/>
      <c r="AW237" s="25"/>
      <c r="AX237" s="25"/>
      <c r="AY237" s="25"/>
      <c r="AZ237" s="25"/>
      <c r="BA237" s="25"/>
      <c r="BB237" s="25"/>
      <c r="BC237" s="25"/>
      <c r="BD237" s="25"/>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row>
    <row r="238" spans="2:97">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c r="AV238" s="25"/>
      <c r="AW238" s="25"/>
      <c r="AX238" s="25"/>
      <c r="AY238" s="25"/>
      <c r="AZ238" s="25"/>
      <c r="BA238" s="25"/>
      <c r="BB238" s="25"/>
      <c r="BC238" s="25"/>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row>
    <row r="239" spans="2:97">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c r="AV239" s="25"/>
      <c r="AW239" s="25"/>
      <c r="AX239" s="25"/>
      <c r="AY239" s="25"/>
      <c r="AZ239" s="25"/>
      <c r="BA239" s="25"/>
      <c r="BB239" s="25"/>
      <c r="BC239" s="25"/>
      <c r="BD239" s="25"/>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row>
    <row r="240" spans="2:97">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25"/>
      <c r="BE240" s="25"/>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row>
    <row r="241" spans="2:97">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c r="AV241" s="25"/>
      <c r="AW241" s="25"/>
      <c r="AX241" s="25"/>
      <c r="AY241" s="25"/>
      <c r="AZ241" s="25"/>
      <c r="BA241" s="25"/>
      <c r="BB241" s="25"/>
      <c r="BC241" s="25"/>
      <c r="BD241" s="25"/>
      <c r="BE241" s="25"/>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row>
    <row r="242" spans="2:97">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c r="AV242" s="25"/>
      <c r="AW242" s="25"/>
      <c r="AX242" s="25"/>
      <c r="AY242" s="25"/>
      <c r="AZ242" s="25"/>
      <c r="BA242" s="25"/>
      <c r="BB242" s="25"/>
      <c r="BC242" s="25"/>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row>
    <row r="243" spans="2:97">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c r="AV243" s="25"/>
      <c r="AW243" s="25"/>
      <c r="AX243" s="25"/>
      <c r="AY243" s="25"/>
      <c r="AZ243" s="25"/>
      <c r="BA243" s="25"/>
      <c r="BB243" s="25"/>
      <c r="BC243" s="25"/>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row>
    <row r="244" spans="2:97">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c r="AV244" s="25"/>
      <c r="AW244" s="25"/>
      <c r="AX244" s="25"/>
      <c r="AY244" s="25"/>
      <c r="AZ244" s="25"/>
      <c r="BA244" s="25"/>
      <c r="BB244" s="25"/>
      <c r="BC244" s="25"/>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row>
    <row r="245" spans="2:97">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c r="AV245" s="25"/>
      <c r="AW245" s="25"/>
      <c r="AX245" s="25"/>
      <c r="AY245" s="25"/>
      <c r="AZ245" s="25"/>
      <c r="BA245" s="25"/>
      <c r="BB245" s="25"/>
      <c r="BC245" s="25"/>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c r="CC245" s="25"/>
      <c r="CD245" s="25"/>
      <c r="CE245" s="25"/>
      <c r="CF245" s="25"/>
      <c r="CG245" s="25"/>
      <c r="CH245" s="25"/>
      <c r="CI245" s="25"/>
      <c r="CJ245" s="25"/>
      <c r="CK245" s="25"/>
      <c r="CL245" s="25"/>
      <c r="CM245" s="25"/>
      <c r="CN245" s="25"/>
      <c r="CO245" s="25"/>
      <c r="CP245" s="25"/>
      <c r="CQ245" s="25"/>
      <c r="CR245" s="25"/>
      <c r="CS245" s="25"/>
    </row>
    <row r="246" spans="2:97">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c r="AV246" s="25"/>
      <c r="AW246" s="25"/>
      <c r="AX246" s="25"/>
      <c r="AY246" s="25"/>
      <c r="AZ246" s="25"/>
      <c r="BA246" s="25"/>
      <c r="BB246" s="25"/>
      <c r="BC246" s="25"/>
      <c r="BD246" s="25"/>
      <c r="BE246" s="25"/>
      <c r="BF246" s="25"/>
      <c r="BG246" s="25"/>
      <c r="BH246" s="25"/>
      <c r="BI246" s="25"/>
      <c r="BJ246" s="25"/>
      <c r="BK246" s="25"/>
      <c r="BL246" s="25"/>
      <c r="BM246" s="25"/>
      <c r="BN246" s="25"/>
      <c r="BO246" s="25"/>
      <c r="BP246" s="25"/>
      <c r="BQ246" s="25"/>
      <c r="BR246" s="25"/>
      <c r="BS246" s="25"/>
      <c r="BT246" s="25"/>
      <c r="BU246" s="25"/>
      <c r="BV246" s="25"/>
      <c r="BW246" s="25"/>
      <c r="BX246" s="25"/>
      <c r="BY246" s="25"/>
      <c r="BZ246" s="25"/>
      <c r="CA246" s="25"/>
      <c r="CB246" s="25"/>
      <c r="CC246" s="25"/>
      <c r="CD246" s="25"/>
      <c r="CE246" s="25"/>
      <c r="CF246" s="25"/>
      <c r="CG246" s="25"/>
      <c r="CH246" s="25"/>
      <c r="CI246" s="25"/>
      <c r="CJ246" s="25"/>
      <c r="CK246" s="25"/>
      <c r="CL246" s="25"/>
      <c r="CM246" s="25"/>
      <c r="CN246" s="25"/>
      <c r="CO246" s="25"/>
      <c r="CP246" s="25"/>
      <c r="CQ246" s="25"/>
      <c r="CR246" s="25"/>
      <c r="CS246" s="25"/>
    </row>
    <row r="247" spans="2:97">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c r="AV247" s="25"/>
      <c r="AW247" s="25"/>
      <c r="AX247" s="25"/>
      <c r="AY247" s="25"/>
      <c r="AZ247" s="25"/>
      <c r="BA247" s="25"/>
      <c r="BB247" s="25"/>
      <c r="BC247" s="25"/>
      <c r="BD247" s="25"/>
      <c r="BE247" s="25"/>
      <c r="BF247" s="25"/>
      <c r="BG247" s="25"/>
      <c r="BH247" s="25"/>
      <c r="BI247" s="25"/>
      <c r="BJ247" s="25"/>
      <c r="BK247" s="25"/>
      <c r="BL247" s="25"/>
      <c r="BM247" s="25"/>
      <c r="BN247" s="25"/>
      <c r="BO247" s="25"/>
      <c r="BP247" s="25"/>
      <c r="BQ247" s="25"/>
      <c r="BR247" s="25"/>
      <c r="BS247" s="25"/>
      <c r="BT247" s="25"/>
      <c r="BU247" s="25"/>
      <c r="BV247" s="25"/>
      <c r="BW247" s="25"/>
      <c r="BX247" s="25"/>
      <c r="BY247" s="25"/>
      <c r="BZ247" s="25"/>
      <c r="CA247" s="25"/>
      <c r="CB247" s="25"/>
      <c r="CC247" s="25"/>
      <c r="CD247" s="25"/>
      <c r="CE247" s="25"/>
      <c r="CF247" s="25"/>
      <c r="CG247" s="25"/>
      <c r="CH247" s="25"/>
      <c r="CI247" s="25"/>
      <c r="CJ247" s="25"/>
      <c r="CK247" s="25"/>
      <c r="CL247" s="25"/>
      <c r="CM247" s="25"/>
      <c r="CN247" s="25"/>
      <c r="CO247" s="25"/>
      <c r="CP247" s="25"/>
      <c r="CQ247" s="25"/>
      <c r="CR247" s="25"/>
      <c r="CS247" s="25"/>
    </row>
    <row r="248" spans="2:97">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c r="AV248" s="25"/>
      <c r="AW248" s="25"/>
      <c r="AX248" s="25"/>
      <c r="AY248" s="25"/>
      <c r="AZ248" s="25"/>
      <c r="BA248" s="25"/>
      <c r="BB248" s="25"/>
      <c r="BC248" s="25"/>
      <c r="BD248" s="25"/>
      <c r="BE248" s="25"/>
      <c r="BF248" s="25"/>
      <c r="BG248" s="25"/>
      <c r="BH248" s="25"/>
      <c r="BI248" s="25"/>
      <c r="BJ248" s="25"/>
      <c r="BK248" s="25"/>
      <c r="BL248" s="25"/>
      <c r="BM248" s="25"/>
      <c r="BN248" s="25"/>
      <c r="BO248" s="25"/>
      <c r="BP248" s="25"/>
      <c r="BQ248" s="25"/>
      <c r="BR248" s="25"/>
      <c r="BS248" s="25"/>
      <c r="BT248" s="25"/>
      <c r="BU248" s="25"/>
      <c r="BV248" s="25"/>
      <c r="BW248" s="25"/>
      <c r="BX248" s="25"/>
      <c r="BY248" s="25"/>
      <c r="BZ248" s="25"/>
      <c r="CA248" s="25"/>
      <c r="CB248" s="25"/>
      <c r="CC248" s="25"/>
      <c r="CD248" s="25"/>
      <c r="CE248" s="25"/>
      <c r="CF248" s="25"/>
      <c r="CG248" s="25"/>
      <c r="CH248" s="25"/>
      <c r="CI248" s="25"/>
      <c r="CJ248" s="25"/>
      <c r="CK248" s="25"/>
      <c r="CL248" s="25"/>
      <c r="CM248" s="25"/>
      <c r="CN248" s="25"/>
      <c r="CO248" s="25"/>
      <c r="CP248" s="25"/>
      <c r="CQ248" s="25"/>
      <c r="CR248" s="25"/>
      <c r="CS248" s="25"/>
    </row>
    <row r="249" spans="2:97">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c r="AV249" s="25"/>
      <c r="AW249" s="25"/>
      <c r="AX249" s="25"/>
      <c r="AY249" s="25"/>
      <c r="AZ249" s="25"/>
      <c r="BA249" s="25"/>
      <c r="BB249" s="25"/>
      <c r="BC249" s="25"/>
      <c r="BD249" s="25"/>
      <c r="BE249" s="25"/>
      <c r="BF249" s="25"/>
      <c r="BG249" s="25"/>
      <c r="BH249" s="25"/>
      <c r="BI249" s="25"/>
      <c r="BJ249" s="25"/>
      <c r="BK249" s="25"/>
      <c r="BL249" s="25"/>
      <c r="BM249" s="25"/>
      <c r="BN249" s="25"/>
      <c r="BO249" s="25"/>
      <c r="BP249" s="25"/>
      <c r="BQ249" s="25"/>
      <c r="BR249" s="25"/>
      <c r="BS249" s="25"/>
      <c r="BT249" s="25"/>
      <c r="BU249" s="25"/>
      <c r="BV249" s="25"/>
      <c r="BW249" s="25"/>
      <c r="BX249" s="25"/>
      <c r="BY249" s="25"/>
      <c r="BZ249" s="25"/>
      <c r="CA249" s="25"/>
      <c r="CB249" s="25"/>
      <c r="CC249" s="25"/>
      <c r="CD249" s="25"/>
      <c r="CE249" s="25"/>
      <c r="CF249" s="25"/>
      <c r="CG249" s="25"/>
      <c r="CH249" s="25"/>
      <c r="CI249" s="25"/>
      <c r="CJ249" s="25"/>
      <c r="CK249" s="25"/>
      <c r="CL249" s="25"/>
      <c r="CM249" s="25"/>
      <c r="CN249" s="25"/>
      <c r="CO249" s="25"/>
      <c r="CP249" s="25"/>
      <c r="CQ249" s="25"/>
      <c r="CR249" s="25"/>
      <c r="CS249" s="25"/>
    </row>
    <row r="250" spans="2:97">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c r="AV250" s="25"/>
      <c r="AW250" s="25"/>
      <c r="AX250" s="25"/>
      <c r="AY250" s="25"/>
      <c r="AZ250" s="25"/>
      <c r="BA250" s="25"/>
      <c r="BB250" s="25"/>
      <c r="BC250" s="25"/>
      <c r="BD250" s="25"/>
      <c r="BE250" s="25"/>
      <c r="BF250" s="25"/>
      <c r="BG250" s="25"/>
      <c r="BH250" s="25"/>
      <c r="BI250" s="25"/>
      <c r="BJ250" s="25"/>
      <c r="BK250" s="25"/>
      <c r="BL250" s="25"/>
      <c r="BM250" s="25"/>
      <c r="BN250" s="25"/>
      <c r="BO250" s="25"/>
      <c r="BP250" s="25"/>
      <c r="BQ250" s="25"/>
      <c r="BR250" s="25"/>
      <c r="BS250" s="25"/>
      <c r="BT250" s="25"/>
      <c r="BU250" s="25"/>
      <c r="BV250" s="25"/>
      <c r="BW250" s="25"/>
      <c r="BX250" s="25"/>
      <c r="BY250" s="25"/>
      <c r="BZ250" s="25"/>
      <c r="CA250" s="25"/>
      <c r="CB250" s="25"/>
      <c r="CC250" s="25"/>
      <c r="CD250" s="25"/>
      <c r="CE250" s="25"/>
      <c r="CF250" s="25"/>
      <c r="CG250" s="25"/>
      <c r="CH250" s="25"/>
      <c r="CI250" s="25"/>
      <c r="CJ250" s="25"/>
      <c r="CK250" s="25"/>
      <c r="CL250" s="25"/>
      <c r="CM250" s="25"/>
      <c r="CN250" s="25"/>
      <c r="CO250" s="25"/>
      <c r="CP250" s="25"/>
      <c r="CQ250" s="25"/>
      <c r="CR250" s="25"/>
      <c r="CS250" s="25"/>
    </row>
    <row r="251" spans="2:97">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c r="AY251" s="25"/>
      <c r="AZ251" s="25"/>
      <c r="BA251" s="25"/>
      <c r="BB251" s="25"/>
      <c r="BC251" s="25"/>
      <c r="BD251" s="25"/>
      <c r="BE251" s="25"/>
      <c r="BF251" s="25"/>
      <c r="BG251" s="25"/>
      <c r="BH251" s="25"/>
      <c r="BI251" s="25"/>
      <c r="BJ251" s="25"/>
      <c r="BK251" s="25"/>
      <c r="BL251" s="25"/>
      <c r="BM251" s="25"/>
      <c r="BN251" s="25"/>
      <c r="BO251" s="25"/>
      <c r="BP251" s="25"/>
      <c r="BQ251" s="25"/>
      <c r="BR251" s="25"/>
      <c r="BS251" s="25"/>
      <c r="BT251" s="25"/>
      <c r="BU251" s="25"/>
      <c r="BV251" s="25"/>
      <c r="BW251" s="25"/>
      <c r="BX251" s="25"/>
      <c r="BY251" s="25"/>
      <c r="BZ251" s="25"/>
      <c r="CA251" s="25"/>
      <c r="CB251" s="25"/>
      <c r="CC251" s="25"/>
      <c r="CD251" s="25"/>
      <c r="CE251" s="25"/>
      <c r="CF251" s="25"/>
      <c r="CG251" s="25"/>
      <c r="CH251" s="25"/>
      <c r="CI251" s="25"/>
      <c r="CJ251" s="25"/>
      <c r="CK251" s="25"/>
      <c r="CL251" s="25"/>
      <c r="CM251" s="25"/>
      <c r="CN251" s="25"/>
      <c r="CO251" s="25"/>
      <c r="CP251" s="25"/>
      <c r="CQ251" s="25"/>
      <c r="CR251" s="25"/>
      <c r="CS251" s="25"/>
    </row>
    <row r="252" spans="2:97">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c r="AV252" s="25"/>
      <c r="AW252" s="25"/>
      <c r="AX252" s="25"/>
      <c r="AY252" s="25"/>
      <c r="AZ252" s="25"/>
      <c r="BA252" s="25"/>
      <c r="BB252" s="25"/>
      <c r="BC252" s="25"/>
      <c r="BD252" s="25"/>
      <c r="BE252" s="25"/>
      <c r="BF252" s="25"/>
      <c r="BG252" s="25"/>
      <c r="BH252" s="25"/>
      <c r="BI252" s="25"/>
      <c r="BJ252" s="25"/>
      <c r="BK252" s="25"/>
      <c r="BL252" s="25"/>
      <c r="BM252" s="25"/>
      <c r="BN252" s="25"/>
      <c r="BO252" s="25"/>
      <c r="BP252" s="25"/>
      <c r="BQ252" s="25"/>
      <c r="BR252" s="25"/>
      <c r="BS252" s="25"/>
      <c r="BT252" s="25"/>
      <c r="BU252" s="25"/>
      <c r="BV252" s="25"/>
      <c r="BW252" s="25"/>
      <c r="BX252" s="25"/>
      <c r="BY252" s="25"/>
      <c r="BZ252" s="25"/>
      <c r="CA252" s="25"/>
      <c r="CB252" s="25"/>
      <c r="CC252" s="25"/>
      <c r="CD252" s="25"/>
      <c r="CE252" s="25"/>
      <c r="CF252" s="25"/>
      <c r="CG252" s="25"/>
      <c r="CH252" s="25"/>
      <c r="CI252" s="25"/>
      <c r="CJ252" s="25"/>
      <c r="CK252" s="25"/>
      <c r="CL252" s="25"/>
      <c r="CM252" s="25"/>
      <c r="CN252" s="25"/>
      <c r="CO252" s="25"/>
      <c r="CP252" s="25"/>
      <c r="CQ252" s="25"/>
      <c r="CR252" s="25"/>
      <c r="CS252" s="25"/>
    </row>
    <row r="253" spans="2:97">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c r="AV253" s="25"/>
      <c r="AW253" s="25"/>
      <c r="AX253" s="25"/>
      <c r="AY253" s="25"/>
      <c r="AZ253" s="25"/>
      <c r="BA253" s="25"/>
      <c r="BB253" s="25"/>
      <c r="BC253" s="25"/>
      <c r="BD253" s="25"/>
      <c r="BE253" s="25"/>
      <c r="BF253" s="25"/>
      <c r="BG253" s="25"/>
      <c r="BH253" s="25"/>
      <c r="BI253" s="25"/>
      <c r="BJ253" s="25"/>
      <c r="BK253" s="25"/>
      <c r="BL253" s="25"/>
      <c r="BM253" s="25"/>
      <c r="BN253" s="25"/>
      <c r="BO253" s="25"/>
      <c r="BP253" s="25"/>
      <c r="BQ253" s="25"/>
      <c r="BR253" s="25"/>
      <c r="BS253" s="25"/>
      <c r="BT253" s="25"/>
      <c r="BU253" s="25"/>
      <c r="BV253" s="25"/>
      <c r="BW253" s="25"/>
      <c r="BX253" s="25"/>
      <c r="BY253" s="25"/>
      <c r="BZ253" s="25"/>
      <c r="CA253" s="25"/>
      <c r="CB253" s="25"/>
      <c r="CC253" s="25"/>
      <c r="CD253" s="25"/>
      <c r="CE253" s="25"/>
      <c r="CF253" s="25"/>
      <c r="CG253" s="25"/>
      <c r="CH253" s="25"/>
      <c r="CI253" s="25"/>
      <c r="CJ253" s="25"/>
      <c r="CK253" s="25"/>
      <c r="CL253" s="25"/>
      <c r="CM253" s="25"/>
      <c r="CN253" s="25"/>
      <c r="CO253" s="25"/>
      <c r="CP253" s="25"/>
      <c r="CQ253" s="25"/>
      <c r="CR253" s="25"/>
      <c r="CS253" s="25"/>
    </row>
    <row r="254" spans="2:97">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c r="AV254" s="25"/>
      <c r="AW254" s="25"/>
      <c r="AX254" s="25"/>
      <c r="AY254" s="25"/>
      <c r="AZ254" s="25"/>
      <c r="BA254" s="25"/>
      <c r="BB254" s="25"/>
      <c r="BC254" s="25"/>
      <c r="BD254" s="25"/>
      <c r="BE254" s="25"/>
      <c r="BF254" s="25"/>
      <c r="BG254" s="25"/>
      <c r="BH254" s="25"/>
      <c r="BI254" s="25"/>
      <c r="BJ254" s="25"/>
      <c r="BK254" s="25"/>
      <c r="BL254" s="25"/>
      <c r="BM254" s="25"/>
      <c r="BN254" s="25"/>
      <c r="BO254" s="25"/>
      <c r="BP254" s="25"/>
      <c r="BQ254" s="25"/>
      <c r="BR254" s="25"/>
      <c r="BS254" s="25"/>
      <c r="BT254" s="25"/>
      <c r="BU254" s="25"/>
      <c r="BV254" s="25"/>
      <c r="BW254" s="25"/>
      <c r="BX254" s="25"/>
      <c r="BY254" s="25"/>
      <c r="BZ254" s="25"/>
      <c r="CA254" s="25"/>
      <c r="CB254" s="25"/>
      <c r="CC254" s="25"/>
      <c r="CD254" s="25"/>
      <c r="CE254" s="25"/>
      <c r="CF254" s="25"/>
      <c r="CG254" s="25"/>
      <c r="CH254" s="25"/>
      <c r="CI254" s="25"/>
      <c r="CJ254" s="25"/>
      <c r="CK254" s="25"/>
      <c r="CL254" s="25"/>
      <c r="CM254" s="25"/>
      <c r="CN254" s="25"/>
      <c r="CO254" s="25"/>
      <c r="CP254" s="25"/>
      <c r="CQ254" s="25"/>
      <c r="CR254" s="25"/>
      <c r="CS254" s="25"/>
    </row>
    <row r="255" spans="2:97">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c r="AV255" s="25"/>
      <c r="AW255" s="25"/>
      <c r="AX255" s="25"/>
      <c r="AY255" s="25"/>
      <c r="AZ255" s="25"/>
      <c r="BA255" s="25"/>
      <c r="BB255" s="25"/>
      <c r="BC255" s="25"/>
      <c r="BD255" s="25"/>
      <c r="BE255" s="25"/>
      <c r="BF255" s="25"/>
      <c r="BG255" s="25"/>
      <c r="BH255" s="25"/>
      <c r="BI255" s="25"/>
      <c r="BJ255" s="25"/>
      <c r="BK255" s="25"/>
      <c r="BL255" s="25"/>
      <c r="BM255" s="25"/>
      <c r="BN255" s="25"/>
      <c r="BO255" s="25"/>
      <c r="BP255" s="25"/>
      <c r="BQ255" s="25"/>
      <c r="BR255" s="25"/>
      <c r="BS255" s="25"/>
      <c r="BT255" s="25"/>
      <c r="BU255" s="25"/>
      <c r="BV255" s="25"/>
      <c r="BW255" s="25"/>
      <c r="BX255" s="25"/>
      <c r="BY255" s="25"/>
      <c r="BZ255" s="25"/>
      <c r="CA255" s="25"/>
      <c r="CB255" s="25"/>
      <c r="CC255" s="25"/>
      <c r="CD255" s="25"/>
      <c r="CE255" s="25"/>
      <c r="CF255" s="25"/>
      <c r="CG255" s="25"/>
      <c r="CH255" s="25"/>
      <c r="CI255" s="25"/>
      <c r="CJ255" s="25"/>
      <c r="CK255" s="25"/>
      <c r="CL255" s="25"/>
      <c r="CM255" s="25"/>
      <c r="CN255" s="25"/>
      <c r="CO255" s="25"/>
      <c r="CP255" s="25"/>
      <c r="CQ255" s="25"/>
      <c r="CR255" s="25"/>
      <c r="CS255" s="25"/>
    </row>
    <row r="256" spans="2:97">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c r="AZ256" s="25"/>
      <c r="BA256" s="25"/>
      <c r="BB256" s="25"/>
      <c r="BC256" s="25"/>
      <c r="BD256" s="25"/>
      <c r="BE256" s="25"/>
      <c r="BF256" s="25"/>
      <c r="BG256" s="25"/>
      <c r="BH256" s="25"/>
      <c r="BI256" s="25"/>
      <c r="BJ256" s="25"/>
      <c r="BK256" s="25"/>
      <c r="BL256" s="25"/>
      <c r="BM256" s="25"/>
      <c r="BN256" s="25"/>
      <c r="BO256" s="25"/>
      <c r="BP256" s="25"/>
      <c r="BQ256" s="25"/>
      <c r="BR256" s="25"/>
      <c r="BS256" s="25"/>
      <c r="BT256" s="25"/>
      <c r="BU256" s="25"/>
      <c r="BV256" s="25"/>
      <c r="BW256" s="25"/>
      <c r="BX256" s="25"/>
      <c r="BY256" s="25"/>
      <c r="BZ256" s="25"/>
      <c r="CA256" s="25"/>
      <c r="CB256" s="25"/>
      <c r="CC256" s="25"/>
      <c r="CD256" s="25"/>
      <c r="CE256" s="25"/>
      <c r="CF256" s="25"/>
      <c r="CG256" s="25"/>
      <c r="CH256" s="25"/>
      <c r="CI256" s="25"/>
      <c r="CJ256" s="25"/>
      <c r="CK256" s="25"/>
      <c r="CL256" s="25"/>
      <c r="CM256" s="25"/>
      <c r="CN256" s="25"/>
      <c r="CO256" s="25"/>
      <c r="CP256" s="25"/>
      <c r="CQ256" s="25"/>
      <c r="CR256" s="25"/>
      <c r="CS256" s="25"/>
    </row>
    <row r="257" spans="2:97">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c r="AV257" s="25"/>
      <c r="AW257" s="25"/>
      <c r="AX257" s="25"/>
      <c r="AY257" s="25"/>
      <c r="AZ257" s="25"/>
      <c r="BA257" s="25"/>
      <c r="BB257" s="25"/>
      <c r="BC257" s="25"/>
      <c r="BD257" s="25"/>
      <c r="BE257" s="25"/>
      <c r="BF257" s="25"/>
      <c r="BG257" s="25"/>
      <c r="BH257" s="25"/>
      <c r="BI257" s="25"/>
      <c r="BJ257" s="25"/>
      <c r="BK257" s="25"/>
      <c r="BL257" s="25"/>
      <c r="BM257" s="25"/>
      <c r="BN257" s="25"/>
      <c r="BO257" s="25"/>
      <c r="BP257" s="25"/>
      <c r="BQ257" s="25"/>
      <c r="BR257" s="25"/>
      <c r="BS257" s="25"/>
      <c r="BT257" s="25"/>
      <c r="BU257" s="25"/>
      <c r="BV257" s="25"/>
      <c r="BW257" s="25"/>
      <c r="BX257" s="25"/>
      <c r="BY257" s="25"/>
      <c r="BZ257" s="25"/>
      <c r="CA257" s="25"/>
      <c r="CB257" s="25"/>
      <c r="CC257" s="25"/>
      <c r="CD257" s="25"/>
      <c r="CE257" s="25"/>
      <c r="CF257" s="25"/>
      <c r="CG257" s="25"/>
      <c r="CH257" s="25"/>
      <c r="CI257" s="25"/>
      <c r="CJ257" s="25"/>
      <c r="CK257" s="25"/>
      <c r="CL257" s="25"/>
      <c r="CM257" s="25"/>
      <c r="CN257" s="25"/>
      <c r="CO257" s="25"/>
      <c r="CP257" s="25"/>
      <c r="CQ257" s="25"/>
      <c r="CR257" s="25"/>
      <c r="CS257" s="25"/>
    </row>
    <row r="258" spans="2:97">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c r="BX258" s="25"/>
      <c r="BY258" s="25"/>
      <c r="BZ258" s="25"/>
      <c r="CA258" s="25"/>
      <c r="CB258" s="25"/>
      <c r="CC258" s="25"/>
      <c r="CD258" s="25"/>
      <c r="CE258" s="25"/>
      <c r="CF258" s="25"/>
      <c r="CG258" s="25"/>
      <c r="CH258" s="25"/>
      <c r="CI258" s="25"/>
      <c r="CJ258" s="25"/>
      <c r="CK258" s="25"/>
      <c r="CL258" s="25"/>
      <c r="CM258" s="25"/>
      <c r="CN258" s="25"/>
      <c r="CO258" s="25"/>
      <c r="CP258" s="25"/>
      <c r="CQ258" s="25"/>
      <c r="CR258" s="25"/>
      <c r="CS258" s="25"/>
    </row>
    <row r="259" spans="2:97">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c r="BX259" s="25"/>
      <c r="BY259" s="25"/>
      <c r="BZ259" s="25"/>
      <c r="CA259" s="25"/>
      <c r="CB259" s="25"/>
      <c r="CC259" s="25"/>
      <c r="CD259" s="25"/>
      <c r="CE259" s="25"/>
      <c r="CF259" s="25"/>
      <c r="CG259" s="25"/>
      <c r="CH259" s="25"/>
      <c r="CI259" s="25"/>
      <c r="CJ259" s="25"/>
      <c r="CK259" s="25"/>
      <c r="CL259" s="25"/>
      <c r="CM259" s="25"/>
      <c r="CN259" s="25"/>
      <c r="CO259" s="25"/>
      <c r="CP259" s="25"/>
      <c r="CQ259" s="25"/>
      <c r="CR259" s="25"/>
      <c r="CS259" s="25"/>
    </row>
    <row r="260" spans="2:97">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c r="BX260" s="25"/>
      <c r="BY260" s="25"/>
      <c r="BZ260" s="25"/>
      <c r="CA260" s="25"/>
      <c r="CB260" s="25"/>
      <c r="CC260" s="25"/>
      <c r="CD260" s="25"/>
      <c r="CE260" s="25"/>
      <c r="CF260" s="25"/>
      <c r="CG260" s="25"/>
      <c r="CH260" s="25"/>
      <c r="CI260" s="25"/>
      <c r="CJ260" s="25"/>
      <c r="CK260" s="25"/>
      <c r="CL260" s="25"/>
      <c r="CM260" s="25"/>
      <c r="CN260" s="25"/>
      <c r="CO260" s="25"/>
      <c r="CP260" s="25"/>
      <c r="CQ260" s="25"/>
      <c r="CR260" s="25"/>
      <c r="CS260" s="25"/>
    </row>
    <row r="261" spans="2:97">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c r="BX261" s="25"/>
      <c r="BY261" s="25"/>
      <c r="BZ261" s="25"/>
      <c r="CA261" s="25"/>
      <c r="CB261" s="25"/>
      <c r="CC261" s="25"/>
      <c r="CD261" s="25"/>
      <c r="CE261" s="25"/>
      <c r="CF261" s="25"/>
      <c r="CG261" s="25"/>
      <c r="CH261" s="25"/>
      <c r="CI261" s="25"/>
      <c r="CJ261" s="25"/>
      <c r="CK261" s="25"/>
      <c r="CL261" s="25"/>
      <c r="CM261" s="25"/>
      <c r="CN261" s="25"/>
      <c r="CO261" s="25"/>
      <c r="CP261" s="25"/>
      <c r="CQ261" s="25"/>
      <c r="CR261" s="25"/>
      <c r="CS261" s="25"/>
    </row>
    <row r="262" spans="2:97">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c r="BX262" s="25"/>
      <c r="BY262" s="25"/>
      <c r="BZ262" s="25"/>
      <c r="CA262" s="25"/>
      <c r="CB262" s="25"/>
      <c r="CC262" s="25"/>
      <c r="CD262" s="25"/>
      <c r="CE262" s="25"/>
      <c r="CF262" s="25"/>
      <c r="CG262" s="25"/>
      <c r="CH262" s="25"/>
      <c r="CI262" s="25"/>
      <c r="CJ262" s="25"/>
      <c r="CK262" s="25"/>
      <c r="CL262" s="25"/>
      <c r="CM262" s="25"/>
      <c r="CN262" s="25"/>
      <c r="CO262" s="25"/>
      <c r="CP262" s="25"/>
      <c r="CQ262" s="25"/>
      <c r="CR262" s="25"/>
      <c r="CS262" s="25"/>
    </row>
    <row r="263" spans="2:97">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c r="BX263" s="25"/>
      <c r="BY263" s="25"/>
      <c r="BZ263" s="25"/>
      <c r="CA263" s="25"/>
      <c r="CB263" s="25"/>
      <c r="CC263" s="25"/>
      <c r="CD263" s="25"/>
      <c r="CE263" s="25"/>
      <c r="CF263" s="25"/>
      <c r="CG263" s="25"/>
      <c r="CH263" s="25"/>
      <c r="CI263" s="25"/>
      <c r="CJ263" s="25"/>
      <c r="CK263" s="25"/>
      <c r="CL263" s="25"/>
      <c r="CM263" s="25"/>
      <c r="CN263" s="25"/>
      <c r="CO263" s="25"/>
      <c r="CP263" s="25"/>
      <c r="CQ263" s="25"/>
      <c r="CR263" s="25"/>
      <c r="CS263" s="25"/>
    </row>
    <row r="264" spans="2:97">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c r="BX264" s="25"/>
      <c r="BY264" s="25"/>
      <c r="BZ264" s="25"/>
      <c r="CA264" s="25"/>
      <c r="CB264" s="25"/>
      <c r="CC264" s="25"/>
      <c r="CD264" s="25"/>
      <c r="CE264" s="25"/>
      <c r="CF264" s="25"/>
      <c r="CG264" s="25"/>
      <c r="CH264" s="25"/>
      <c r="CI264" s="25"/>
      <c r="CJ264" s="25"/>
      <c r="CK264" s="25"/>
      <c r="CL264" s="25"/>
      <c r="CM264" s="25"/>
      <c r="CN264" s="25"/>
      <c r="CO264" s="25"/>
      <c r="CP264" s="25"/>
      <c r="CQ264" s="25"/>
      <c r="CR264" s="25"/>
      <c r="CS264" s="25"/>
    </row>
    <row r="265" spans="2:97">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c r="BX265" s="25"/>
      <c r="BY265" s="25"/>
      <c r="BZ265" s="25"/>
      <c r="CA265" s="25"/>
      <c r="CB265" s="25"/>
      <c r="CC265" s="25"/>
      <c r="CD265" s="25"/>
      <c r="CE265" s="25"/>
      <c r="CF265" s="25"/>
      <c r="CG265" s="25"/>
      <c r="CH265" s="25"/>
      <c r="CI265" s="25"/>
      <c r="CJ265" s="25"/>
      <c r="CK265" s="25"/>
      <c r="CL265" s="25"/>
      <c r="CM265" s="25"/>
      <c r="CN265" s="25"/>
      <c r="CO265" s="25"/>
      <c r="CP265" s="25"/>
      <c r="CQ265" s="25"/>
      <c r="CR265" s="25"/>
      <c r="CS265" s="25"/>
    </row>
    <row r="266" spans="2:97">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c r="BX266" s="25"/>
      <c r="BY266" s="25"/>
      <c r="BZ266" s="25"/>
      <c r="CA266" s="25"/>
      <c r="CB266" s="25"/>
      <c r="CC266" s="25"/>
      <c r="CD266" s="25"/>
      <c r="CE266" s="25"/>
      <c r="CF266" s="25"/>
      <c r="CG266" s="25"/>
      <c r="CH266" s="25"/>
      <c r="CI266" s="25"/>
      <c r="CJ266" s="25"/>
      <c r="CK266" s="25"/>
      <c r="CL266" s="25"/>
      <c r="CM266" s="25"/>
      <c r="CN266" s="25"/>
      <c r="CO266" s="25"/>
      <c r="CP266" s="25"/>
      <c r="CQ266" s="25"/>
      <c r="CR266" s="25"/>
      <c r="CS266" s="25"/>
    </row>
    <row r="267" spans="2:97">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c r="BX267" s="25"/>
      <c r="BY267" s="25"/>
      <c r="BZ267" s="25"/>
      <c r="CA267" s="25"/>
      <c r="CB267" s="25"/>
      <c r="CC267" s="25"/>
      <c r="CD267" s="25"/>
      <c r="CE267" s="25"/>
      <c r="CF267" s="25"/>
      <c r="CG267" s="25"/>
      <c r="CH267" s="25"/>
      <c r="CI267" s="25"/>
      <c r="CJ267" s="25"/>
      <c r="CK267" s="25"/>
      <c r="CL267" s="25"/>
      <c r="CM267" s="25"/>
      <c r="CN267" s="25"/>
      <c r="CO267" s="25"/>
      <c r="CP267" s="25"/>
      <c r="CQ267" s="25"/>
      <c r="CR267" s="25"/>
      <c r="CS267" s="25"/>
    </row>
    <row r="268" spans="2:97">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c r="BX268" s="25"/>
      <c r="BY268" s="25"/>
      <c r="BZ268" s="25"/>
      <c r="CA268" s="25"/>
      <c r="CB268" s="25"/>
      <c r="CC268" s="25"/>
      <c r="CD268" s="25"/>
      <c r="CE268" s="25"/>
      <c r="CF268" s="25"/>
      <c r="CG268" s="25"/>
      <c r="CH268" s="25"/>
      <c r="CI268" s="25"/>
      <c r="CJ268" s="25"/>
      <c r="CK268" s="25"/>
      <c r="CL268" s="25"/>
      <c r="CM268" s="25"/>
      <c r="CN268" s="25"/>
      <c r="CO268" s="25"/>
      <c r="CP268" s="25"/>
      <c r="CQ268" s="25"/>
      <c r="CR268" s="25"/>
      <c r="CS268" s="25"/>
    </row>
    <row r="269" spans="2:97">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c r="BX269" s="25"/>
      <c r="BY269" s="25"/>
      <c r="BZ269" s="25"/>
      <c r="CA269" s="25"/>
      <c r="CB269" s="25"/>
      <c r="CC269" s="25"/>
      <c r="CD269" s="25"/>
      <c r="CE269" s="25"/>
      <c r="CF269" s="25"/>
      <c r="CG269" s="25"/>
      <c r="CH269" s="25"/>
      <c r="CI269" s="25"/>
      <c r="CJ269" s="25"/>
      <c r="CK269" s="25"/>
      <c r="CL269" s="25"/>
      <c r="CM269" s="25"/>
      <c r="CN269" s="25"/>
      <c r="CO269" s="25"/>
      <c r="CP269" s="25"/>
      <c r="CQ269" s="25"/>
      <c r="CR269" s="25"/>
      <c r="CS269" s="25"/>
    </row>
    <row r="270" spans="2:97">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c r="BX270" s="25"/>
      <c r="BY270" s="25"/>
      <c r="BZ270" s="25"/>
      <c r="CA270" s="25"/>
      <c r="CB270" s="25"/>
      <c r="CC270" s="25"/>
      <c r="CD270" s="25"/>
      <c r="CE270" s="25"/>
      <c r="CF270" s="25"/>
      <c r="CG270" s="25"/>
      <c r="CH270" s="25"/>
      <c r="CI270" s="25"/>
      <c r="CJ270" s="25"/>
      <c r="CK270" s="25"/>
      <c r="CL270" s="25"/>
      <c r="CM270" s="25"/>
      <c r="CN270" s="25"/>
      <c r="CO270" s="25"/>
      <c r="CP270" s="25"/>
      <c r="CQ270" s="25"/>
      <c r="CR270" s="25"/>
      <c r="CS270" s="25"/>
    </row>
    <row r="271" spans="2:97">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c r="BX271" s="25"/>
      <c r="BY271" s="25"/>
      <c r="BZ271" s="25"/>
      <c r="CA271" s="25"/>
      <c r="CB271" s="25"/>
      <c r="CC271" s="25"/>
      <c r="CD271" s="25"/>
      <c r="CE271" s="25"/>
      <c r="CF271" s="25"/>
      <c r="CG271" s="25"/>
      <c r="CH271" s="25"/>
      <c r="CI271" s="25"/>
      <c r="CJ271" s="25"/>
      <c r="CK271" s="25"/>
      <c r="CL271" s="25"/>
      <c r="CM271" s="25"/>
      <c r="CN271" s="25"/>
      <c r="CO271" s="25"/>
      <c r="CP271" s="25"/>
      <c r="CQ271" s="25"/>
      <c r="CR271" s="25"/>
      <c r="CS271" s="25"/>
    </row>
    <row r="272" spans="2:97">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c r="BX272" s="25"/>
      <c r="BY272" s="25"/>
      <c r="BZ272" s="25"/>
      <c r="CA272" s="25"/>
      <c r="CB272" s="25"/>
      <c r="CC272" s="25"/>
      <c r="CD272" s="25"/>
      <c r="CE272" s="25"/>
      <c r="CF272" s="25"/>
      <c r="CG272" s="25"/>
      <c r="CH272" s="25"/>
      <c r="CI272" s="25"/>
      <c r="CJ272" s="25"/>
      <c r="CK272" s="25"/>
      <c r="CL272" s="25"/>
      <c r="CM272" s="25"/>
      <c r="CN272" s="25"/>
      <c r="CO272" s="25"/>
      <c r="CP272" s="25"/>
      <c r="CQ272" s="25"/>
      <c r="CR272" s="25"/>
      <c r="CS272" s="25"/>
    </row>
    <row r="273" spans="2:97">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c r="BX273" s="25"/>
      <c r="BY273" s="25"/>
      <c r="BZ273" s="25"/>
      <c r="CA273" s="25"/>
      <c r="CB273" s="25"/>
      <c r="CC273" s="25"/>
      <c r="CD273" s="25"/>
      <c r="CE273" s="25"/>
      <c r="CF273" s="25"/>
      <c r="CG273" s="25"/>
      <c r="CH273" s="25"/>
      <c r="CI273" s="25"/>
      <c r="CJ273" s="25"/>
      <c r="CK273" s="25"/>
      <c r="CL273" s="25"/>
      <c r="CM273" s="25"/>
      <c r="CN273" s="25"/>
      <c r="CO273" s="25"/>
      <c r="CP273" s="25"/>
      <c r="CQ273" s="25"/>
      <c r="CR273" s="25"/>
      <c r="CS273" s="25"/>
    </row>
    <row r="274" spans="2:97">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c r="BX274" s="25"/>
      <c r="BY274" s="25"/>
      <c r="BZ274" s="25"/>
      <c r="CA274" s="25"/>
      <c r="CB274" s="25"/>
      <c r="CC274" s="25"/>
      <c r="CD274" s="25"/>
      <c r="CE274" s="25"/>
      <c r="CF274" s="25"/>
      <c r="CG274" s="25"/>
      <c r="CH274" s="25"/>
      <c r="CI274" s="25"/>
      <c r="CJ274" s="25"/>
      <c r="CK274" s="25"/>
      <c r="CL274" s="25"/>
      <c r="CM274" s="25"/>
      <c r="CN274" s="25"/>
      <c r="CO274" s="25"/>
      <c r="CP274" s="25"/>
      <c r="CQ274" s="25"/>
      <c r="CR274" s="25"/>
      <c r="CS274" s="25"/>
    </row>
    <row r="275" spans="2:97">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c r="BX275" s="25"/>
      <c r="BY275" s="25"/>
      <c r="BZ275" s="25"/>
      <c r="CA275" s="25"/>
      <c r="CB275" s="25"/>
      <c r="CC275" s="25"/>
      <c r="CD275" s="25"/>
      <c r="CE275" s="25"/>
      <c r="CF275" s="25"/>
      <c r="CG275" s="25"/>
      <c r="CH275" s="25"/>
      <c r="CI275" s="25"/>
      <c r="CJ275" s="25"/>
      <c r="CK275" s="25"/>
      <c r="CL275" s="25"/>
      <c r="CM275" s="25"/>
      <c r="CN275" s="25"/>
      <c r="CO275" s="25"/>
      <c r="CP275" s="25"/>
      <c r="CQ275" s="25"/>
      <c r="CR275" s="25"/>
      <c r="CS275" s="25"/>
    </row>
    <row r="276" spans="2:97">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c r="BX276" s="25"/>
      <c r="BY276" s="25"/>
      <c r="BZ276" s="25"/>
      <c r="CA276" s="25"/>
      <c r="CB276" s="25"/>
      <c r="CC276" s="25"/>
      <c r="CD276" s="25"/>
      <c r="CE276" s="25"/>
      <c r="CF276" s="25"/>
      <c r="CG276" s="25"/>
      <c r="CH276" s="25"/>
      <c r="CI276" s="25"/>
      <c r="CJ276" s="25"/>
      <c r="CK276" s="25"/>
      <c r="CL276" s="25"/>
      <c r="CM276" s="25"/>
      <c r="CN276" s="25"/>
      <c r="CO276" s="25"/>
      <c r="CP276" s="25"/>
      <c r="CQ276" s="25"/>
      <c r="CR276" s="25"/>
      <c r="CS276" s="25"/>
    </row>
    <row r="277" spans="2:97">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c r="BX277" s="25"/>
      <c r="BY277" s="25"/>
      <c r="BZ277" s="25"/>
      <c r="CA277" s="25"/>
      <c r="CB277" s="25"/>
      <c r="CC277" s="25"/>
      <c r="CD277" s="25"/>
      <c r="CE277" s="25"/>
      <c r="CF277" s="25"/>
      <c r="CG277" s="25"/>
      <c r="CH277" s="25"/>
      <c r="CI277" s="25"/>
      <c r="CJ277" s="25"/>
      <c r="CK277" s="25"/>
      <c r="CL277" s="25"/>
      <c r="CM277" s="25"/>
      <c r="CN277" s="25"/>
      <c r="CO277" s="25"/>
      <c r="CP277" s="25"/>
      <c r="CQ277" s="25"/>
      <c r="CR277" s="25"/>
      <c r="CS277" s="25"/>
    </row>
    <row r="278" spans="2:97">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c r="BX278" s="25"/>
      <c r="BY278" s="25"/>
      <c r="BZ278" s="25"/>
      <c r="CA278" s="25"/>
      <c r="CB278" s="25"/>
      <c r="CC278" s="25"/>
      <c r="CD278" s="25"/>
      <c r="CE278" s="25"/>
      <c r="CF278" s="25"/>
      <c r="CG278" s="25"/>
      <c r="CH278" s="25"/>
      <c r="CI278" s="25"/>
      <c r="CJ278" s="25"/>
      <c r="CK278" s="25"/>
      <c r="CL278" s="25"/>
      <c r="CM278" s="25"/>
      <c r="CN278" s="25"/>
      <c r="CO278" s="25"/>
      <c r="CP278" s="25"/>
      <c r="CQ278" s="25"/>
      <c r="CR278" s="25"/>
      <c r="CS278" s="25"/>
    </row>
    <row r="279" spans="2:97">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c r="BX279" s="25"/>
      <c r="BY279" s="25"/>
      <c r="BZ279" s="25"/>
      <c r="CA279" s="25"/>
      <c r="CB279" s="25"/>
      <c r="CC279" s="25"/>
      <c r="CD279" s="25"/>
      <c r="CE279" s="25"/>
      <c r="CF279" s="25"/>
      <c r="CG279" s="25"/>
      <c r="CH279" s="25"/>
      <c r="CI279" s="25"/>
      <c r="CJ279" s="25"/>
      <c r="CK279" s="25"/>
      <c r="CL279" s="25"/>
      <c r="CM279" s="25"/>
      <c r="CN279" s="25"/>
      <c r="CO279" s="25"/>
      <c r="CP279" s="25"/>
      <c r="CQ279" s="25"/>
      <c r="CR279" s="25"/>
      <c r="CS279" s="25"/>
    </row>
    <row r="280" spans="2:97">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c r="AV280" s="25"/>
      <c r="AW280" s="25"/>
      <c r="AX280" s="25"/>
      <c r="AY280" s="25"/>
      <c r="AZ280" s="25"/>
      <c r="BA280" s="25"/>
      <c r="BB280" s="25"/>
      <c r="BC280" s="25"/>
      <c r="BD280" s="25"/>
      <c r="BE280" s="25"/>
      <c r="BF280" s="25"/>
      <c r="BG280" s="25"/>
      <c r="BH280" s="25"/>
      <c r="BI280" s="25"/>
      <c r="BJ280" s="25"/>
      <c r="BK280" s="25"/>
      <c r="BL280" s="25"/>
      <c r="BM280" s="25"/>
      <c r="BN280" s="25"/>
      <c r="BO280" s="25"/>
      <c r="BP280" s="25"/>
      <c r="BQ280" s="25"/>
      <c r="BR280" s="25"/>
      <c r="BS280" s="25"/>
      <c r="BT280" s="25"/>
      <c r="BU280" s="25"/>
      <c r="BV280" s="25"/>
      <c r="BW280" s="25"/>
      <c r="BX280" s="25"/>
      <c r="BY280" s="25"/>
      <c r="BZ280" s="25"/>
      <c r="CA280" s="25"/>
      <c r="CB280" s="25"/>
      <c r="CC280" s="25"/>
      <c r="CD280" s="25"/>
      <c r="CE280" s="25"/>
      <c r="CF280" s="25"/>
      <c r="CG280" s="25"/>
      <c r="CH280" s="25"/>
      <c r="CI280" s="25"/>
      <c r="CJ280" s="25"/>
      <c r="CK280" s="25"/>
      <c r="CL280" s="25"/>
      <c r="CM280" s="25"/>
      <c r="CN280" s="25"/>
      <c r="CO280" s="25"/>
      <c r="CP280" s="25"/>
      <c r="CQ280" s="25"/>
      <c r="CR280" s="25"/>
      <c r="CS280" s="25"/>
    </row>
    <row r="281" spans="2:97">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c r="AV281" s="25"/>
      <c r="AW281" s="25"/>
      <c r="AX281" s="25"/>
      <c r="AY281" s="25"/>
      <c r="AZ281" s="25"/>
      <c r="BA281" s="25"/>
      <c r="BB281" s="25"/>
      <c r="BC281" s="25"/>
      <c r="BD281" s="25"/>
      <c r="BE281" s="25"/>
      <c r="BF281" s="25"/>
      <c r="BG281" s="25"/>
      <c r="BH281" s="25"/>
      <c r="BI281" s="25"/>
      <c r="BJ281" s="25"/>
      <c r="BK281" s="25"/>
      <c r="BL281" s="25"/>
      <c r="BM281" s="25"/>
      <c r="BN281" s="25"/>
      <c r="BO281" s="25"/>
      <c r="BP281" s="25"/>
      <c r="BQ281" s="25"/>
      <c r="BR281" s="25"/>
      <c r="BS281" s="25"/>
      <c r="BT281" s="25"/>
      <c r="BU281" s="25"/>
      <c r="BV281" s="25"/>
      <c r="BW281" s="25"/>
      <c r="BX281" s="25"/>
      <c r="BY281" s="25"/>
      <c r="BZ281" s="25"/>
      <c r="CA281" s="25"/>
      <c r="CB281" s="25"/>
      <c r="CC281" s="25"/>
      <c r="CD281" s="25"/>
      <c r="CE281" s="25"/>
      <c r="CF281" s="25"/>
      <c r="CG281" s="25"/>
      <c r="CH281" s="25"/>
      <c r="CI281" s="25"/>
      <c r="CJ281" s="25"/>
      <c r="CK281" s="25"/>
      <c r="CL281" s="25"/>
      <c r="CM281" s="25"/>
      <c r="CN281" s="25"/>
      <c r="CO281" s="25"/>
      <c r="CP281" s="25"/>
      <c r="CQ281" s="25"/>
      <c r="CR281" s="25"/>
      <c r="CS281" s="25"/>
    </row>
    <row r="282" spans="2:97">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c r="AV282" s="25"/>
      <c r="AW282" s="25"/>
      <c r="AX282" s="25"/>
      <c r="AY282" s="25"/>
      <c r="AZ282" s="25"/>
      <c r="BA282" s="25"/>
      <c r="BB282" s="25"/>
      <c r="BC282" s="25"/>
      <c r="BD282" s="25"/>
      <c r="BE282" s="25"/>
      <c r="BF282" s="25"/>
      <c r="BG282" s="25"/>
      <c r="BH282" s="25"/>
      <c r="BI282" s="25"/>
      <c r="BJ282" s="25"/>
      <c r="BK282" s="25"/>
      <c r="BL282" s="25"/>
      <c r="BM282" s="25"/>
      <c r="BN282" s="25"/>
      <c r="BO282" s="25"/>
      <c r="BP282" s="25"/>
      <c r="BQ282" s="25"/>
      <c r="BR282" s="25"/>
      <c r="BS282" s="25"/>
      <c r="BT282" s="25"/>
      <c r="BU282" s="25"/>
      <c r="BV282" s="25"/>
      <c r="BW282" s="25"/>
      <c r="BX282" s="25"/>
      <c r="BY282" s="25"/>
      <c r="BZ282" s="25"/>
      <c r="CA282" s="25"/>
      <c r="CB282" s="25"/>
      <c r="CC282" s="25"/>
      <c r="CD282" s="25"/>
      <c r="CE282" s="25"/>
      <c r="CF282" s="25"/>
      <c r="CG282" s="25"/>
      <c r="CH282" s="25"/>
      <c r="CI282" s="25"/>
      <c r="CJ282" s="25"/>
      <c r="CK282" s="25"/>
      <c r="CL282" s="25"/>
      <c r="CM282" s="25"/>
      <c r="CN282" s="25"/>
      <c r="CO282" s="25"/>
      <c r="CP282" s="25"/>
      <c r="CQ282" s="25"/>
      <c r="CR282" s="25"/>
      <c r="CS282" s="25"/>
    </row>
    <row r="283" spans="2:97">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c r="AV283" s="25"/>
      <c r="AW283" s="25"/>
      <c r="AX283" s="25"/>
      <c r="AY283" s="25"/>
      <c r="AZ283" s="25"/>
      <c r="BA283" s="25"/>
      <c r="BB283" s="25"/>
      <c r="BC283" s="25"/>
      <c r="BD283" s="25"/>
      <c r="BE283" s="25"/>
      <c r="BF283" s="25"/>
      <c r="BG283" s="25"/>
      <c r="BH283" s="25"/>
      <c r="BI283" s="25"/>
      <c r="BJ283" s="25"/>
      <c r="BK283" s="25"/>
      <c r="BL283" s="25"/>
      <c r="BM283" s="25"/>
      <c r="BN283" s="25"/>
      <c r="BO283" s="25"/>
      <c r="BP283" s="25"/>
      <c r="BQ283" s="25"/>
      <c r="BR283" s="25"/>
      <c r="BS283" s="25"/>
      <c r="BT283" s="25"/>
      <c r="BU283" s="25"/>
      <c r="BV283" s="25"/>
      <c r="BW283" s="25"/>
      <c r="BX283" s="25"/>
      <c r="BY283" s="25"/>
      <c r="BZ283" s="25"/>
      <c r="CA283" s="25"/>
      <c r="CB283" s="25"/>
      <c r="CC283" s="25"/>
      <c r="CD283" s="25"/>
      <c r="CE283" s="25"/>
      <c r="CF283" s="25"/>
      <c r="CG283" s="25"/>
      <c r="CH283" s="25"/>
      <c r="CI283" s="25"/>
      <c r="CJ283" s="25"/>
      <c r="CK283" s="25"/>
      <c r="CL283" s="25"/>
      <c r="CM283" s="25"/>
      <c r="CN283" s="25"/>
      <c r="CO283" s="25"/>
      <c r="CP283" s="25"/>
      <c r="CQ283" s="25"/>
      <c r="CR283" s="25"/>
      <c r="CS283" s="25"/>
    </row>
    <row r="284" spans="2:97">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c r="AV284" s="25"/>
      <c r="AW284" s="25"/>
      <c r="AX284" s="25"/>
      <c r="AY284" s="25"/>
      <c r="AZ284" s="25"/>
      <c r="BA284" s="25"/>
      <c r="BB284" s="25"/>
      <c r="BC284" s="25"/>
      <c r="BD284" s="25"/>
      <c r="BE284" s="25"/>
      <c r="BF284" s="25"/>
      <c r="BG284" s="25"/>
      <c r="BH284" s="25"/>
      <c r="BI284" s="25"/>
      <c r="BJ284" s="25"/>
      <c r="BK284" s="25"/>
      <c r="BL284" s="25"/>
      <c r="BM284" s="25"/>
      <c r="BN284" s="25"/>
      <c r="BO284" s="25"/>
      <c r="BP284" s="25"/>
      <c r="BQ284" s="25"/>
      <c r="BR284" s="25"/>
      <c r="BS284" s="25"/>
      <c r="BT284" s="25"/>
      <c r="BU284" s="25"/>
      <c r="BV284" s="25"/>
      <c r="BW284" s="25"/>
      <c r="BX284" s="25"/>
      <c r="BY284" s="25"/>
      <c r="BZ284" s="25"/>
      <c r="CA284" s="25"/>
      <c r="CB284" s="25"/>
      <c r="CC284" s="25"/>
      <c r="CD284" s="25"/>
      <c r="CE284" s="25"/>
      <c r="CF284" s="25"/>
      <c r="CG284" s="25"/>
      <c r="CH284" s="25"/>
      <c r="CI284" s="25"/>
      <c r="CJ284" s="25"/>
      <c r="CK284" s="25"/>
      <c r="CL284" s="25"/>
      <c r="CM284" s="25"/>
      <c r="CN284" s="25"/>
      <c r="CO284" s="25"/>
      <c r="CP284" s="25"/>
      <c r="CQ284" s="25"/>
      <c r="CR284" s="25"/>
      <c r="CS284" s="25"/>
    </row>
    <row r="285" spans="2:97">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c r="AV285" s="25"/>
      <c r="AW285" s="25"/>
      <c r="AX285" s="25"/>
      <c r="AY285" s="25"/>
      <c r="AZ285" s="25"/>
      <c r="BA285" s="25"/>
      <c r="BB285" s="25"/>
      <c r="BC285" s="25"/>
      <c r="BD285" s="25"/>
      <c r="BE285" s="25"/>
      <c r="BF285" s="25"/>
      <c r="BG285" s="25"/>
      <c r="BH285" s="25"/>
      <c r="BI285" s="25"/>
      <c r="BJ285" s="25"/>
      <c r="BK285" s="25"/>
      <c r="BL285" s="25"/>
      <c r="BM285" s="25"/>
      <c r="BN285" s="25"/>
      <c r="BO285" s="25"/>
      <c r="BP285" s="25"/>
      <c r="BQ285" s="25"/>
      <c r="BR285" s="25"/>
      <c r="BS285" s="25"/>
      <c r="BT285" s="25"/>
      <c r="BU285" s="25"/>
      <c r="BV285" s="25"/>
      <c r="BW285" s="25"/>
      <c r="BX285" s="25"/>
      <c r="BY285" s="25"/>
      <c r="BZ285" s="25"/>
      <c r="CA285" s="25"/>
      <c r="CB285" s="25"/>
      <c r="CC285" s="25"/>
      <c r="CD285" s="25"/>
      <c r="CE285" s="25"/>
      <c r="CF285" s="25"/>
      <c r="CG285" s="25"/>
      <c r="CH285" s="25"/>
      <c r="CI285" s="25"/>
      <c r="CJ285" s="25"/>
      <c r="CK285" s="25"/>
      <c r="CL285" s="25"/>
      <c r="CM285" s="25"/>
      <c r="CN285" s="25"/>
      <c r="CO285" s="25"/>
      <c r="CP285" s="25"/>
      <c r="CQ285" s="25"/>
      <c r="CR285" s="25"/>
      <c r="CS285" s="25"/>
    </row>
    <row r="286" spans="2:97">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c r="AV286" s="25"/>
      <c r="AW286" s="25"/>
      <c r="AX286" s="25"/>
      <c r="AY286" s="25"/>
      <c r="AZ286" s="25"/>
      <c r="BA286" s="25"/>
      <c r="BB286" s="25"/>
      <c r="BC286" s="25"/>
      <c r="BD286" s="25"/>
      <c r="BE286" s="25"/>
      <c r="BF286" s="25"/>
      <c r="BG286" s="25"/>
      <c r="BH286" s="25"/>
      <c r="BI286" s="25"/>
      <c r="BJ286" s="25"/>
      <c r="BK286" s="25"/>
      <c r="BL286" s="25"/>
      <c r="BM286" s="25"/>
      <c r="BN286" s="25"/>
      <c r="BO286" s="25"/>
      <c r="BP286" s="25"/>
      <c r="BQ286" s="25"/>
      <c r="BR286" s="25"/>
      <c r="BS286" s="25"/>
      <c r="BT286" s="25"/>
      <c r="BU286" s="25"/>
      <c r="BV286" s="25"/>
      <c r="BW286" s="25"/>
      <c r="BX286" s="25"/>
      <c r="BY286" s="25"/>
      <c r="BZ286" s="25"/>
      <c r="CA286" s="25"/>
      <c r="CB286" s="25"/>
      <c r="CC286" s="25"/>
      <c r="CD286" s="25"/>
      <c r="CE286" s="25"/>
      <c r="CF286" s="25"/>
      <c r="CG286" s="25"/>
      <c r="CH286" s="25"/>
      <c r="CI286" s="25"/>
      <c r="CJ286" s="25"/>
      <c r="CK286" s="25"/>
      <c r="CL286" s="25"/>
      <c r="CM286" s="25"/>
      <c r="CN286" s="25"/>
      <c r="CO286" s="25"/>
      <c r="CP286" s="25"/>
      <c r="CQ286" s="25"/>
      <c r="CR286" s="25"/>
      <c r="CS286" s="25"/>
    </row>
    <row r="287" spans="2:97">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c r="AV287" s="25"/>
      <c r="AW287" s="25"/>
      <c r="AX287" s="25"/>
      <c r="AY287" s="25"/>
      <c r="AZ287" s="25"/>
      <c r="BA287" s="25"/>
      <c r="BB287" s="25"/>
      <c r="BC287" s="25"/>
      <c r="BD287" s="25"/>
      <c r="BE287" s="25"/>
      <c r="BF287" s="25"/>
      <c r="BG287" s="25"/>
      <c r="BH287" s="25"/>
      <c r="BI287" s="25"/>
      <c r="BJ287" s="25"/>
      <c r="BK287" s="25"/>
      <c r="BL287" s="25"/>
      <c r="BM287" s="25"/>
      <c r="BN287" s="25"/>
      <c r="BO287" s="25"/>
      <c r="BP287" s="25"/>
      <c r="BQ287" s="25"/>
      <c r="BR287" s="25"/>
      <c r="BS287" s="25"/>
      <c r="BT287" s="25"/>
      <c r="BU287" s="25"/>
      <c r="BV287" s="25"/>
      <c r="BW287" s="25"/>
      <c r="BX287" s="25"/>
      <c r="BY287" s="25"/>
      <c r="BZ287" s="25"/>
      <c r="CA287" s="25"/>
      <c r="CB287" s="25"/>
      <c r="CC287" s="25"/>
      <c r="CD287" s="25"/>
      <c r="CE287" s="25"/>
      <c r="CF287" s="25"/>
      <c r="CG287" s="25"/>
      <c r="CH287" s="25"/>
      <c r="CI287" s="25"/>
      <c r="CJ287" s="25"/>
      <c r="CK287" s="25"/>
      <c r="CL287" s="25"/>
      <c r="CM287" s="25"/>
      <c r="CN287" s="25"/>
      <c r="CO287" s="25"/>
      <c r="CP287" s="25"/>
      <c r="CQ287" s="25"/>
      <c r="CR287" s="25"/>
      <c r="CS287" s="25"/>
    </row>
    <row r="288" spans="2:97">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c r="AV288" s="25"/>
      <c r="AW288" s="25"/>
      <c r="AX288" s="25"/>
      <c r="AY288" s="25"/>
      <c r="AZ288" s="25"/>
      <c r="BA288" s="25"/>
      <c r="BB288" s="25"/>
      <c r="BC288" s="25"/>
      <c r="BD288" s="25"/>
      <c r="BE288" s="25"/>
      <c r="BF288" s="25"/>
      <c r="BG288" s="25"/>
      <c r="BH288" s="25"/>
      <c r="BI288" s="25"/>
      <c r="BJ288" s="25"/>
      <c r="BK288" s="25"/>
      <c r="BL288" s="25"/>
      <c r="BM288" s="25"/>
      <c r="BN288" s="25"/>
      <c r="BO288" s="25"/>
      <c r="BP288" s="25"/>
      <c r="BQ288" s="25"/>
      <c r="BR288" s="25"/>
      <c r="BS288" s="25"/>
      <c r="BT288" s="25"/>
      <c r="BU288" s="25"/>
      <c r="BV288" s="25"/>
      <c r="BW288" s="25"/>
      <c r="BX288" s="25"/>
      <c r="BY288" s="25"/>
      <c r="BZ288" s="25"/>
      <c r="CA288" s="25"/>
      <c r="CB288" s="25"/>
      <c r="CC288" s="25"/>
      <c r="CD288" s="25"/>
      <c r="CE288" s="25"/>
      <c r="CF288" s="25"/>
      <c r="CG288" s="25"/>
      <c r="CH288" s="25"/>
      <c r="CI288" s="25"/>
      <c r="CJ288" s="25"/>
      <c r="CK288" s="25"/>
      <c r="CL288" s="25"/>
      <c r="CM288" s="25"/>
      <c r="CN288" s="25"/>
      <c r="CO288" s="25"/>
      <c r="CP288" s="25"/>
      <c r="CQ288" s="25"/>
      <c r="CR288" s="25"/>
      <c r="CS288" s="25"/>
    </row>
    <row r="289" spans="2:97">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c r="AV289" s="25"/>
      <c r="AW289" s="25"/>
      <c r="AX289" s="25"/>
      <c r="AY289" s="25"/>
      <c r="AZ289" s="25"/>
      <c r="BA289" s="25"/>
      <c r="BB289" s="25"/>
      <c r="BC289" s="25"/>
      <c r="BD289" s="25"/>
      <c r="BE289" s="25"/>
      <c r="BF289" s="25"/>
      <c r="BG289" s="25"/>
      <c r="BH289" s="25"/>
      <c r="BI289" s="25"/>
      <c r="BJ289" s="25"/>
      <c r="BK289" s="25"/>
      <c r="BL289" s="25"/>
      <c r="BM289" s="25"/>
      <c r="BN289" s="25"/>
      <c r="BO289" s="25"/>
      <c r="BP289" s="25"/>
      <c r="BQ289" s="25"/>
      <c r="BR289" s="25"/>
      <c r="BS289" s="25"/>
      <c r="BT289" s="25"/>
      <c r="BU289" s="25"/>
      <c r="BV289" s="25"/>
      <c r="BW289" s="25"/>
      <c r="BX289" s="25"/>
      <c r="BY289" s="25"/>
      <c r="BZ289" s="25"/>
      <c r="CA289" s="25"/>
      <c r="CB289" s="25"/>
      <c r="CC289" s="25"/>
      <c r="CD289" s="25"/>
      <c r="CE289" s="25"/>
      <c r="CF289" s="25"/>
      <c r="CG289" s="25"/>
      <c r="CH289" s="25"/>
      <c r="CI289" s="25"/>
      <c r="CJ289" s="25"/>
      <c r="CK289" s="25"/>
      <c r="CL289" s="25"/>
      <c r="CM289" s="25"/>
      <c r="CN289" s="25"/>
      <c r="CO289" s="25"/>
      <c r="CP289" s="25"/>
      <c r="CQ289" s="25"/>
      <c r="CR289" s="25"/>
      <c r="CS289" s="25"/>
    </row>
    <row r="290" spans="2:97">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c r="AV290" s="25"/>
      <c r="AW290" s="25"/>
      <c r="AX290" s="25"/>
      <c r="AY290" s="25"/>
      <c r="AZ290" s="25"/>
      <c r="BA290" s="25"/>
      <c r="BB290" s="25"/>
      <c r="BC290" s="25"/>
      <c r="BD290" s="25"/>
      <c r="BE290" s="25"/>
      <c r="BF290" s="25"/>
      <c r="BG290" s="25"/>
      <c r="BH290" s="25"/>
      <c r="BI290" s="25"/>
      <c r="BJ290" s="25"/>
      <c r="BK290" s="25"/>
      <c r="BL290" s="25"/>
      <c r="BM290" s="25"/>
      <c r="BN290" s="25"/>
      <c r="BO290" s="25"/>
      <c r="BP290" s="25"/>
      <c r="BQ290" s="25"/>
      <c r="BR290" s="25"/>
      <c r="BS290" s="25"/>
      <c r="BT290" s="25"/>
      <c r="BU290" s="25"/>
      <c r="BV290" s="25"/>
      <c r="BW290" s="25"/>
      <c r="BX290" s="25"/>
      <c r="BY290" s="25"/>
      <c r="BZ290" s="25"/>
      <c r="CA290" s="25"/>
      <c r="CB290" s="25"/>
      <c r="CC290" s="25"/>
      <c r="CD290" s="25"/>
      <c r="CE290" s="25"/>
      <c r="CF290" s="25"/>
      <c r="CG290" s="25"/>
      <c r="CH290" s="25"/>
      <c r="CI290" s="25"/>
      <c r="CJ290" s="25"/>
      <c r="CK290" s="25"/>
      <c r="CL290" s="25"/>
      <c r="CM290" s="25"/>
      <c r="CN290" s="25"/>
      <c r="CO290" s="25"/>
      <c r="CP290" s="25"/>
      <c r="CQ290" s="25"/>
      <c r="CR290" s="25"/>
      <c r="CS290" s="25"/>
    </row>
    <row r="291" spans="2:97">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c r="AV291" s="25"/>
      <c r="AW291" s="25"/>
      <c r="AX291" s="25"/>
      <c r="AY291" s="25"/>
      <c r="AZ291" s="25"/>
      <c r="BA291" s="25"/>
      <c r="BB291" s="25"/>
      <c r="BC291" s="25"/>
      <c r="BD291" s="25"/>
      <c r="BE291" s="25"/>
      <c r="BF291" s="25"/>
      <c r="BG291" s="25"/>
      <c r="BH291" s="25"/>
      <c r="BI291" s="25"/>
      <c r="BJ291" s="25"/>
      <c r="BK291" s="25"/>
      <c r="BL291" s="25"/>
      <c r="BM291" s="25"/>
      <c r="BN291" s="25"/>
      <c r="BO291" s="25"/>
      <c r="BP291" s="25"/>
      <c r="BQ291" s="25"/>
      <c r="BR291" s="25"/>
      <c r="BS291" s="25"/>
      <c r="BT291" s="25"/>
      <c r="BU291" s="25"/>
      <c r="BV291" s="25"/>
      <c r="BW291" s="25"/>
      <c r="BX291" s="25"/>
      <c r="BY291" s="25"/>
      <c r="BZ291" s="25"/>
      <c r="CA291" s="25"/>
      <c r="CB291" s="25"/>
      <c r="CC291" s="25"/>
      <c r="CD291" s="25"/>
      <c r="CE291" s="25"/>
      <c r="CF291" s="25"/>
      <c r="CG291" s="25"/>
      <c r="CH291" s="25"/>
      <c r="CI291" s="25"/>
      <c r="CJ291" s="25"/>
      <c r="CK291" s="25"/>
      <c r="CL291" s="25"/>
      <c r="CM291" s="25"/>
      <c r="CN291" s="25"/>
      <c r="CO291" s="25"/>
      <c r="CP291" s="25"/>
      <c r="CQ291" s="25"/>
      <c r="CR291" s="25"/>
      <c r="CS291" s="25"/>
    </row>
    <row r="292" spans="2:97">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c r="AV292" s="25"/>
      <c r="AW292" s="25"/>
      <c r="AX292" s="25"/>
      <c r="AY292" s="25"/>
      <c r="AZ292" s="25"/>
      <c r="BA292" s="25"/>
      <c r="BB292" s="25"/>
      <c r="BC292" s="25"/>
      <c r="BD292" s="25"/>
      <c r="BE292" s="25"/>
      <c r="BF292" s="25"/>
      <c r="BG292" s="25"/>
      <c r="BH292" s="25"/>
      <c r="BI292" s="25"/>
      <c r="BJ292" s="25"/>
      <c r="BK292" s="25"/>
      <c r="BL292" s="25"/>
      <c r="BM292" s="25"/>
      <c r="BN292" s="25"/>
      <c r="BO292" s="25"/>
      <c r="BP292" s="25"/>
      <c r="BQ292" s="25"/>
      <c r="BR292" s="25"/>
      <c r="BS292" s="25"/>
      <c r="BT292" s="25"/>
      <c r="BU292" s="25"/>
      <c r="BV292" s="25"/>
      <c r="BW292" s="25"/>
      <c r="BX292" s="25"/>
      <c r="BY292" s="25"/>
      <c r="BZ292" s="25"/>
      <c r="CA292" s="25"/>
      <c r="CB292" s="25"/>
      <c r="CC292" s="25"/>
      <c r="CD292" s="25"/>
      <c r="CE292" s="25"/>
      <c r="CF292" s="25"/>
      <c r="CG292" s="25"/>
      <c r="CH292" s="25"/>
      <c r="CI292" s="25"/>
      <c r="CJ292" s="25"/>
      <c r="CK292" s="25"/>
      <c r="CL292" s="25"/>
      <c r="CM292" s="25"/>
      <c r="CN292" s="25"/>
      <c r="CO292" s="25"/>
      <c r="CP292" s="25"/>
      <c r="CQ292" s="25"/>
      <c r="CR292" s="25"/>
      <c r="CS292" s="25"/>
    </row>
    <row r="293" spans="2:97">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c r="AV293" s="25"/>
      <c r="AW293" s="25"/>
      <c r="AX293" s="25"/>
      <c r="AY293" s="25"/>
      <c r="AZ293" s="25"/>
      <c r="BA293" s="25"/>
      <c r="BB293" s="25"/>
      <c r="BC293" s="25"/>
      <c r="BD293" s="25"/>
      <c r="BE293" s="25"/>
      <c r="BF293" s="25"/>
      <c r="BG293" s="25"/>
      <c r="BH293" s="25"/>
      <c r="BI293" s="25"/>
      <c r="BJ293" s="25"/>
      <c r="BK293" s="25"/>
      <c r="BL293" s="25"/>
      <c r="BM293" s="25"/>
      <c r="BN293" s="25"/>
      <c r="BO293" s="25"/>
      <c r="BP293" s="25"/>
      <c r="BQ293" s="25"/>
      <c r="BR293" s="25"/>
      <c r="BS293" s="25"/>
      <c r="BT293" s="25"/>
      <c r="BU293" s="25"/>
      <c r="BV293" s="25"/>
      <c r="BW293" s="25"/>
      <c r="BX293" s="25"/>
      <c r="BY293" s="25"/>
      <c r="BZ293" s="25"/>
      <c r="CA293" s="25"/>
      <c r="CB293" s="25"/>
      <c r="CC293" s="25"/>
      <c r="CD293" s="25"/>
      <c r="CE293" s="25"/>
      <c r="CF293" s="25"/>
      <c r="CG293" s="25"/>
      <c r="CH293" s="25"/>
      <c r="CI293" s="25"/>
      <c r="CJ293" s="25"/>
      <c r="CK293" s="25"/>
      <c r="CL293" s="25"/>
      <c r="CM293" s="25"/>
      <c r="CN293" s="25"/>
      <c r="CO293" s="25"/>
      <c r="CP293" s="25"/>
      <c r="CQ293" s="25"/>
      <c r="CR293" s="25"/>
      <c r="CS293" s="25"/>
    </row>
    <row r="294" spans="2:97">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c r="AV294" s="25"/>
      <c r="AW294" s="25"/>
      <c r="AX294" s="25"/>
      <c r="AY294" s="25"/>
      <c r="AZ294" s="25"/>
      <c r="BA294" s="25"/>
      <c r="BB294" s="25"/>
      <c r="BC294" s="25"/>
      <c r="BD294" s="25"/>
      <c r="BE294" s="25"/>
      <c r="BF294" s="25"/>
      <c r="BG294" s="25"/>
      <c r="BH294" s="25"/>
      <c r="BI294" s="25"/>
      <c r="BJ294" s="25"/>
      <c r="BK294" s="25"/>
      <c r="BL294" s="25"/>
      <c r="BM294" s="25"/>
      <c r="BN294" s="25"/>
      <c r="BO294" s="25"/>
      <c r="BP294" s="25"/>
      <c r="BQ294" s="25"/>
      <c r="BR294" s="25"/>
      <c r="BS294" s="25"/>
      <c r="BT294" s="25"/>
      <c r="BU294" s="25"/>
      <c r="BV294" s="25"/>
      <c r="BW294" s="25"/>
      <c r="BX294" s="25"/>
      <c r="BY294" s="25"/>
      <c r="BZ294" s="25"/>
      <c r="CA294" s="25"/>
      <c r="CB294" s="25"/>
      <c r="CC294" s="25"/>
      <c r="CD294" s="25"/>
      <c r="CE294" s="25"/>
      <c r="CF294" s="25"/>
      <c r="CG294" s="25"/>
      <c r="CH294" s="25"/>
      <c r="CI294" s="25"/>
      <c r="CJ294" s="25"/>
      <c r="CK294" s="25"/>
      <c r="CL294" s="25"/>
      <c r="CM294" s="25"/>
      <c r="CN294" s="25"/>
      <c r="CO294" s="25"/>
      <c r="CP294" s="25"/>
      <c r="CQ294" s="25"/>
      <c r="CR294" s="25"/>
      <c r="CS294" s="25"/>
    </row>
    <row r="295" spans="2:97">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c r="AV295" s="25"/>
      <c r="AW295" s="25"/>
      <c r="AX295" s="25"/>
      <c r="AY295" s="25"/>
      <c r="AZ295" s="25"/>
      <c r="BA295" s="25"/>
      <c r="BB295" s="25"/>
      <c r="BC295" s="25"/>
      <c r="BD295" s="25"/>
      <c r="BE295" s="25"/>
      <c r="BF295" s="25"/>
      <c r="BG295" s="25"/>
      <c r="BH295" s="25"/>
      <c r="BI295" s="25"/>
      <c r="BJ295" s="25"/>
      <c r="BK295" s="25"/>
      <c r="BL295" s="25"/>
      <c r="BM295" s="25"/>
      <c r="BN295" s="25"/>
      <c r="BO295" s="25"/>
      <c r="BP295" s="25"/>
      <c r="BQ295" s="25"/>
      <c r="BR295" s="25"/>
      <c r="BS295" s="25"/>
      <c r="BT295" s="25"/>
      <c r="BU295" s="25"/>
      <c r="BV295" s="25"/>
      <c r="BW295" s="25"/>
      <c r="BX295" s="25"/>
      <c r="BY295" s="25"/>
      <c r="BZ295" s="25"/>
      <c r="CA295" s="25"/>
      <c r="CB295" s="25"/>
      <c r="CC295" s="25"/>
      <c r="CD295" s="25"/>
      <c r="CE295" s="25"/>
      <c r="CF295" s="25"/>
      <c r="CG295" s="25"/>
      <c r="CH295" s="25"/>
      <c r="CI295" s="25"/>
      <c r="CJ295" s="25"/>
      <c r="CK295" s="25"/>
      <c r="CL295" s="25"/>
      <c r="CM295" s="25"/>
      <c r="CN295" s="25"/>
      <c r="CO295" s="25"/>
      <c r="CP295" s="25"/>
      <c r="CQ295" s="25"/>
      <c r="CR295" s="25"/>
      <c r="CS295" s="25"/>
    </row>
    <row r="296" spans="2:97">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c r="AV296" s="25"/>
      <c r="AW296" s="25"/>
      <c r="AX296" s="25"/>
      <c r="AY296" s="25"/>
      <c r="AZ296" s="25"/>
      <c r="BA296" s="25"/>
      <c r="BB296" s="25"/>
      <c r="BC296" s="25"/>
      <c r="BD296" s="25"/>
      <c r="BE296" s="25"/>
      <c r="BF296" s="25"/>
      <c r="BG296" s="25"/>
      <c r="BH296" s="25"/>
      <c r="BI296" s="25"/>
      <c r="BJ296" s="25"/>
      <c r="BK296" s="25"/>
      <c r="BL296" s="25"/>
      <c r="BM296" s="25"/>
      <c r="BN296" s="25"/>
      <c r="BO296" s="25"/>
      <c r="BP296" s="25"/>
      <c r="BQ296" s="25"/>
      <c r="BR296" s="25"/>
      <c r="BS296" s="25"/>
      <c r="BT296" s="25"/>
      <c r="BU296" s="25"/>
      <c r="BV296" s="25"/>
      <c r="BW296" s="25"/>
      <c r="BX296" s="25"/>
      <c r="BY296" s="25"/>
      <c r="BZ296" s="25"/>
      <c r="CA296" s="25"/>
      <c r="CB296" s="25"/>
      <c r="CC296" s="25"/>
      <c r="CD296" s="25"/>
      <c r="CE296" s="25"/>
      <c r="CF296" s="25"/>
      <c r="CG296" s="25"/>
      <c r="CH296" s="25"/>
      <c r="CI296" s="25"/>
      <c r="CJ296" s="25"/>
      <c r="CK296" s="25"/>
      <c r="CL296" s="25"/>
      <c r="CM296" s="25"/>
      <c r="CN296" s="25"/>
      <c r="CO296" s="25"/>
      <c r="CP296" s="25"/>
      <c r="CQ296" s="25"/>
      <c r="CR296" s="25"/>
      <c r="CS296" s="25"/>
    </row>
    <row r="297" spans="2:97">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c r="AV297" s="25"/>
      <c r="AW297" s="25"/>
      <c r="AX297" s="25"/>
      <c r="AY297" s="25"/>
      <c r="AZ297" s="25"/>
      <c r="BA297" s="25"/>
      <c r="BB297" s="25"/>
      <c r="BC297" s="25"/>
      <c r="BD297" s="25"/>
      <c r="BE297" s="25"/>
      <c r="BF297" s="25"/>
      <c r="BG297" s="25"/>
      <c r="BH297" s="25"/>
      <c r="BI297" s="25"/>
      <c r="BJ297" s="25"/>
      <c r="BK297" s="25"/>
      <c r="BL297" s="25"/>
      <c r="BM297" s="25"/>
      <c r="BN297" s="25"/>
      <c r="BO297" s="25"/>
      <c r="BP297" s="25"/>
      <c r="BQ297" s="25"/>
      <c r="BR297" s="25"/>
      <c r="BS297" s="25"/>
      <c r="BT297" s="25"/>
      <c r="BU297" s="25"/>
      <c r="BV297" s="25"/>
      <c r="BW297" s="25"/>
      <c r="BX297" s="25"/>
      <c r="BY297" s="25"/>
      <c r="BZ297" s="25"/>
      <c r="CA297" s="25"/>
      <c r="CB297" s="25"/>
      <c r="CC297" s="25"/>
      <c r="CD297" s="25"/>
      <c r="CE297" s="25"/>
      <c r="CF297" s="25"/>
      <c r="CG297" s="25"/>
      <c r="CH297" s="25"/>
      <c r="CI297" s="25"/>
      <c r="CJ297" s="25"/>
      <c r="CK297" s="25"/>
      <c r="CL297" s="25"/>
      <c r="CM297" s="25"/>
      <c r="CN297" s="25"/>
      <c r="CO297" s="25"/>
      <c r="CP297" s="25"/>
      <c r="CQ297" s="25"/>
      <c r="CR297" s="25"/>
      <c r="CS297" s="25"/>
    </row>
    <row r="298" spans="2:97">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c r="AV298" s="25"/>
      <c r="AW298" s="25"/>
      <c r="AX298" s="25"/>
      <c r="AY298" s="25"/>
      <c r="AZ298" s="25"/>
      <c r="BA298" s="25"/>
      <c r="BB298" s="25"/>
      <c r="BC298" s="25"/>
      <c r="BD298" s="25"/>
      <c r="BE298" s="25"/>
      <c r="BF298" s="25"/>
      <c r="BG298" s="25"/>
      <c r="BH298" s="25"/>
      <c r="BI298" s="25"/>
      <c r="BJ298" s="25"/>
      <c r="BK298" s="25"/>
      <c r="BL298" s="25"/>
      <c r="BM298" s="25"/>
      <c r="BN298" s="25"/>
      <c r="BO298" s="25"/>
      <c r="BP298" s="25"/>
      <c r="BQ298" s="25"/>
      <c r="BR298" s="25"/>
      <c r="BS298" s="25"/>
      <c r="BT298" s="25"/>
      <c r="BU298" s="25"/>
      <c r="BV298" s="25"/>
      <c r="BW298" s="25"/>
      <c r="BX298" s="25"/>
      <c r="BY298" s="25"/>
      <c r="BZ298" s="25"/>
      <c r="CA298" s="25"/>
      <c r="CB298" s="25"/>
      <c r="CC298" s="25"/>
      <c r="CD298" s="25"/>
      <c r="CE298" s="25"/>
      <c r="CF298" s="25"/>
      <c r="CG298" s="25"/>
      <c r="CH298" s="25"/>
      <c r="CI298" s="25"/>
      <c r="CJ298" s="25"/>
      <c r="CK298" s="25"/>
      <c r="CL298" s="25"/>
      <c r="CM298" s="25"/>
      <c r="CN298" s="25"/>
      <c r="CO298" s="25"/>
      <c r="CP298" s="25"/>
      <c r="CQ298" s="25"/>
      <c r="CR298" s="25"/>
      <c r="CS298" s="25"/>
    </row>
    <row r="299" spans="2:97">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c r="AV299" s="25"/>
      <c r="AW299" s="25"/>
      <c r="AX299" s="25"/>
      <c r="AY299" s="25"/>
      <c r="AZ299" s="25"/>
      <c r="BA299" s="25"/>
      <c r="BB299" s="25"/>
      <c r="BC299" s="25"/>
      <c r="BD299" s="25"/>
      <c r="BE299" s="25"/>
      <c r="BF299" s="25"/>
      <c r="BG299" s="25"/>
      <c r="BH299" s="25"/>
      <c r="BI299" s="25"/>
      <c r="BJ299" s="25"/>
      <c r="BK299" s="25"/>
      <c r="BL299" s="25"/>
      <c r="BM299" s="25"/>
      <c r="BN299" s="25"/>
      <c r="BO299" s="25"/>
      <c r="BP299" s="25"/>
      <c r="BQ299" s="25"/>
      <c r="BR299" s="25"/>
      <c r="BS299" s="25"/>
      <c r="BT299" s="25"/>
      <c r="BU299" s="25"/>
      <c r="BV299" s="25"/>
      <c r="BW299" s="25"/>
      <c r="BX299" s="25"/>
      <c r="BY299" s="25"/>
      <c r="BZ299" s="25"/>
      <c r="CA299" s="25"/>
      <c r="CB299" s="25"/>
      <c r="CC299" s="25"/>
      <c r="CD299" s="25"/>
      <c r="CE299" s="25"/>
      <c r="CF299" s="25"/>
      <c r="CG299" s="25"/>
      <c r="CH299" s="25"/>
      <c r="CI299" s="25"/>
      <c r="CJ299" s="25"/>
      <c r="CK299" s="25"/>
      <c r="CL299" s="25"/>
      <c r="CM299" s="25"/>
      <c r="CN299" s="25"/>
      <c r="CO299" s="25"/>
      <c r="CP299" s="25"/>
      <c r="CQ299" s="25"/>
      <c r="CR299" s="25"/>
      <c r="CS299" s="25"/>
    </row>
    <row r="300" spans="2:97">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c r="AV300" s="25"/>
      <c r="AW300" s="25"/>
      <c r="AX300" s="25"/>
      <c r="AY300" s="25"/>
      <c r="AZ300" s="25"/>
      <c r="BA300" s="25"/>
      <c r="BB300" s="25"/>
      <c r="BC300" s="25"/>
      <c r="BD300" s="25"/>
      <c r="BE300" s="25"/>
      <c r="BF300" s="25"/>
      <c r="BG300" s="25"/>
      <c r="BH300" s="25"/>
      <c r="BI300" s="25"/>
      <c r="BJ300" s="25"/>
      <c r="BK300" s="25"/>
      <c r="BL300" s="25"/>
      <c r="BM300" s="25"/>
      <c r="BN300" s="25"/>
      <c r="BO300" s="25"/>
      <c r="BP300" s="25"/>
      <c r="BQ300" s="25"/>
      <c r="BR300" s="25"/>
      <c r="BS300" s="25"/>
      <c r="BT300" s="25"/>
      <c r="BU300" s="25"/>
      <c r="BV300" s="25"/>
      <c r="BW300" s="25"/>
      <c r="BX300" s="25"/>
      <c r="BY300" s="25"/>
      <c r="BZ300" s="25"/>
      <c r="CA300" s="25"/>
      <c r="CB300" s="25"/>
      <c r="CC300" s="25"/>
      <c r="CD300" s="25"/>
      <c r="CE300" s="25"/>
      <c r="CF300" s="25"/>
      <c r="CG300" s="25"/>
      <c r="CH300" s="25"/>
      <c r="CI300" s="25"/>
      <c r="CJ300" s="25"/>
      <c r="CK300" s="25"/>
      <c r="CL300" s="25"/>
      <c r="CM300" s="25"/>
      <c r="CN300" s="25"/>
      <c r="CO300" s="25"/>
      <c r="CP300" s="25"/>
      <c r="CQ300" s="25"/>
      <c r="CR300" s="25"/>
      <c r="CS300" s="25"/>
    </row>
    <row r="301" spans="2:97">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c r="AV301" s="25"/>
      <c r="AW301" s="25"/>
      <c r="AX301" s="25"/>
      <c r="AY301" s="25"/>
      <c r="AZ301" s="25"/>
      <c r="BA301" s="25"/>
      <c r="BB301" s="25"/>
      <c r="BC301" s="25"/>
      <c r="BD301" s="25"/>
      <c r="BE301" s="25"/>
      <c r="BF301" s="25"/>
      <c r="BG301" s="25"/>
      <c r="BH301" s="25"/>
      <c r="BI301" s="25"/>
      <c r="BJ301" s="25"/>
      <c r="BK301" s="25"/>
      <c r="BL301" s="25"/>
      <c r="BM301" s="25"/>
      <c r="BN301" s="25"/>
      <c r="BO301" s="25"/>
      <c r="BP301" s="25"/>
      <c r="BQ301" s="25"/>
      <c r="BR301" s="25"/>
      <c r="BS301" s="25"/>
      <c r="BT301" s="25"/>
      <c r="BU301" s="25"/>
      <c r="BV301" s="25"/>
      <c r="BW301" s="25"/>
      <c r="BX301" s="25"/>
      <c r="BY301" s="25"/>
      <c r="BZ301" s="25"/>
      <c r="CA301" s="25"/>
      <c r="CB301" s="25"/>
      <c r="CC301" s="25"/>
      <c r="CD301" s="25"/>
      <c r="CE301" s="25"/>
      <c r="CF301" s="25"/>
      <c r="CG301" s="25"/>
      <c r="CH301" s="25"/>
      <c r="CI301" s="25"/>
      <c r="CJ301" s="25"/>
      <c r="CK301" s="25"/>
      <c r="CL301" s="25"/>
      <c r="CM301" s="25"/>
      <c r="CN301" s="25"/>
      <c r="CO301" s="25"/>
      <c r="CP301" s="25"/>
      <c r="CQ301" s="25"/>
      <c r="CR301" s="25"/>
      <c r="CS301" s="25"/>
    </row>
    <row r="302" spans="2:97">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c r="AV302" s="25"/>
      <c r="AW302" s="25"/>
      <c r="AX302" s="25"/>
      <c r="AY302" s="25"/>
      <c r="AZ302" s="25"/>
      <c r="BA302" s="25"/>
      <c r="BB302" s="25"/>
      <c r="BC302" s="25"/>
      <c r="BD302" s="25"/>
      <c r="BE302" s="25"/>
      <c r="BF302" s="25"/>
      <c r="BG302" s="25"/>
      <c r="BH302" s="25"/>
      <c r="BI302" s="25"/>
      <c r="BJ302" s="25"/>
      <c r="BK302" s="25"/>
      <c r="BL302" s="25"/>
      <c r="BM302" s="25"/>
      <c r="BN302" s="25"/>
      <c r="BO302" s="25"/>
      <c r="BP302" s="25"/>
      <c r="BQ302" s="25"/>
      <c r="BR302" s="25"/>
      <c r="BS302" s="25"/>
      <c r="BT302" s="25"/>
      <c r="BU302" s="25"/>
      <c r="BV302" s="25"/>
      <c r="BW302" s="25"/>
      <c r="BX302" s="25"/>
      <c r="BY302" s="25"/>
      <c r="BZ302" s="25"/>
      <c r="CA302" s="25"/>
      <c r="CB302" s="25"/>
      <c r="CC302" s="25"/>
      <c r="CD302" s="25"/>
      <c r="CE302" s="25"/>
      <c r="CF302" s="25"/>
      <c r="CG302" s="25"/>
      <c r="CH302" s="25"/>
      <c r="CI302" s="25"/>
      <c r="CJ302" s="25"/>
      <c r="CK302" s="25"/>
      <c r="CL302" s="25"/>
      <c r="CM302" s="25"/>
      <c r="CN302" s="25"/>
      <c r="CO302" s="25"/>
      <c r="CP302" s="25"/>
      <c r="CQ302" s="25"/>
      <c r="CR302" s="25"/>
      <c r="CS302" s="25"/>
    </row>
    <row r="303" spans="2:97">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c r="AV303" s="25"/>
      <c r="AW303" s="25"/>
      <c r="AX303" s="25"/>
      <c r="AY303" s="25"/>
      <c r="AZ303" s="25"/>
      <c r="BA303" s="25"/>
      <c r="BB303" s="25"/>
      <c r="BC303" s="25"/>
      <c r="BD303" s="25"/>
      <c r="BE303" s="25"/>
      <c r="BF303" s="25"/>
      <c r="BG303" s="25"/>
      <c r="BH303" s="25"/>
      <c r="BI303" s="25"/>
      <c r="BJ303" s="25"/>
      <c r="BK303" s="25"/>
      <c r="BL303" s="25"/>
      <c r="BM303" s="25"/>
      <c r="BN303" s="25"/>
      <c r="BO303" s="25"/>
      <c r="BP303" s="25"/>
      <c r="BQ303" s="25"/>
      <c r="BR303" s="25"/>
      <c r="BS303" s="25"/>
      <c r="BT303" s="25"/>
      <c r="BU303" s="25"/>
      <c r="BV303" s="25"/>
      <c r="BW303" s="25"/>
      <c r="BX303" s="25"/>
      <c r="BY303" s="25"/>
      <c r="BZ303" s="25"/>
      <c r="CA303" s="25"/>
      <c r="CB303" s="25"/>
      <c r="CC303" s="25"/>
      <c r="CD303" s="25"/>
      <c r="CE303" s="25"/>
      <c r="CF303" s="25"/>
      <c r="CG303" s="25"/>
      <c r="CH303" s="25"/>
      <c r="CI303" s="25"/>
      <c r="CJ303" s="25"/>
      <c r="CK303" s="25"/>
      <c r="CL303" s="25"/>
      <c r="CM303" s="25"/>
      <c r="CN303" s="25"/>
      <c r="CO303" s="25"/>
      <c r="CP303" s="25"/>
      <c r="CQ303" s="25"/>
      <c r="CR303" s="25"/>
      <c r="CS303" s="25"/>
    </row>
    <row r="304" spans="2:97">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c r="AV304" s="25"/>
      <c r="AW304" s="25"/>
      <c r="AX304" s="25"/>
      <c r="AY304" s="25"/>
      <c r="AZ304" s="25"/>
      <c r="BA304" s="25"/>
      <c r="BB304" s="25"/>
      <c r="BC304" s="25"/>
      <c r="BD304" s="25"/>
      <c r="BE304" s="25"/>
      <c r="BF304" s="25"/>
      <c r="BG304" s="25"/>
      <c r="BH304" s="25"/>
      <c r="BI304" s="25"/>
      <c r="BJ304" s="25"/>
      <c r="BK304" s="25"/>
      <c r="BL304" s="25"/>
      <c r="BM304" s="25"/>
      <c r="BN304" s="25"/>
      <c r="BO304" s="25"/>
      <c r="BP304" s="25"/>
      <c r="BQ304" s="25"/>
      <c r="BR304" s="25"/>
      <c r="BS304" s="25"/>
      <c r="BT304" s="25"/>
      <c r="BU304" s="25"/>
      <c r="BV304" s="25"/>
      <c r="BW304" s="25"/>
      <c r="BX304" s="25"/>
      <c r="BY304" s="25"/>
      <c r="BZ304" s="25"/>
      <c r="CA304" s="25"/>
      <c r="CB304" s="25"/>
      <c r="CC304" s="25"/>
      <c r="CD304" s="25"/>
      <c r="CE304" s="25"/>
      <c r="CF304" s="25"/>
      <c r="CG304" s="25"/>
      <c r="CH304" s="25"/>
      <c r="CI304" s="25"/>
      <c r="CJ304" s="25"/>
      <c r="CK304" s="25"/>
      <c r="CL304" s="25"/>
      <c r="CM304" s="25"/>
      <c r="CN304" s="25"/>
      <c r="CO304" s="25"/>
      <c r="CP304" s="25"/>
      <c r="CQ304" s="25"/>
      <c r="CR304" s="25"/>
      <c r="CS304" s="25"/>
    </row>
    <row r="305" spans="2:97">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c r="AV305" s="25"/>
      <c r="AW305" s="25"/>
      <c r="AX305" s="25"/>
      <c r="AY305" s="25"/>
      <c r="AZ305" s="25"/>
      <c r="BA305" s="25"/>
      <c r="BB305" s="25"/>
      <c r="BC305" s="25"/>
      <c r="BD305" s="25"/>
      <c r="BE305" s="25"/>
      <c r="BF305" s="25"/>
      <c r="BG305" s="25"/>
      <c r="BH305" s="25"/>
      <c r="BI305" s="25"/>
      <c r="BJ305" s="25"/>
      <c r="BK305" s="25"/>
      <c r="BL305" s="25"/>
      <c r="BM305" s="25"/>
      <c r="BN305" s="25"/>
      <c r="BO305" s="25"/>
      <c r="BP305" s="25"/>
      <c r="BQ305" s="25"/>
      <c r="BR305" s="25"/>
      <c r="BS305" s="25"/>
      <c r="BT305" s="25"/>
      <c r="BU305" s="25"/>
      <c r="BV305" s="25"/>
      <c r="BW305" s="25"/>
      <c r="BX305" s="25"/>
      <c r="BY305" s="25"/>
      <c r="BZ305" s="25"/>
      <c r="CA305" s="25"/>
      <c r="CB305" s="25"/>
      <c r="CC305" s="25"/>
      <c r="CD305" s="25"/>
      <c r="CE305" s="25"/>
      <c r="CF305" s="25"/>
      <c r="CG305" s="25"/>
      <c r="CH305" s="25"/>
      <c r="CI305" s="25"/>
      <c r="CJ305" s="25"/>
      <c r="CK305" s="25"/>
      <c r="CL305" s="25"/>
      <c r="CM305" s="25"/>
      <c r="CN305" s="25"/>
      <c r="CO305" s="25"/>
      <c r="CP305" s="25"/>
      <c r="CQ305" s="25"/>
      <c r="CR305" s="25"/>
      <c r="CS305" s="25"/>
    </row>
    <row r="306" spans="2:97">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c r="AV306" s="25"/>
      <c r="AW306" s="25"/>
      <c r="AX306" s="25"/>
      <c r="AY306" s="25"/>
      <c r="AZ306" s="25"/>
      <c r="BA306" s="25"/>
      <c r="BB306" s="25"/>
      <c r="BC306" s="25"/>
      <c r="BD306" s="25"/>
      <c r="BE306" s="25"/>
      <c r="BF306" s="25"/>
      <c r="BG306" s="25"/>
      <c r="BH306" s="25"/>
      <c r="BI306" s="25"/>
      <c r="BJ306" s="25"/>
      <c r="BK306" s="25"/>
      <c r="BL306" s="25"/>
      <c r="BM306" s="25"/>
      <c r="BN306" s="25"/>
      <c r="BO306" s="25"/>
      <c r="BP306" s="25"/>
      <c r="BQ306" s="25"/>
      <c r="BR306" s="25"/>
      <c r="BS306" s="25"/>
      <c r="BT306" s="25"/>
      <c r="BU306" s="25"/>
      <c r="BV306" s="25"/>
      <c r="BW306" s="25"/>
      <c r="BX306" s="25"/>
      <c r="BY306" s="25"/>
      <c r="BZ306" s="25"/>
      <c r="CA306" s="25"/>
      <c r="CB306" s="25"/>
      <c r="CC306" s="25"/>
      <c r="CD306" s="25"/>
      <c r="CE306" s="25"/>
      <c r="CF306" s="25"/>
      <c r="CG306" s="25"/>
      <c r="CH306" s="25"/>
      <c r="CI306" s="25"/>
      <c r="CJ306" s="25"/>
      <c r="CK306" s="25"/>
      <c r="CL306" s="25"/>
      <c r="CM306" s="25"/>
      <c r="CN306" s="25"/>
      <c r="CO306" s="25"/>
      <c r="CP306" s="25"/>
      <c r="CQ306" s="25"/>
      <c r="CR306" s="25"/>
      <c r="CS306" s="25"/>
    </row>
    <row r="307" spans="2:97">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c r="AV307" s="25"/>
      <c r="AW307" s="25"/>
      <c r="AX307" s="25"/>
      <c r="AY307" s="25"/>
      <c r="AZ307" s="25"/>
      <c r="BA307" s="25"/>
      <c r="BB307" s="25"/>
      <c r="BC307" s="25"/>
      <c r="BD307" s="25"/>
      <c r="BE307" s="25"/>
      <c r="BF307" s="25"/>
      <c r="BG307" s="25"/>
      <c r="BH307" s="25"/>
      <c r="BI307" s="25"/>
      <c r="BJ307" s="25"/>
      <c r="BK307" s="25"/>
      <c r="BL307" s="25"/>
      <c r="BM307" s="25"/>
      <c r="BN307" s="25"/>
      <c r="BO307" s="25"/>
      <c r="BP307" s="25"/>
      <c r="BQ307" s="25"/>
      <c r="BR307" s="25"/>
      <c r="BS307" s="25"/>
      <c r="BT307" s="25"/>
      <c r="BU307" s="25"/>
      <c r="BV307" s="25"/>
      <c r="BW307" s="25"/>
      <c r="BX307" s="25"/>
      <c r="BY307" s="25"/>
      <c r="BZ307" s="25"/>
      <c r="CA307" s="25"/>
      <c r="CB307" s="25"/>
      <c r="CC307" s="25"/>
      <c r="CD307" s="25"/>
      <c r="CE307" s="25"/>
      <c r="CF307" s="25"/>
      <c r="CG307" s="25"/>
      <c r="CH307" s="25"/>
      <c r="CI307" s="25"/>
      <c r="CJ307" s="25"/>
      <c r="CK307" s="25"/>
      <c r="CL307" s="25"/>
      <c r="CM307" s="25"/>
      <c r="CN307" s="25"/>
      <c r="CO307" s="25"/>
      <c r="CP307" s="25"/>
      <c r="CQ307" s="25"/>
      <c r="CR307" s="25"/>
      <c r="CS307" s="25"/>
    </row>
    <row r="308" spans="2:97">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c r="AV308" s="25"/>
      <c r="AW308" s="25"/>
      <c r="AX308" s="25"/>
      <c r="AY308" s="25"/>
      <c r="AZ308" s="25"/>
      <c r="BA308" s="25"/>
      <c r="BB308" s="25"/>
      <c r="BC308" s="25"/>
      <c r="BD308" s="25"/>
      <c r="BE308" s="25"/>
      <c r="BF308" s="25"/>
      <c r="BG308" s="25"/>
      <c r="BH308" s="25"/>
      <c r="BI308" s="25"/>
      <c r="BJ308" s="25"/>
      <c r="BK308" s="25"/>
      <c r="BL308" s="25"/>
      <c r="BM308" s="25"/>
      <c r="BN308" s="25"/>
      <c r="BO308" s="25"/>
      <c r="BP308" s="25"/>
      <c r="BQ308" s="25"/>
      <c r="BR308" s="25"/>
      <c r="BS308" s="25"/>
      <c r="BT308" s="25"/>
      <c r="BU308" s="25"/>
      <c r="BV308" s="25"/>
      <c r="BW308" s="25"/>
      <c r="BX308" s="25"/>
      <c r="BY308" s="25"/>
      <c r="BZ308" s="25"/>
      <c r="CA308" s="25"/>
      <c r="CB308" s="25"/>
      <c r="CC308" s="25"/>
      <c r="CD308" s="25"/>
      <c r="CE308" s="25"/>
      <c r="CF308" s="25"/>
      <c r="CG308" s="25"/>
      <c r="CH308" s="25"/>
      <c r="CI308" s="25"/>
      <c r="CJ308" s="25"/>
      <c r="CK308" s="25"/>
      <c r="CL308" s="25"/>
      <c r="CM308" s="25"/>
      <c r="CN308" s="25"/>
      <c r="CO308" s="25"/>
      <c r="CP308" s="25"/>
      <c r="CQ308" s="25"/>
      <c r="CR308" s="25"/>
      <c r="CS308" s="25"/>
    </row>
    <row r="309" spans="2:97">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c r="AV309" s="25"/>
      <c r="AW309" s="25"/>
      <c r="AX309" s="25"/>
      <c r="AY309" s="25"/>
      <c r="AZ309" s="25"/>
      <c r="BA309" s="25"/>
      <c r="BB309" s="25"/>
      <c r="BC309" s="25"/>
      <c r="BD309" s="25"/>
      <c r="BE309" s="25"/>
      <c r="BF309" s="25"/>
      <c r="BG309" s="25"/>
      <c r="BH309" s="25"/>
      <c r="BI309" s="25"/>
      <c r="BJ309" s="25"/>
      <c r="BK309" s="25"/>
      <c r="BL309" s="25"/>
      <c r="BM309" s="25"/>
      <c r="BN309" s="25"/>
      <c r="BO309" s="25"/>
      <c r="BP309" s="25"/>
      <c r="BQ309" s="25"/>
      <c r="BR309" s="25"/>
      <c r="BS309" s="25"/>
      <c r="BT309" s="25"/>
      <c r="BU309" s="25"/>
      <c r="BV309" s="25"/>
      <c r="BW309" s="25"/>
      <c r="BX309" s="25"/>
      <c r="BY309" s="25"/>
      <c r="BZ309" s="25"/>
      <c r="CA309" s="25"/>
      <c r="CB309" s="25"/>
      <c r="CC309" s="25"/>
      <c r="CD309" s="25"/>
      <c r="CE309" s="25"/>
      <c r="CF309" s="25"/>
      <c r="CG309" s="25"/>
      <c r="CH309" s="25"/>
      <c r="CI309" s="25"/>
      <c r="CJ309" s="25"/>
      <c r="CK309" s="25"/>
      <c r="CL309" s="25"/>
      <c r="CM309" s="25"/>
      <c r="CN309" s="25"/>
      <c r="CO309" s="25"/>
      <c r="CP309" s="25"/>
      <c r="CQ309" s="25"/>
      <c r="CR309" s="25"/>
      <c r="CS309" s="25"/>
    </row>
    <row r="310" spans="2:97">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c r="AV310" s="25"/>
      <c r="AW310" s="25"/>
      <c r="AX310" s="25"/>
      <c r="AY310" s="25"/>
      <c r="AZ310" s="25"/>
      <c r="BA310" s="25"/>
      <c r="BB310" s="25"/>
      <c r="BC310" s="25"/>
      <c r="BD310" s="25"/>
      <c r="BE310" s="25"/>
      <c r="BF310" s="25"/>
      <c r="BG310" s="25"/>
      <c r="BH310" s="25"/>
      <c r="BI310" s="25"/>
      <c r="BJ310" s="25"/>
      <c r="BK310" s="25"/>
      <c r="BL310" s="25"/>
      <c r="BM310" s="25"/>
      <c r="BN310" s="25"/>
      <c r="BO310" s="25"/>
      <c r="BP310" s="25"/>
      <c r="BQ310" s="25"/>
      <c r="BR310" s="25"/>
      <c r="BS310" s="25"/>
      <c r="BT310" s="25"/>
      <c r="BU310" s="25"/>
      <c r="BV310" s="25"/>
      <c r="BW310" s="25"/>
      <c r="BX310" s="25"/>
      <c r="BY310" s="25"/>
      <c r="BZ310" s="25"/>
      <c r="CA310" s="25"/>
      <c r="CB310" s="25"/>
      <c r="CC310" s="25"/>
      <c r="CD310" s="25"/>
      <c r="CE310" s="25"/>
      <c r="CF310" s="25"/>
      <c r="CG310" s="25"/>
      <c r="CH310" s="25"/>
      <c r="CI310" s="25"/>
      <c r="CJ310" s="25"/>
      <c r="CK310" s="25"/>
      <c r="CL310" s="25"/>
      <c r="CM310" s="25"/>
      <c r="CN310" s="25"/>
      <c r="CO310" s="25"/>
      <c r="CP310" s="25"/>
      <c r="CQ310" s="25"/>
      <c r="CR310" s="25"/>
      <c r="CS310" s="25"/>
    </row>
    <row r="311" spans="2:97">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c r="AV311" s="25"/>
      <c r="AW311" s="25"/>
      <c r="AX311" s="25"/>
      <c r="AY311" s="25"/>
      <c r="AZ311" s="25"/>
      <c r="BA311" s="25"/>
      <c r="BB311" s="25"/>
      <c r="BC311" s="25"/>
      <c r="BD311" s="25"/>
      <c r="BE311" s="25"/>
      <c r="BF311" s="25"/>
      <c r="BG311" s="25"/>
      <c r="BH311" s="25"/>
      <c r="BI311" s="25"/>
      <c r="BJ311" s="25"/>
      <c r="BK311" s="25"/>
      <c r="BL311" s="25"/>
      <c r="BM311" s="25"/>
      <c r="BN311" s="25"/>
      <c r="BO311" s="25"/>
      <c r="BP311" s="25"/>
      <c r="BQ311" s="25"/>
      <c r="BR311" s="25"/>
      <c r="BS311" s="25"/>
      <c r="BT311" s="25"/>
      <c r="BU311" s="25"/>
      <c r="BV311" s="25"/>
      <c r="BW311" s="25"/>
      <c r="BX311" s="25"/>
      <c r="BY311" s="25"/>
      <c r="BZ311" s="25"/>
      <c r="CA311" s="25"/>
      <c r="CB311" s="25"/>
      <c r="CC311" s="25"/>
      <c r="CD311" s="25"/>
      <c r="CE311" s="25"/>
      <c r="CF311" s="25"/>
      <c r="CG311" s="25"/>
      <c r="CH311" s="25"/>
      <c r="CI311" s="25"/>
      <c r="CJ311" s="25"/>
      <c r="CK311" s="25"/>
      <c r="CL311" s="25"/>
      <c r="CM311" s="25"/>
      <c r="CN311" s="25"/>
      <c r="CO311" s="25"/>
      <c r="CP311" s="25"/>
      <c r="CQ311" s="25"/>
      <c r="CR311" s="25"/>
      <c r="CS311" s="25"/>
    </row>
    <row r="312" spans="2:97">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c r="AV312" s="25"/>
      <c r="AW312" s="25"/>
      <c r="AX312" s="25"/>
      <c r="AY312" s="25"/>
      <c r="AZ312" s="25"/>
      <c r="BA312" s="25"/>
      <c r="BB312" s="25"/>
      <c r="BC312" s="25"/>
      <c r="BD312" s="25"/>
      <c r="BE312" s="25"/>
      <c r="BF312" s="25"/>
      <c r="BG312" s="25"/>
      <c r="BH312" s="25"/>
      <c r="BI312" s="25"/>
      <c r="BJ312" s="25"/>
      <c r="BK312" s="25"/>
      <c r="BL312" s="25"/>
      <c r="BM312" s="25"/>
      <c r="BN312" s="25"/>
      <c r="BO312" s="25"/>
      <c r="BP312" s="25"/>
      <c r="BQ312" s="25"/>
      <c r="BR312" s="25"/>
      <c r="BS312" s="25"/>
      <c r="BT312" s="25"/>
      <c r="BU312" s="25"/>
      <c r="BV312" s="25"/>
      <c r="BW312" s="25"/>
      <c r="BX312" s="25"/>
      <c r="BY312" s="25"/>
      <c r="BZ312" s="25"/>
      <c r="CA312" s="25"/>
      <c r="CB312" s="25"/>
      <c r="CC312" s="25"/>
      <c r="CD312" s="25"/>
      <c r="CE312" s="25"/>
      <c r="CF312" s="25"/>
      <c r="CG312" s="25"/>
      <c r="CH312" s="25"/>
      <c r="CI312" s="25"/>
      <c r="CJ312" s="25"/>
      <c r="CK312" s="25"/>
      <c r="CL312" s="25"/>
      <c r="CM312" s="25"/>
      <c r="CN312" s="25"/>
      <c r="CO312" s="25"/>
      <c r="CP312" s="25"/>
      <c r="CQ312" s="25"/>
      <c r="CR312" s="25"/>
      <c r="CS312" s="25"/>
    </row>
    <row r="313" spans="2:97">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c r="AV313" s="25"/>
      <c r="AW313" s="25"/>
      <c r="AX313" s="25"/>
      <c r="AY313" s="25"/>
      <c r="AZ313" s="25"/>
      <c r="BA313" s="25"/>
      <c r="BB313" s="25"/>
      <c r="BC313" s="25"/>
      <c r="BD313" s="25"/>
      <c r="BE313" s="25"/>
      <c r="BF313" s="25"/>
      <c r="BG313" s="25"/>
      <c r="BH313" s="25"/>
      <c r="BI313" s="25"/>
      <c r="BJ313" s="25"/>
      <c r="BK313" s="25"/>
      <c r="BL313" s="25"/>
      <c r="BM313" s="25"/>
      <c r="BN313" s="25"/>
      <c r="BO313" s="25"/>
      <c r="BP313" s="25"/>
      <c r="BQ313" s="25"/>
      <c r="BR313" s="25"/>
      <c r="BS313" s="25"/>
      <c r="BT313" s="25"/>
      <c r="BU313" s="25"/>
      <c r="BV313" s="25"/>
      <c r="BW313" s="25"/>
      <c r="BX313" s="25"/>
      <c r="BY313" s="25"/>
      <c r="BZ313" s="25"/>
      <c r="CA313" s="25"/>
      <c r="CB313" s="25"/>
      <c r="CC313" s="25"/>
      <c r="CD313" s="25"/>
      <c r="CE313" s="25"/>
      <c r="CF313" s="25"/>
      <c r="CG313" s="25"/>
      <c r="CH313" s="25"/>
      <c r="CI313" s="25"/>
      <c r="CJ313" s="25"/>
      <c r="CK313" s="25"/>
      <c r="CL313" s="25"/>
      <c r="CM313" s="25"/>
      <c r="CN313" s="25"/>
      <c r="CO313" s="25"/>
      <c r="CP313" s="25"/>
      <c r="CQ313" s="25"/>
      <c r="CR313" s="25"/>
      <c r="CS313" s="25"/>
    </row>
    <row r="314" spans="2:97">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c r="AV314" s="25"/>
      <c r="AW314" s="25"/>
      <c r="AX314" s="25"/>
      <c r="AY314" s="25"/>
      <c r="AZ314" s="25"/>
      <c r="BA314" s="25"/>
      <c r="BB314" s="25"/>
      <c r="BC314" s="25"/>
      <c r="BD314" s="25"/>
      <c r="BE314" s="25"/>
      <c r="BF314" s="25"/>
      <c r="BG314" s="25"/>
      <c r="BH314" s="25"/>
      <c r="BI314" s="25"/>
      <c r="BJ314" s="25"/>
      <c r="BK314" s="25"/>
      <c r="BL314" s="25"/>
      <c r="BM314" s="25"/>
      <c r="BN314" s="25"/>
      <c r="BO314" s="25"/>
      <c r="BP314" s="25"/>
      <c r="BQ314" s="25"/>
      <c r="BR314" s="25"/>
      <c r="BS314" s="25"/>
      <c r="BT314" s="25"/>
      <c r="BU314" s="25"/>
      <c r="BV314" s="25"/>
      <c r="BW314" s="25"/>
      <c r="BX314" s="25"/>
      <c r="BY314" s="25"/>
      <c r="BZ314" s="25"/>
      <c r="CA314" s="25"/>
      <c r="CB314" s="25"/>
      <c r="CC314" s="25"/>
      <c r="CD314" s="25"/>
      <c r="CE314" s="25"/>
      <c r="CF314" s="25"/>
      <c r="CG314" s="25"/>
      <c r="CH314" s="25"/>
      <c r="CI314" s="25"/>
      <c r="CJ314" s="25"/>
      <c r="CK314" s="25"/>
      <c r="CL314" s="25"/>
      <c r="CM314" s="25"/>
      <c r="CN314" s="25"/>
      <c r="CO314" s="25"/>
      <c r="CP314" s="25"/>
      <c r="CQ314" s="25"/>
      <c r="CR314" s="25"/>
      <c r="CS314" s="25"/>
    </row>
    <row r="315" spans="2:97">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c r="AV315" s="25"/>
      <c r="AW315" s="25"/>
      <c r="AX315" s="25"/>
      <c r="AY315" s="25"/>
      <c r="AZ315" s="25"/>
      <c r="BA315" s="25"/>
      <c r="BB315" s="25"/>
      <c r="BC315" s="25"/>
      <c r="BD315" s="25"/>
      <c r="BE315" s="25"/>
      <c r="BF315" s="25"/>
      <c r="BG315" s="25"/>
      <c r="BH315" s="25"/>
      <c r="BI315" s="25"/>
      <c r="BJ315" s="25"/>
      <c r="BK315" s="25"/>
      <c r="BL315" s="25"/>
      <c r="BM315" s="25"/>
      <c r="BN315" s="25"/>
      <c r="BO315" s="25"/>
      <c r="BP315" s="25"/>
      <c r="BQ315" s="25"/>
      <c r="BR315" s="25"/>
      <c r="BS315" s="25"/>
      <c r="BT315" s="25"/>
      <c r="BU315" s="25"/>
      <c r="BV315" s="25"/>
      <c r="BW315" s="25"/>
      <c r="BX315" s="25"/>
      <c r="BY315" s="25"/>
      <c r="BZ315" s="25"/>
      <c r="CA315" s="25"/>
      <c r="CB315" s="25"/>
      <c r="CC315" s="25"/>
      <c r="CD315" s="25"/>
      <c r="CE315" s="25"/>
      <c r="CF315" s="25"/>
      <c r="CG315" s="25"/>
      <c r="CH315" s="25"/>
      <c r="CI315" s="25"/>
      <c r="CJ315" s="25"/>
      <c r="CK315" s="25"/>
      <c r="CL315" s="25"/>
      <c r="CM315" s="25"/>
      <c r="CN315" s="25"/>
      <c r="CO315" s="25"/>
      <c r="CP315" s="25"/>
      <c r="CQ315" s="25"/>
      <c r="CR315" s="25"/>
      <c r="CS315" s="25"/>
    </row>
    <row r="316" spans="2:97">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c r="AV316" s="25"/>
      <c r="AW316" s="25"/>
      <c r="AX316" s="25"/>
      <c r="AY316" s="25"/>
      <c r="AZ316" s="25"/>
      <c r="BA316" s="25"/>
      <c r="BB316" s="25"/>
      <c r="BC316" s="25"/>
      <c r="BD316" s="25"/>
      <c r="BE316" s="25"/>
      <c r="BF316" s="25"/>
      <c r="BG316" s="25"/>
      <c r="BH316" s="25"/>
      <c r="BI316" s="25"/>
      <c r="BJ316" s="25"/>
      <c r="BK316" s="25"/>
      <c r="BL316" s="25"/>
      <c r="BM316" s="25"/>
      <c r="BN316" s="25"/>
      <c r="BO316" s="25"/>
      <c r="BP316" s="25"/>
      <c r="BQ316" s="25"/>
      <c r="BR316" s="25"/>
      <c r="BS316" s="25"/>
      <c r="BT316" s="25"/>
      <c r="BU316" s="25"/>
      <c r="BV316" s="25"/>
      <c r="BW316" s="25"/>
      <c r="BX316" s="25"/>
      <c r="BY316" s="25"/>
      <c r="BZ316" s="25"/>
      <c r="CA316" s="25"/>
      <c r="CB316" s="25"/>
      <c r="CC316" s="25"/>
      <c r="CD316" s="25"/>
      <c r="CE316" s="25"/>
      <c r="CF316" s="25"/>
      <c r="CG316" s="25"/>
      <c r="CH316" s="25"/>
      <c r="CI316" s="25"/>
      <c r="CJ316" s="25"/>
      <c r="CK316" s="25"/>
      <c r="CL316" s="25"/>
      <c r="CM316" s="25"/>
      <c r="CN316" s="25"/>
      <c r="CO316" s="25"/>
      <c r="CP316" s="25"/>
      <c r="CQ316" s="25"/>
      <c r="CR316" s="25"/>
      <c r="CS316" s="25"/>
    </row>
    <row r="317" spans="2:97">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c r="AV317" s="25"/>
      <c r="AW317" s="25"/>
      <c r="AX317" s="25"/>
      <c r="AY317" s="25"/>
      <c r="AZ317" s="25"/>
      <c r="BA317" s="25"/>
      <c r="BB317" s="25"/>
      <c r="BC317" s="25"/>
      <c r="BD317" s="25"/>
      <c r="BE317" s="25"/>
      <c r="BF317" s="25"/>
      <c r="BG317" s="25"/>
      <c r="BH317" s="25"/>
      <c r="BI317" s="25"/>
      <c r="BJ317" s="25"/>
      <c r="BK317" s="25"/>
      <c r="BL317" s="25"/>
      <c r="BM317" s="25"/>
      <c r="BN317" s="25"/>
      <c r="BO317" s="25"/>
      <c r="BP317" s="25"/>
      <c r="BQ317" s="25"/>
      <c r="BR317" s="25"/>
      <c r="BS317" s="25"/>
      <c r="BT317" s="25"/>
      <c r="BU317" s="25"/>
      <c r="BV317" s="25"/>
      <c r="BW317" s="25"/>
      <c r="BX317" s="25"/>
      <c r="BY317" s="25"/>
      <c r="BZ317" s="25"/>
      <c r="CA317" s="25"/>
      <c r="CB317" s="25"/>
      <c r="CC317" s="25"/>
      <c r="CD317" s="25"/>
      <c r="CE317" s="25"/>
      <c r="CF317" s="25"/>
      <c r="CG317" s="25"/>
      <c r="CH317" s="25"/>
      <c r="CI317" s="25"/>
      <c r="CJ317" s="25"/>
      <c r="CK317" s="25"/>
      <c r="CL317" s="25"/>
      <c r="CM317" s="25"/>
      <c r="CN317" s="25"/>
      <c r="CO317" s="25"/>
      <c r="CP317" s="25"/>
      <c r="CQ317" s="25"/>
      <c r="CR317" s="25"/>
      <c r="CS317" s="25"/>
    </row>
    <row r="318" spans="2:97">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c r="AV318" s="25"/>
      <c r="AW318" s="25"/>
      <c r="AX318" s="25"/>
      <c r="AY318" s="25"/>
      <c r="AZ318" s="25"/>
      <c r="BA318" s="25"/>
      <c r="BB318" s="25"/>
      <c r="BC318" s="25"/>
      <c r="BD318" s="25"/>
      <c r="BE318" s="25"/>
      <c r="BF318" s="25"/>
      <c r="BG318" s="25"/>
      <c r="BH318" s="25"/>
      <c r="BI318" s="25"/>
      <c r="BJ318" s="25"/>
      <c r="BK318" s="25"/>
      <c r="BL318" s="25"/>
      <c r="BM318" s="25"/>
      <c r="BN318" s="25"/>
      <c r="BO318" s="25"/>
      <c r="BP318" s="25"/>
      <c r="BQ318" s="25"/>
      <c r="BR318" s="25"/>
      <c r="BS318" s="25"/>
      <c r="BT318" s="25"/>
      <c r="BU318" s="25"/>
      <c r="BV318" s="25"/>
      <c r="BW318" s="25"/>
      <c r="BX318" s="25"/>
      <c r="BY318" s="25"/>
      <c r="BZ318" s="25"/>
      <c r="CA318" s="25"/>
      <c r="CB318" s="25"/>
      <c r="CC318" s="25"/>
      <c r="CD318" s="25"/>
      <c r="CE318" s="25"/>
      <c r="CF318" s="25"/>
      <c r="CG318" s="25"/>
      <c r="CH318" s="25"/>
      <c r="CI318" s="25"/>
      <c r="CJ318" s="25"/>
      <c r="CK318" s="25"/>
      <c r="CL318" s="25"/>
      <c r="CM318" s="25"/>
      <c r="CN318" s="25"/>
      <c r="CO318" s="25"/>
      <c r="CP318" s="25"/>
      <c r="CQ318" s="25"/>
      <c r="CR318" s="25"/>
      <c r="CS318" s="25"/>
    </row>
    <row r="319" spans="2:97">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c r="AV319" s="25"/>
      <c r="AW319" s="25"/>
      <c r="AX319" s="25"/>
      <c r="AY319" s="25"/>
      <c r="AZ319" s="25"/>
      <c r="BA319" s="25"/>
      <c r="BB319" s="25"/>
      <c r="BC319" s="25"/>
      <c r="BD319" s="25"/>
      <c r="BE319" s="25"/>
      <c r="BF319" s="25"/>
      <c r="BG319" s="25"/>
      <c r="BH319" s="25"/>
      <c r="BI319" s="25"/>
      <c r="BJ319" s="25"/>
      <c r="BK319" s="25"/>
      <c r="BL319" s="25"/>
      <c r="BM319" s="25"/>
      <c r="BN319" s="25"/>
      <c r="BO319" s="25"/>
      <c r="BP319" s="25"/>
      <c r="BQ319" s="25"/>
      <c r="BR319" s="25"/>
      <c r="BS319" s="25"/>
      <c r="BT319" s="25"/>
      <c r="BU319" s="25"/>
      <c r="BV319" s="25"/>
      <c r="BW319" s="25"/>
      <c r="BX319" s="25"/>
      <c r="BY319" s="25"/>
      <c r="BZ319" s="25"/>
      <c r="CA319" s="25"/>
      <c r="CB319" s="25"/>
      <c r="CC319" s="25"/>
      <c r="CD319" s="25"/>
      <c r="CE319" s="25"/>
      <c r="CF319" s="25"/>
      <c r="CG319" s="25"/>
      <c r="CH319" s="25"/>
      <c r="CI319" s="25"/>
      <c r="CJ319" s="25"/>
      <c r="CK319" s="25"/>
      <c r="CL319" s="25"/>
      <c r="CM319" s="25"/>
      <c r="CN319" s="25"/>
      <c r="CO319" s="25"/>
      <c r="CP319" s="25"/>
      <c r="CQ319" s="25"/>
      <c r="CR319" s="25"/>
      <c r="CS319" s="25"/>
    </row>
    <row r="320" spans="2:97">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c r="AV320" s="25"/>
      <c r="AW320" s="25"/>
      <c r="AX320" s="25"/>
      <c r="AY320" s="25"/>
      <c r="AZ320" s="25"/>
      <c r="BA320" s="25"/>
      <c r="BB320" s="25"/>
      <c r="BC320" s="25"/>
      <c r="BD320" s="25"/>
      <c r="BE320" s="25"/>
      <c r="BF320" s="25"/>
      <c r="BG320" s="25"/>
      <c r="BH320" s="25"/>
      <c r="BI320" s="25"/>
      <c r="BJ320" s="25"/>
      <c r="BK320" s="25"/>
      <c r="BL320" s="25"/>
      <c r="BM320" s="25"/>
      <c r="BN320" s="25"/>
      <c r="BO320" s="25"/>
      <c r="BP320" s="25"/>
      <c r="BQ320" s="25"/>
      <c r="BR320" s="25"/>
      <c r="BS320" s="25"/>
      <c r="BT320" s="25"/>
      <c r="BU320" s="25"/>
      <c r="BV320" s="25"/>
      <c r="BW320" s="25"/>
      <c r="BX320" s="25"/>
      <c r="BY320" s="25"/>
      <c r="BZ320" s="25"/>
      <c r="CA320" s="25"/>
      <c r="CB320" s="25"/>
      <c r="CC320" s="25"/>
      <c r="CD320" s="25"/>
      <c r="CE320" s="25"/>
      <c r="CF320" s="25"/>
      <c r="CG320" s="25"/>
      <c r="CH320" s="25"/>
      <c r="CI320" s="25"/>
      <c r="CJ320" s="25"/>
      <c r="CK320" s="25"/>
      <c r="CL320" s="25"/>
      <c r="CM320" s="25"/>
      <c r="CN320" s="25"/>
      <c r="CO320" s="25"/>
      <c r="CP320" s="25"/>
      <c r="CQ320" s="25"/>
      <c r="CR320" s="25"/>
      <c r="CS320" s="25"/>
    </row>
    <row r="321" spans="2:97">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c r="AV321" s="25"/>
      <c r="AW321" s="25"/>
      <c r="AX321" s="25"/>
      <c r="AY321" s="25"/>
      <c r="AZ321" s="25"/>
      <c r="BA321" s="25"/>
      <c r="BB321" s="25"/>
      <c r="BC321" s="25"/>
      <c r="BD321" s="25"/>
      <c r="BE321" s="25"/>
      <c r="BF321" s="25"/>
      <c r="BG321" s="25"/>
      <c r="BH321" s="25"/>
      <c r="BI321" s="25"/>
      <c r="BJ321" s="25"/>
      <c r="BK321" s="25"/>
      <c r="BL321" s="25"/>
      <c r="BM321" s="25"/>
      <c r="BN321" s="25"/>
      <c r="BO321" s="25"/>
      <c r="BP321" s="25"/>
      <c r="BQ321" s="25"/>
      <c r="BR321" s="25"/>
      <c r="BS321" s="25"/>
      <c r="BT321" s="25"/>
      <c r="BU321" s="25"/>
      <c r="BV321" s="25"/>
      <c r="BW321" s="25"/>
      <c r="BX321" s="25"/>
      <c r="BY321" s="25"/>
      <c r="BZ321" s="25"/>
      <c r="CA321" s="25"/>
      <c r="CB321" s="25"/>
      <c r="CC321" s="25"/>
      <c r="CD321" s="25"/>
      <c r="CE321" s="25"/>
      <c r="CF321" s="25"/>
      <c r="CG321" s="25"/>
      <c r="CH321" s="25"/>
      <c r="CI321" s="25"/>
      <c r="CJ321" s="25"/>
      <c r="CK321" s="25"/>
      <c r="CL321" s="25"/>
      <c r="CM321" s="25"/>
      <c r="CN321" s="25"/>
      <c r="CO321" s="25"/>
      <c r="CP321" s="25"/>
      <c r="CQ321" s="25"/>
      <c r="CR321" s="25"/>
      <c r="CS321" s="25"/>
    </row>
    <row r="322" spans="2:97">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c r="AV322" s="25"/>
      <c r="AW322" s="25"/>
      <c r="AX322" s="25"/>
      <c r="AY322" s="25"/>
      <c r="AZ322" s="25"/>
      <c r="BA322" s="25"/>
      <c r="BB322" s="25"/>
      <c r="BC322" s="25"/>
      <c r="BD322" s="25"/>
      <c r="BE322" s="25"/>
      <c r="BF322" s="25"/>
      <c r="BG322" s="25"/>
      <c r="BH322" s="25"/>
      <c r="BI322" s="25"/>
      <c r="BJ322" s="25"/>
      <c r="BK322" s="25"/>
      <c r="BL322" s="25"/>
      <c r="BM322" s="25"/>
      <c r="BN322" s="25"/>
      <c r="BO322" s="25"/>
      <c r="BP322" s="25"/>
      <c r="BQ322" s="25"/>
      <c r="BR322" s="25"/>
      <c r="BS322" s="25"/>
      <c r="BT322" s="25"/>
      <c r="BU322" s="25"/>
      <c r="BV322" s="25"/>
      <c r="BW322" s="25"/>
      <c r="BX322" s="25"/>
      <c r="BY322" s="25"/>
      <c r="BZ322" s="25"/>
      <c r="CA322" s="25"/>
      <c r="CB322" s="25"/>
      <c r="CC322" s="25"/>
      <c r="CD322" s="25"/>
      <c r="CE322" s="25"/>
      <c r="CF322" s="25"/>
      <c r="CG322" s="25"/>
      <c r="CH322" s="25"/>
      <c r="CI322" s="25"/>
      <c r="CJ322" s="25"/>
      <c r="CK322" s="25"/>
      <c r="CL322" s="25"/>
      <c r="CM322" s="25"/>
      <c r="CN322" s="25"/>
      <c r="CO322" s="25"/>
      <c r="CP322" s="25"/>
      <c r="CQ322" s="25"/>
      <c r="CR322" s="25"/>
      <c r="CS322" s="25"/>
    </row>
    <row r="323" spans="2:97">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c r="AV323" s="25"/>
      <c r="AW323" s="25"/>
      <c r="AX323" s="25"/>
      <c r="AY323" s="25"/>
      <c r="AZ323" s="25"/>
      <c r="BA323" s="25"/>
      <c r="BB323" s="25"/>
      <c r="BC323" s="25"/>
      <c r="BD323" s="25"/>
      <c r="BE323" s="25"/>
      <c r="BF323" s="25"/>
      <c r="BG323" s="25"/>
      <c r="BH323" s="25"/>
      <c r="BI323" s="25"/>
      <c r="BJ323" s="25"/>
      <c r="BK323" s="25"/>
      <c r="BL323" s="25"/>
      <c r="BM323" s="25"/>
      <c r="BN323" s="25"/>
      <c r="BO323" s="25"/>
      <c r="BP323" s="25"/>
      <c r="BQ323" s="25"/>
      <c r="BR323" s="25"/>
      <c r="BS323" s="25"/>
      <c r="BT323" s="25"/>
      <c r="BU323" s="25"/>
      <c r="BV323" s="25"/>
      <c r="BW323" s="25"/>
      <c r="BX323" s="25"/>
      <c r="BY323" s="25"/>
      <c r="BZ323" s="25"/>
      <c r="CA323" s="25"/>
      <c r="CB323" s="25"/>
      <c r="CC323" s="25"/>
      <c r="CD323" s="25"/>
      <c r="CE323" s="25"/>
      <c r="CF323" s="25"/>
      <c r="CG323" s="25"/>
      <c r="CH323" s="25"/>
      <c r="CI323" s="25"/>
      <c r="CJ323" s="25"/>
      <c r="CK323" s="25"/>
      <c r="CL323" s="25"/>
      <c r="CM323" s="25"/>
      <c r="CN323" s="25"/>
      <c r="CO323" s="25"/>
      <c r="CP323" s="25"/>
      <c r="CQ323" s="25"/>
      <c r="CR323" s="25"/>
      <c r="CS323" s="25"/>
    </row>
    <row r="324" spans="2:97">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c r="AV324" s="25"/>
      <c r="AW324" s="25"/>
      <c r="AX324" s="25"/>
      <c r="AY324" s="25"/>
      <c r="AZ324" s="25"/>
      <c r="BA324" s="25"/>
      <c r="BB324" s="25"/>
      <c r="BC324" s="25"/>
      <c r="BD324" s="25"/>
      <c r="BE324" s="25"/>
      <c r="BF324" s="25"/>
      <c r="BG324" s="25"/>
      <c r="BH324" s="25"/>
      <c r="BI324" s="25"/>
      <c r="BJ324" s="25"/>
      <c r="BK324" s="25"/>
      <c r="BL324" s="25"/>
      <c r="BM324" s="25"/>
      <c r="BN324" s="25"/>
      <c r="BO324" s="25"/>
      <c r="BP324" s="25"/>
      <c r="BQ324" s="25"/>
      <c r="BR324" s="25"/>
      <c r="BS324" s="25"/>
      <c r="BT324" s="25"/>
      <c r="BU324" s="25"/>
      <c r="BV324" s="25"/>
      <c r="BW324" s="25"/>
      <c r="BX324" s="25"/>
      <c r="BY324" s="25"/>
      <c r="BZ324" s="25"/>
      <c r="CA324" s="25"/>
      <c r="CB324" s="25"/>
      <c r="CC324" s="25"/>
      <c r="CD324" s="25"/>
      <c r="CE324" s="25"/>
      <c r="CF324" s="25"/>
      <c r="CG324" s="25"/>
      <c r="CH324" s="25"/>
      <c r="CI324" s="25"/>
      <c r="CJ324" s="25"/>
      <c r="CK324" s="25"/>
      <c r="CL324" s="25"/>
      <c r="CM324" s="25"/>
      <c r="CN324" s="25"/>
      <c r="CO324" s="25"/>
      <c r="CP324" s="25"/>
      <c r="CQ324" s="25"/>
      <c r="CR324" s="25"/>
      <c r="CS324" s="25"/>
    </row>
    <row r="325" spans="2:97">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c r="AV325" s="25"/>
      <c r="AW325" s="25"/>
      <c r="AX325" s="25"/>
      <c r="AY325" s="25"/>
      <c r="AZ325" s="25"/>
      <c r="BA325" s="25"/>
      <c r="BB325" s="25"/>
      <c r="BC325" s="25"/>
      <c r="BD325" s="25"/>
      <c r="BE325" s="25"/>
      <c r="BF325" s="25"/>
      <c r="BG325" s="25"/>
      <c r="BH325" s="25"/>
      <c r="BI325" s="25"/>
      <c r="BJ325" s="25"/>
      <c r="BK325" s="25"/>
      <c r="BL325" s="25"/>
      <c r="BM325" s="25"/>
      <c r="BN325" s="25"/>
      <c r="BO325" s="25"/>
      <c r="BP325" s="25"/>
      <c r="BQ325" s="25"/>
      <c r="BR325" s="25"/>
      <c r="BS325" s="25"/>
      <c r="BT325" s="25"/>
      <c r="BU325" s="25"/>
      <c r="BV325" s="25"/>
      <c r="BW325" s="25"/>
      <c r="BX325" s="25"/>
      <c r="BY325" s="25"/>
      <c r="BZ325" s="25"/>
      <c r="CA325" s="25"/>
      <c r="CB325" s="25"/>
      <c r="CC325" s="25"/>
      <c r="CD325" s="25"/>
      <c r="CE325" s="25"/>
      <c r="CF325" s="25"/>
      <c r="CG325" s="25"/>
      <c r="CH325" s="25"/>
      <c r="CI325" s="25"/>
      <c r="CJ325" s="25"/>
      <c r="CK325" s="25"/>
      <c r="CL325" s="25"/>
      <c r="CM325" s="25"/>
      <c r="CN325" s="25"/>
      <c r="CO325" s="25"/>
      <c r="CP325" s="25"/>
      <c r="CQ325" s="25"/>
      <c r="CR325" s="25"/>
      <c r="CS325" s="25"/>
    </row>
    <row r="326" spans="2:97">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c r="AV326" s="25"/>
      <c r="AW326" s="25"/>
      <c r="AX326" s="25"/>
      <c r="AY326" s="25"/>
      <c r="AZ326" s="25"/>
      <c r="BA326" s="25"/>
      <c r="BB326" s="25"/>
      <c r="BC326" s="25"/>
      <c r="BD326" s="25"/>
      <c r="BE326" s="25"/>
      <c r="BF326" s="25"/>
      <c r="BG326" s="25"/>
      <c r="BH326" s="25"/>
      <c r="BI326" s="25"/>
      <c r="BJ326" s="25"/>
      <c r="BK326" s="25"/>
      <c r="BL326" s="25"/>
      <c r="BM326" s="25"/>
      <c r="BN326" s="25"/>
      <c r="BO326" s="25"/>
      <c r="BP326" s="25"/>
      <c r="BQ326" s="25"/>
      <c r="BR326" s="25"/>
      <c r="BS326" s="25"/>
      <c r="BT326" s="25"/>
      <c r="BU326" s="25"/>
      <c r="BV326" s="25"/>
      <c r="BW326" s="25"/>
      <c r="BX326" s="25"/>
      <c r="BY326" s="25"/>
      <c r="BZ326" s="25"/>
      <c r="CA326" s="25"/>
      <c r="CB326" s="25"/>
      <c r="CC326" s="25"/>
      <c r="CD326" s="25"/>
      <c r="CE326" s="25"/>
      <c r="CF326" s="25"/>
      <c r="CG326" s="25"/>
      <c r="CH326" s="25"/>
      <c r="CI326" s="25"/>
      <c r="CJ326" s="25"/>
      <c r="CK326" s="25"/>
      <c r="CL326" s="25"/>
      <c r="CM326" s="25"/>
      <c r="CN326" s="25"/>
      <c r="CO326" s="25"/>
      <c r="CP326" s="25"/>
      <c r="CQ326" s="25"/>
      <c r="CR326" s="25"/>
      <c r="CS326" s="25"/>
    </row>
    <row r="327" spans="2:97">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c r="AV327" s="25"/>
      <c r="AW327" s="25"/>
      <c r="AX327" s="25"/>
      <c r="AY327" s="25"/>
      <c r="AZ327" s="25"/>
      <c r="BA327" s="25"/>
      <c r="BB327" s="25"/>
      <c r="BC327" s="25"/>
      <c r="BD327" s="25"/>
      <c r="BE327" s="25"/>
      <c r="BF327" s="25"/>
      <c r="BG327" s="25"/>
      <c r="BH327" s="25"/>
      <c r="BI327" s="25"/>
      <c r="BJ327" s="25"/>
      <c r="BK327" s="25"/>
      <c r="BL327" s="25"/>
      <c r="BM327" s="25"/>
      <c r="BN327" s="25"/>
      <c r="BO327" s="25"/>
      <c r="BP327" s="25"/>
      <c r="BQ327" s="25"/>
      <c r="BR327" s="25"/>
      <c r="BS327" s="25"/>
      <c r="BT327" s="25"/>
      <c r="BU327" s="25"/>
      <c r="BV327" s="25"/>
      <c r="BW327" s="25"/>
      <c r="BX327" s="25"/>
      <c r="BY327" s="25"/>
      <c r="BZ327" s="25"/>
      <c r="CA327" s="25"/>
      <c r="CB327" s="25"/>
      <c r="CC327" s="25"/>
      <c r="CD327" s="25"/>
      <c r="CE327" s="25"/>
      <c r="CF327" s="25"/>
      <c r="CG327" s="25"/>
      <c r="CH327" s="25"/>
      <c r="CI327" s="25"/>
      <c r="CJ327" s="25"/>
      <c r="CK327" s="25"/>
      <c r="CL327" s="25"/>
      <c r="CM327" s="25"/>
      <c r="CN327" s="25"/>
      <c r="CO327" s="25"/>
      <c r="CP327" s="25"/>
      <c r="CQ327" s="25"/>
      <c r="CR327" s="25"/>
      <c r="CS327" s="25"/>
    </row>
    <row r="328" spans="2:97">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c r="AV328" s="25"/>
      <c r="AW328" s="25"/>
      <c r="AX328" s="25"/>
      <c r="AY328" s="25"/>
      <c r="AZ328" s="25"/>
      <c r="BA328" s="25"/>
      <c r="BB328" s="25"/>
      <c r="BC328" s="25"/>
      <c r="BD328" s="25"/>
      <c r="BE328" s="25"/>
      <c r="BF328" s="25"/>
      <c r="BG328" s="25"/>
      <c r="BH328" s="25"/>
      <c r="BI328" s="25"/>
      <c r="BJ328" s="25"/>
      <c r="BK328" s="25"/>
      <c r="BL328" s="25"/>
      <c r="BM328" s="25"/>
      <c r="BN328" s="25"/>
      <c r="BO328" s="25"/>
      <c r="BP328" s="25"/>
      <c r="BQ328" s="25"/>
      <c r="BR328" s="25"/>
      <c r="BS328" s="25"/>
      <c r="BT328" s="25"/>
      <c r="BU328" s="25"/>
      <c r="BV328" s="25"/>
      <c r="BW328" s="25"/>
      <c r="BX328" s="25"/>
      <c r="BY328" s="25"/>
      <c r="BZ328" s="25"/>
      <c r="CA328" s="25"/>
      <c r="CB328" s="25"/>
      <c r="CC328" s="25"/>
      <c r="CD328" s="25"/>
      <c r="CE328" s="25"/>
      <c r="CF328" s="25"/>
      <c r="CG328" s="25"/>
      <c r="CH328" s="25"/>
      <c r="CI328" s="25"/>
      <c r="CJ328" s="25"/>
      <c r="CK328" s="25"/>
      <c r="CL328" s="25"/>
      <c r="CM328" s="25"/>
      <c r="CN328" s="25"/>
      <c r="CO328" s="25"/>
      <c r="CP328" s="25"/>
      <c r="CQ328" s="25"/>
      <c r="CR328" s="25"/>
      <c r="CS328" s="25"/>
    </row>
    <row r="329" spans="2:97">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c r="AV329" s="25"/>
      <c r="AW329" s="25"/>
      <c r="AX329" s="25"/>
      <c r="AY329" s="25"/>
      <c r="AZ329" s="25"/>
      <c r="BA329" s="25"/>
      <c r="BB329" s="25"/>
      <c r="BC329" s="25"/>
      <c r="BD329" s="25"/>
      <c r="BE329" s="25"/>
      <c r="BF329" s="25"/>
      <c r="BG329" s="25"/>
      <c r="BH329" s="25"/>
      <c r="BI329" s="25"/>
      <c r="BJ329" s="25"/>
      <c r="BK329" s="25"/>
      <c r="BL329" s="25"/>
      <c r="BM329" s="25"/>
      <c r="BN329" s="25"/>
      <c r="BO329" s="25"/>
      <c r="BP329" s="25"/>
      <c r="BQ329" s="25"/>
      <c r="BR329" s="25"/>
      <c r="BS329" s="25"/>
      <c r="BT329" s="25"/>
      <c r="BU329" s="25"/>
      <c r="BV329" s="25"/>
      <c r="BW329" s="25"/>
      <c r="BX329" s="25"/>
      <c r="BY329" s="25"/>
      <c r="BZ329" s="25"/>
      <c r="CA329" s="25"/>
      <c r="CB329" s="25"/>
      <c r="CC329" s="25"/>
      <c r="CD329" s="25"/>
      <c r="CE329" s="25"/>
      <c r="CF329" s="25"/>
      <c r="CG329" s="25"/>
      <c r="CH329" s="25"/>
      <c r="CI329" s="25"/>
      <c r="CJ329" s="25"/>
      <c r="CK329" s="25"/>
      <c r="CL329" s="25"/>
      <c r="CM329" s="25"/>
      <c r="CN329" s="25"/>
      <c r="CO329" s="25"/>
      <c r="CP329" s="25"/>
      <c r="CQ329" s="25"/>
      <c r="CR329" s="25"/>
      <c r="CS329" s="25"/>
    </row>
    <row r="330" spans="2:97">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c r="AV330" s="25"/>
      <c r="AW330" s="25"/>
      <c r="AX330" s="25"/>
      <c r="AY330" s="25"/>
      <c r="AZ330" s="25"/>
      <c r="BA330" s="25"/>
      <c r="BB330" s="25"/>
      <c r="BC330" s="25"/>
      <c r="BD330" s="25"/>
      <c r="BE330" s="25"/>
      <c r="BF330" s="25"/>
      <c r="BG330" s="25"/>
      <c r="BH330" s="25"/>
      <c r="BI330" s="25"/>
      <c r="BJ330" s="25"/>
      <c r="BK330" s="25"/>
      <c r="BL330" s="25"/>
      <c r="BM330" s="25"/>
      <c r="BN330" s="25"/>
      <c r="BO330" s="25"/>
      <c r="BP330" s="25"/>
      <c r="BQ330" s="25"/>
      <c r="BR330" s="25"/>
      <c r="BS330" s="25"/>
      <c r="BT330" s="25"/>
      <c r="BU330" s="25"/>
      <c r="BV330" s="25"/>
      <c r="BW330" s="25"/>
      <c r="BX330" s="25"/>
      <c r="BY330" s="25"/>
      <c r="BZ330" s="25"/>
      <c r="CA330" s="25"/>
      <c r="CB330" s="25"/>
      <c r="CC330" s="25"/>
      <c r="CD330" s="25"/>
      <c r="CE330" s="25"/>
      <c r="CF330" s="25"/>
      <c r="CG330" s="25"/>
      <c r="CH330" s="25"/>
      <c r="CI330" s="25"/>
      <c r="CJ330" s="25"/>
      <c r="CK330" s="25"/>
      <c r="CL330" s="25"/>
      <c r="CM330" s="25"/>
      <c r="CN330" s="25"/>
      <c r="CO330" s="25"/>
      <c r="CP330" s="25"/>
      <c r="CQ330" s="25"/>
      <c r="CR330" s="25"/>
      <c r="CS330" s="25"/>
    </row>
    <row r="331" spans="2:97">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c r="AV331" s="25"/>
      <c r="AW331" s="25"/>
      <c r="AX331" s="25"/>
      <c r="AY331" s="25"/>
      <c r="AZ331" s="25"/>
      <c r="BA331" s="25"/>
      <c r="BB331" s="25"/>
      <c r="BC331" s="25"/>
      <c r="BD331" s="25"/>
      <c r="BE331" s="25"/>
      <c r="BF331" s="25"/>
      <c r="BG331" s="25"/>
      <c r="BH331" s="25"/>
      <c r="BI331" s="25"/>
      <c r="BJ331" s="25"/>
      <c r="BK331" s="25"/>
      <c r="BL331" s="25"/>
      <c r="BM331" s="25"/>
      <c r="BN331" s="25"/>
      <c r="BO331" s="25"/>
      <c r="BP331" s="25"/>
      <c r="BQ331" s="25"/>
      <c r="BR331" s="25"/>
      <c r="BS331" s="25"/>
      <c r="BT331" s="25"/>
      <c r="BU331" s="25"/>
      <c r="BV331" s="25"/>
      <c r="BW331" s="25"/>
      <c r="BX331" s="25"/>
      <c r="BY331" s="25"/>
      <c r="BZ331" s="25"/>
      <c r="CA331" s="25"/>
      <c r="CB331" s="25"/>
      <c r="CC331" s="25"/>
      <c r="CD331" s="25"/>
      <c r="CE331" s="25"/>
      <c r="CF331" s="25"/>
      <c r="CG331" s="25"/>
      <c r="CH331" s="25"/>
      <c r="CI331" s="25"/>
      <c r="CJ331" s="25"/>
      <c r="CK331" s="25"/>
      <c r="CL331" s="25"/>
      <c r="CM331" s="25"/>
      <c r="CN331" s="25"/>
      <c r="CO331" s="25"/>
      <c r="CP331" s="25"/>
      <c r="CQ331" s="25"/>
      <c r="CR331" s="25"/>
      <c r="CS331" s="25"/>
    </row>
    <row r="332" spans="2:97">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c r="AV332" s="25"/>
      <c r="AW332" s="25"/>
      <c r="AX332" s="25"/>
      <c r="AY332" s="25"/>
      <c r="AZ332" s="25"/>
      <c r="BA332" s="25"/>
      <c r="BB332" s="25"/>
      <c r="BC332" s="25"/>
      <c r="BD332" s="25"/>
      <c r="BE332" s="25"/>
      <c r="BF332" s="25"/>
      <c r="BG332" s="25"/>
      <c r="BH332" s="25"/>
      <c r="BI332" s="25"/>
      <c r="BJ332" s="25"/>
      <c r="BK332" s="25"/>
      <c r="BL332" s="25"/>
      <c r="BM332" s="25"/>
      <c r="BN332" s="25"/>
      <c r="BO332" s="25"/>
      <c r="BP332" s="25"/>
      <c r="BQ332" s="25"/>
      <c r="BR332" s="25"/>
      <c r="BS332" s="25"/>
      <c r="BT332" s="25"/>
      <c r="BU332" s="25"/>
      <c r="BV332" s="25"/>
      <c r="BW332" s="25"/>
      <c r="BX332" s="25"/>
      <c r="BY332" s="25"/>
      <c r="BZ332" s="25"/>
      <c r="CA332" s="25"/>
      <c r="CB332" s="25"/>
      <c r="CC332" s="25"/>
      <c r="CD332" s="25"/>
      <c r="CE332" s="25"/>
      <c r="CF332" s="25"/>
      <c r="CG332" s="25"/>
      <c r="CH332" s="25"/>
      <c r="CI332" s="25"/>
      <c r="CJ332" s="25"/>
      <c r="CK332" s="25"/>
      <c r="CL332" s="25"/>
      <c r="CM332" s="25"/>
      <c r="CN332" s="25"/>
      <c r="CO332" s="25"/>
      <c r="CP332" s="25"/>
      <c r="CQ332" s="25"/>
      <c r="CR332" s="25"/>
      <c r="CS332" s="25"/>
    </row>
    <row r="333" spans="2:97">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c r="AV333" s="25"/>
      <c r="AW333" s="25"/>
      <c r="AX333" s="25"/>
      <c r="AY333" s="25"/>
      <c r="AZ333" s="25"/>
      <c r="BA333" s="25"/>
      <c r="BB333" s="25"/>
      <c r="BC333" s="25"/>
      <c r="BD333" s="25"/>
      <c r="BE333" s="25"/>
      <c r="BF333" s="25"/>
      <c r="BG333" s="25"/>
      <c r="BH333" s="25"/>
      <c r="BI333" s="25"/>
      <c r="BJ333" s="25"/>
      <c r="BK333" s="25"/>
      <c r="BL333" s="25"/>
      <c r="BM333" s="25"/>
      <c r="BN333" s="25"/>
      <c r="BO333" s="25"/>
      <c r="BP333" s="25"/>
      <c r="BQ333" s="25"/>
      <c r="BR333" s="25"/>
      <c r="BS333" s="25"/>
      <c r="BT333" s="25"/>
      <c r="BU333" s="25"/>
      <c r="BV333" s="25"/>
      <c r="BW333" s="25"/>
      <c r="BX333" s="25"/>
      <c r="BY333" s="25"/>
      <c r="BZ333" s="25"/>
      <c r="CA333" s="25"/>
      <c r="CB333" s="25"/>
      <c r="CC333" s="25"/>
      <c r="CD333" s="25"/>
      <c r="CE333" s="25"/>
      <c r="CF333" s="25"/>
      <c r="CG333" s="25"/>
      <c r="CH333" s="25"/>
      <c r="CI333" s="25"/>
      <c r="CJ333" s="25"/>
      <c r="CK333" s="25"/>
      <c r="CL333" s="25"/>
      <c r="CM333" s="25"/>
      <c r="CN333" s="25"/>
      <c r="CO333" s="25"/>
      <c r="CP333" s="25"/>
      <c r="CQ333" s="25"/>
      <c r="CR333" s="25"/>
      <c r="CS333" s="25"/>
    </row>
    <row r="334" spans="2:97">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c r="AV334" s="25"/>
      <c r="AW334" s="25"/>
      <c r="AX334" s="25"/>
      <c r="AY334" s="25"/>
      <c r="AZ334" s="25"/>
      <c r="BA334" s="25"/>
      <c r="BB334" s="25"/>
      <c r="BC334" s="25"/>
      <c r="BD334" s="25"/>
      <c r="BE334" s="25"/>
      <c r="BF334" s="25"/>
      <c r="BG334" s="25"/>
      <c r="BH334" s="25"/>
      <c r="BI334" s="25"/>
      <c r="BJ334" s="25"/>
      <c r="BK334" s="25"/>
      <c r="BL334" s="25"/>
      <c r="BM334" s="25"/>
      <c r="BN334" s="25"/>
      <c r="BO334" s="25"/>
      <c r="BP334" s="25"/>
      <c r="BQ334" s="25"/>
      <c r="BR334" s="25"/>
      <c r="BS334" s="25"/>
      <c r="BT334" s="25"/>
      <c r="BU334" s="25"/>
      <c r="BV334" s="25"/>
      <c r="BW334" s="25"/>
      <c r="BX334" s="25"/>
      <c r="BY334" s="25"/>
      <c r="BZ334" s="25"/>
      <c r="CA334" s="25"/>
      <c r="CB334" s="25"/>
      <c r="CC334" s="25"/>
      <c r="CD334" s="25"/>
      <c r="CE334" s="25"/>
      <c r="CF334" s="25"/>
      <c r="CG334" s="25"/>
      <c r="CH334" s="25"/>
      <c r="CI334" s="25"/>
      <c r="CJ334" s="25"/>
      <c r="CK334" s="25"/>
      <c r="CL334" s="25"/>
      <c r="CM334" s="25"/>
      <c r="CN334" s="25"/>
      <c r="CO334" s="25"/>
      <c r="CP334" s="25"/>
      <c r="CQ334" s="25"/>
      <c r="CR334" s="25"/>
      <c r="CS334" s="25"/>
    </row>
    <row r="335" spans="2:97">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c r="AV335" s="25"/>
      <c r="AW335" s="25"/>
      <c r="AX335" s="25"/>
      <c r="AY335" s="25"/>
      <c r="AZ335" s="25"/>
      <c r="BA335" s="25"/>
      <c r="BB335" s="25"/>
      <c r="BC335" s="25"/>
      <c r="BD335" s="25"/>
      <c r="BE335" s="25"/>
      <c r="BF335" s="25"/>
      <c r="BG335" s="25"/>
      <c r="BH335" s="25"/>
      <c r="BI335" s="25"/>
      <c r="BJ335" s="25"/>
      <c r="BK335" s="25"/>
      <c r="BL335" s="25"/>
      <c r="BM335" s="25"/>
      <c r="BN335" s="25"/>
      <c r="BO335" s="25"/>
      <c r="BP335" s="25"/>
      <c r="BQ335" s="25"/>
      <c r="BR335" s="25"/>
      <c r="BS335" s="25"/>
      <c r="BT335" s="25"/>
      <c r="BU335" s="25"/>
      <c r="BV335" s="25"/>
      <c r="BW335" s="25"/>
      <c r="BX335" s="25"/>
      <c r="BY335" s="25"/>
      <c r="BZ335" s="25"/>
      <c r="CA335" s="25"/>
      <c r="CB335" s="25"/>
      <c r="CC335" s="25"/>
      <c r="CD335" s="25"/>
      <c r="CE335" s="25"/>
      <c r="CF335" s="25"/>
      <c r="CG335" s="25"/>
      <c r="CH335" s="25"/>
      <c r="CI335" s="25"/>
      <c r="CJ335" s="25"/>
      <c r="CK335" s="25"/>
      <c r="CL335" s="25"/>
      <c r="CM335" s="25"/>
      <c r="CN335" s="25"/>
      <c r="CO335" s="25"/>
      <c r="CP335" s="25"/>
      <c r="CQ335" s="25"/>
      <c r="CR335" s="25"/>
      <c r="CS335" s="25"/>
    </row>
    <row r="336" spans="2:97">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c r="AV336" s="25"/>
      <c r="AW336" s="25"/>
      <c r="AX336" s="25"/>
      <c r="AY336" s="25"/>
      <c r="AZ336" s="25"/>
      <c r="BA336" s="25"/>
      <c r="BB336" s="25"/>
      <c r="BC336" s="25"/>
      <c r="BD336" s="25"/>
      <c r="BE336" s="25"/>
      <c r="BF336" s="25"/>
      <c r="BG336" s="25"/>
      <c r="BH336" s="25"/>
      <c r="BI336" s="25"/>
      <c r="BJ336" s="25"/>
      <c r="BK336" s="25"/>
      <c r="BL336" s="25"/>
      <c r="BM336" s="25"/>
      <c r="BN336" s="25"/>
      <c r="BO336" s="25"/>
      <c r="BP336" s="25"/>
      <c r="BQ336" s="25"/>
      <c r="BR336" s="25"/>
      <c r="BS336" s="25"/>
      <c r="BT336" s="25"/>
      <c r="BU336" s="25"/>
      <c r="BV336" s="25"/>
      <c r="BW336" s="25"/>
      <c r="BX336" s="25"/>
      <c r="BY336" s="25"/>
      <c r="BZ336" s="25"/>
      <c r="CA336" s="25"/>
      <c r="CB336" s="25"/>
      <c r="CC336" s="25"/>
      <c r="CD336" s="25"/>
      <c r="CE336" s="25"/>
      <c r="CF336" s="25"/>
      <c r="CG336" s="25"/>
      <c r="CH336" s="25"/>
      <c r="CI336" s="25"/>
      <c r="CJ336" s="25"/>
      <c r="CK336" s="25"/>
      <c r="CL336" s="25"/>
      <c r="CM336" s="25"/>
      <c r="CN336" s="25"/>
      <c r="CO336" s="25"/>
      <c r="CP336" s="25"/>
      <c r="CQ336" s="25"/>
      <c r="CR336" s="25"/>
      <c r="CS336" s="25"/>
    </row>
    <row r="337" spans="2:97">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c r="AV337" s="25"/>
      <c r="AW337" s="25"/>
      <c r="AX337" s="25"/>
      <c r="AY337" s="25"/>
      <c r="AZ337" s="25"/>
      <c r="BA337" s="25"/>
      <c r="BB337" s="25"/>
      <c r="BC337" s="25"/>
      <c r="BD337" s="25"/>
      <c r="BE337" s="25"/>
      <c r="BF337" s="25"/>
      <c r="BG337" s="25"/>
      <c r="BH337" s="25"/>
      <c r="BI337" s="25"/>
      <c r="BJ337" s="25"/>
      <c r="BK337" s="25"/>
      <c r="BL337" s="25"/>
      <c r="BM337" s="25"/>
      <c r="BN337" s="25"/>
      <c r="BO337" s="25"/>
      <c r="BP337" s="25"/>
      <c r="BQ337" s="25"/>
      <c r="BR337" s="25"/>
      <c r="BS337" s="25"/>
      <c r="BT337" s="25"/>
      <c r="BU337" s="25"/>
      <c r="BV337" s="25"/>
      <c r="BW337" s="25"/>
      <c r="BX337" s="25"/>
      <c r="BY337" s="25"/>
      <c r="BZ337" s="25"/>
      <c r="CA337" s="25"/>
      <c r="CB337" s="25"/>
      <c r="CC337" s="25"/>
      <c r="CD337" s="25"/>
      <c r="CE337" s="25"/>
      <c r="CF337" s="25"/>
      <c r="CG337" s="25"/>
      <c r="CH337" s="25"/>
      <c r="CI337" s="25"/>
      <c r="CJ337" s="25"/>
      <c r="CK337" s="25"/>
      <c r="CL337" s="25"/>
      <c r="CM337" s="25"/>
      <c r="CN337" s="25"/>
      <c r="CO337" s="25"/>
      <c r="CP337" s="25"/>
      <c r="CQ337" s="25"/>
      <c r="CR337" s="25"/>
      <c r="CS337" s="25"/>
    </row>
    <row r="338" spans="2:97">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c r="AV338" s="25"/>
      <c r="AW338" s="25"/>
      <c r="AX338" s="25"/>
      <c r="AY338" s="25"/>
      <c r="AZ338" s="25"/>
      <c r="BA338" s="25"/>
      <c r="BB338" s="25"/>
      <c r="BC338" s="25"/>
      <c r="BD338" s="25"/>
      <c r="BE338" s="25"/>
      <c r="BF338" s="25"/>
      <c r="BG338" s="25"/>
      <c r="BH338" s="25"/>
      <c r="BI338" s="25"/>
      <c r="BJ338" s="25"/>
      <c r="BK338" s="25"/>
      <c r="BL338" s="25"/>
      <c r="BM338" s="25"/>
      <c r="BN338" s="25"/>
      <c r="BO338" s="25"/>
      <c r="BP338" s="25"/>
      <c r="BQ338" s="25"/>
      <c r="BR338" s="25"/>
      <c r="BS338" s="25"/>
      <c r="BT338" s="25"/>
      <c r="BU338" s="25"/>
      <c r="BV338" s="25"/>
      <c r="BW338" s="25"/>
      <c r="BX338" s="25"/>
      <c r="BY338" s="25"/>
      <c r="BZ338" s="25"/>
      <c r="CA338" s="25"/>
      <c r="CB338" s="25"/>
      <c r="CC338" s="25"/>
      <c r="CD338" s="25"/>
      <c r="CE338" s="25"/>
      <c r="CF338" s="25"/>
      <c r="CG338" s="25"/>
      <c r="CH338" s="25"/>
      <c r="CI338" s="25"/>
      <c r="CJ338" s="25"/>
      <c r="CK338" s="25"/>
      <c r="CL338" s="25"/>
      <c r="CM338" s="25"/>
      <c r="CN338" s="25"/>
      <c r="CO338" s="25"/>
      <c r="CP338" s="25"/>
      <c r="CQ338" s="25"/>
      <c r="CR338" s="25"/>
      <c r="CS338" s="25"/>
    </row>
    <row r="339" spans="2:97">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c r="AV339" s="25"/>
      <c r="AW339" s="25"/>
      <c r="AX339" s="25"/>
      <c r="AY339" s="25"/>
      <c r="AZ339" s="25"/>
      <c r="BA339" s="25"/>
      <c r="BB339" s="25"/>
      <c r="BC339" s="25"/>
      <c r="BD339" s="25"/>
      <c r="BE339" s="25"/>
      <c r="BF339" s="25"/>
      <c r="BG339" s="25"/>
      <c r="BH339" s="25"/>
      <c r="BI339" s="25"/>
      <c r="BJ339" s="25"/>
      <c r="BK339" s="25"/>
      <c r="BL339" s="25"/>
      <c r="BM339" s="25"/>
      <c r="BN339" s="25"/>
      <c r="BO339" s="25"/>
      <c r="BP339" s="25"/>
      <c r="BQ339" s="25"/>
      <c r="BR339" s="25"/>
      <c r="BS339" s="25"/>
      <c r="BT339" s="25"/>
      <c r="BU339" s="25"/>
      <c r="BV339" s="25"/>
      <c r="BW339" s="25"/>
      <c r="BX339" s="25"/>
      <c r="BY339" s="25"/>
      <c r="BZ339" s="25"/>
      <c r="CA339" s="25"/>
      <c r="CB339" s="25"/>
      <c r="CC339" s="25"/>
      <c r="CD339" s="25"/>
      <c r="CE339" s="25"/>
      <c r="CF339" s="25"/>
      <c r="CG339" s="25"/>
      <c r="CH339" s="25"/>
      <c r="CI339" s="25"/>
      <c r="CJ339" s="25"/>
      <c r="CK339" s="25"/>
      <c r="CL339" s="25"/>
      <c r="CM339" s="25"/>
      <c r="CN339" s="25"/>
      <c r="CO339" s="25"/>
      <c r="CP339" s="25"/>
      <c r="CQ339" s="25"/>
      <c r="CR339" s="25"/>
      <c r="CS339" s="25"/>
    </row>
    <row r="340" spans="2:97">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c r="AV340" s="25"/>
      <c r="AW340" s="25"/>
      <c r="AX340" s="25"/>
      <c r="AY340" s="25"/>
      <c r="AZ340" s="25"/>
      <c r="BA340" s="25"/>
      <c r="BB340" s="25"/>
      <c r="BC340" s="25"/>
      <c r="BD340" s="25"/>
      <c r="BE340" s="25"/>
      <c r="BF340" s="25"/>
      <c r="BG340" s="25"/>
      <c r="BH340" s="25"/>
      <c r="BI340" s="25"/>
      <c r="BJ340" s="25"/>
      <c r="BK340" s="25"/>
      <c r="BL340" s="25"/>
      <c r="BM340" s="25"/>
      <c r="BN340" s="25"/>
      <c r="BO340" s="25"/>
      <c r="BP340" s="25"/>
      <c r="BQ340" s="25"/>
      <c r="BR340" s="25"/>
      <c r="BS340" s="25"/>
      <c r="BT340" s="25"/>
      <c r="BU340" s="25"/>
      <c r="BV340" s="25"/>
      <c r="BW340" s="25"/>
      <c r="BX340" s="25"/>
      <c r="BY340" s="25"/>
      <c r="BZ340" s="25"/>
      <c r="CA340" s="25"/>
      <c r="CB340" s="25"/>
      <c r="CC340" s="25"/>
      <c r="CD340" s="25"/>
      <c r="CE340" s="25"/>
      <c r="CF340" s="25"/>
      <c r="CG340" s="25"/>
      <c r="CH340" s="25"/>
      <c r="CI340" s="25"/>
      <c r="CJ340" s="25"/>
      <c r="CK340" s="25"/>
      <c r="CL340" s="25"/>
      <c r="CM340" s="25"/>
      <c r="CN340" s="25"/>
      <c r="CO340" s="25"/>
      <c r="CP340" s="25"/>
      <c r="CQ340" s="25"/>
      <c r="CR340" s="25"/>
      <c r="CS340" s="25"/>
    </row>
    <row r="341" spans="2:97">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c r="AV341" s="25"/>
      <c r="AW341" s="25"/>
      <c r="AX341" s="25"/>
      <c r="AY341" s="25"/>
      <c r="AZ341" s="25"/>
      <c r="BA341" s="25"/>
      <c r="BB341" s="25"/>
      <c r="BC341" s="25"/>
      <c r="BD341" s="25"/>
      <c r="BE341" s="25"/>
      <c r="BF341" s="25"/>
      <c r="BG341" s="25"/>
      <c r="BH341" s="25"/>
      <c r="BI341" s="25"/>
      <c r="BJ341" s="25"/>
      <c r="BK341" s="25"/>
      <c r="BL341" s="25"/>
      <c r="BM341" s="25"/>
      <c r="BN341" s="25"/>
      <c r="BO341" s="25"/>
      <c r="BP341" s="25"/>
      <c r="BQ341" s="25"/>
      <c r="BR341" s="25"/>
      <c r="BS341" s="25"/>
      <c r="BT341" s="25"/>
      <c r="BU341" s="25"/>
      <c r="BV341" s="25"/>
      <c r="BW341" s="25"/>
      <c r="BX341" s="25"/>
      <c r="BY341" s="25"/>
      <c r="BZ341" s="25"/>
      <c r="CA341" s="25"/>
      <c r="CB341" s="25"/>
      <c r="CC341" s="25"/>
      <c r="CD341" s="25"/>
      <c r="CE341" s="25"/>
      <c r="CF341" s="25"/>
      <c r="CG341" s="25"/>
      <c r="CH341" s="25"/>
      <c r="CI341" s="25"/>
      <c r="CJ341" s="25"/>
      <c r="CK341" s="25"/>
      <c r="CL341" s="25"/>
      <c r="CM341" s="25"/>
      <c r="CN341" s="25"/>
      <c r="CO341" s="25"/>
      <c r="CP341" s="25"/>
      <c r="CQ341" s="25"/>
      <c r="CR341" s="25"/>
      <c r="CS341" s="25"/>
    </row>
    <row r="342" spans="2:97">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c r="AV342" s="25"/>
      <c r="AW342" s="25"/>
      <c r="AX342" s="25"/>
      <c r="AY342" s="25"/>
      <c r="AZ342" s="25"/>
      <c r="BA342" s="25"/>
      <c r="BB342" s="25"/>
      <c r="BC342" s="25"/>
      <c r="BD342" s="25"/>
      <c r="BE342" s="25"/>
      <c r="BF342" s="25"/>
      <c r="BG342" s="25"/>
      <c r="BH342" s="25"/>
      <c r="BI342" s="25"/>
      <c r="BJ342" s="25"/>
      <c r="BK342" s="25"/>
      <c r="BL342" s="25"/>
      <c r="BM342" s="25"/>
      <c r="BN342" s="25"/>
      <c r="BO342" s="25"/>
      <c r="BP342" s="25"/>
      <c r="BQ342" s="25"/>
      <c r="BR342" s="25"/>
      <c r="BS342" s="25"/>
      <c r="BT342" s="25"/>
      <c r="BU342" s="25"/>
      <c r="BV342" s="25"/>
      <c r="BW342" s="25"/>
      <c r="BX342" s="25"/>
      <c r="BY342" s="25"/>
      <c r="BZ342" s="25"/>
      <c r="CA342" s="25"/>
      <c r="CB342" s="25"/>
      <c r="CC342" s="25"/>
      <c r="CD342" s="25"/>
      <c r="CE342" s="25"/>
      <c r="CF342" s="25"/>
      <c r="CG342" s="25"/>
      <c r="CH342" s="25"/>
      <c r="CI342" s="25"/>
      <c r="CJ342" s="25"/>
      <c r="CK342" s="25"/>
      <c r="CL342" s="25"/>
      <c r="CM342" s="25"/>
      <c r="CN342" s="25"/>
      <c r="CO342" s="25"/>
      <c r="CP342" s="25"/>
      <c r="CQ342" s="25"/>
      <c r="CR342" s="25"/>
      <c r="CS342" s="25"/>
    </row>
    <row r="343" spans="2:97">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c r="AV343" s="25"/>
      <c r="AW343" s="25"/>
      <c r="AX343" s="25"/>
      <c r="AY343" s="25"/>
      <c r="AZ343" s="25"/>
      <c r="BA343" s="25"/>
      <c r="BB343" s="25"/>
      <c r="BC343" s="25"/>
      <c r="BD343" s="25"/>
      <c r="BE343" s="25"/>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c r="CB343" s="25"/>
      <c r="CC343" s="25"/>
      <c r="CD343" s="25"/>
      <c r="CE343" s="25"/>
      <c r="CF343" s="25"/>
      <c r="CG343" s="25"/>
      <c r="CH343" s="25"/>
      <c r="CI343" s="25"/>
      <c r="CJ343" s="25"/>
      <c r="CK343" s="25"/>
      <c r="CL343" s="25"/>
      <c r="CM343" s="25"/>
      <c r="CN343" s="25"/>
      <c r="CO343" s="25"/>
      <c r="CP343" s="25"/>
      <c r="CQ343" s="25"/>
      <c r="CR343" s="25"/>
      <c r="CS343" s="25"/>
    </row>
    <row r="344" spans="2:97">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c r="AV344" s="25"/>
      <c r="AW344" s="25"/>
      <c r="AX344" s="25"/>
      <c r="AY344" s="25"/>
      <c r="AZ344" s="25"/>
      <c r="BA344" s="25"/>
      <c r="BB344" s="25"/>
      <c r="BC344" s="25"/>
      <c r="BD344" s="25"/>
      <c r="BE344" s="25"/>
      <c r="BF344" s="25"/>
      <c r="BG344" s="25"/>
      <c r="BH344" s="25"/>
      <c r="BI344" s="25"/>
      <c r="BJ344" s="25"/>
      <c r="BK344" s="25"/>
      <c r="BL344" s="25"/>
      <c r="BM344" s="25"/>
      <c r="BN344" s="25"/>
      <c r="BO344" s="25"/>
      <c r="BP344" s="25"/>
      <c r="BQ344" s="25"/>
      <c r="BR344" s="25"/>
      <c r="BS344" s="25"/>
      <c r="BT344" s="25"/>
      <c r="BU344" s="25"/>
      <c r="BV344" s="25"/>
      <c r="BW344" s="25"/>
      <c r="BX344" s="25"/>
      <c r="BY344" s="25"/>
      <c r="BZ344" s="25"/>
      <c r="CA344" s="25"/>
      <c r="CB344" s="25"/>
      <c r="CC344" s="25"/>
      <c r="CD344" s="25"/>
      <c r="CE344" s="25"/>
      <c r="CF344" s="25"/>
      <c r="CG344" s="25"/>
      <c r="CH344" s="25"/>
      <c r="CI344" s="25"/>
      <c r="CJ344" s="25"/>
      <c r="CK344" s="25"/>
      <c r="CL344" s="25"/>
      <c r="CM344" s="25"/>
      <c r="CN344" s="25"/>
      <c r="CO344" s="25"/>
      <c r="CP344" s="25"/>
      <c r="CQ344" s="25"/>
      <c r="CR344" s="25"/>
      <c r="CS344" s="25"/>
    </row>
    <row r="345" spans="2:97">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c r="AV345" s="25"/>
      <c r="AW345" s="25"/>
      <c r="AX345" s="25"/>
      <c r="AY345" s="25"/>
      <c r="AZ345" s="25"/>
      <c r="BA345" s="25"/>
      <c r="BB345" s="25"/>
      <c r="BC345" s="25"/>
      <c r="BD345" s="25"/>
      <c r="BE345" s="25"/>
      <c r="BF345" s="25"/>
      <c r="BG345" s="25"/>
      <c r="BH345" s="25"/>
      <c r="BI345" s="25"/>
      <c r="BJ345" s="25"/>
      <c r="BK345" s="25"/>
      <c r="BL345" s="25"/>
      <c r="BM345" s="25"/>
      <c r="BN345" s="25"/>
      <c r="BO345" s="25"/>
      <c r="BP345" s="25"/>
      <c r="BQ345" s="25"/>
      <c r="BR345" s="25"/>
      <c r="BS345" s="25"/>
      <c r="BT345" s="25"/>
      <c r="BU345" s="25"/>
      <c r="BV345" s="25"/>
      <c r="BW345" s="25"/>
      <c r="BX345" s="25"/>
      <c r="BY345" s="25"/>
      <c r="BZ345" s="25"/>
      <c r="CA345" s="25"/>
      <c r="CB345" s="25"/>
      <c r="CC345" s="25"/>
      <c r="CD345" s="25"/>
      <c r="CE345" s="25"/>
      <c r="CF345" s="25"/>
      <c r="CG345" s="25"/>
      <c r="CH345" s="25"/>
      <c r="CI345" s="25"/>
      <c r="CJ345" s="25"/>
      <c r="CK345" s="25"/>
      <c r="CL345" s="25"/>
      <c r="CM345" s="25"/>
      <c r="CN345" s="25"/>
      <c r="CO345" s="25"/>
      <c r="CP345" s="25"/>
      <c r="CQ345" s="25"/>
      <c r="CR345" s="25"/>
      <c r="CS345" s="25"/>
    </row>
    <row r="346" spans="2:97">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c r="AV346" s="25"/>
      <c r="AW346" s="25"/>
      <c r="AX346" s="25"/>
      <c r="AY346" s="25"/>
      <c r="AZ346" s="25"/>
      <c r="BA346" s="25"/>
      <c r="BB346" s="25"/>
      <c r="BC346" s="25"/>
      <c r="BD346" s="25"/>
      <c r="BE346" s="25"/>
      <c r="BF346" s="25"/>
      <c r="BG346" s="25"/>
      <c r="BH346" s="25"/>
      <c r="BI346" s="25"/>
      <c r="BJ346" s="25"/>
      <c r="BK346" s="25"/>
      <c r="BL346" s="25"/>
      <c r="BM346" s="25"/>
      <c r="BN346" s="25"/>
      <c r="BO346" s="25"/>
      <c r="BP346" s="25"/>
      <c r="BQ346" s="25"/>
      <c r="BR346" s="25"/>
      <c r="BS346" s="25"/>
      <c r="BT346" s="25"/>
      <c r="BU346" s="25"/>
      <c r="BV346" s="25"/>
      <c r="BW346" s="25"/>
      <c r="BX346" s="25"/>
      <c r="BY346" s="25"/>
      <c r="BZ346" s="25"/>
      <c r="CA346" s="25"/>
      <c r="CB346" s="25"/>
      <c r="CC346" s="25"/>
      <c r="CD346" s="25"/>
      <c r="CE346" s="25"/>
      <c r="CF346" s="25"/>
      <c r="CG346" s="25"/>
      <c r="CH346" s="25"/>
      <c r="CI346" s="25"/>
      <c r="CJ346" s="25"/>
      <c r="CK346" s="25"/>
      <c r="CL346" s="25"/>
      <c r="CM346" s="25"/>
      <c r="CN346" s="25"/>
      <c r="CO346" s="25"/>
      <c r="CP346" s="25"/>
      <c r="CQ346" s="25"/>
      <c r="CR346" s="25"/>
      <c r="CS346" s="25"/>
    </row>
    <row r="347" spans="2:97">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c r="AV347" s="25"/>
      <c r="AW347" s="25"/>
      <c r="AX347" s="25"/>
      <c r="AY347" s="25"/>
      <c r="AZ347" s="25"/>
      <c r="BA347" s="25"/>
      <c r="BB347" s="25"/>
      <c r="BC347" s="25"/>
      <c r="BD347" s="25"/>
      <c r="BE347" s="25"/>
      <c r="BF347" s="25"/>
      <c r="BG347" s="25"/>
      <c r="BH347" s="25"/>
      <c r="BI347" s="25"/>
      <c r="BJ347" s="25"/>
      <c r="BK347" s="25"/>
      <c r="BL347" s="25"/>
      <c r="BM347" s="25"/>
      <c r="BN347" s="25"/>
      <c r="BO347" s="25"/>
      <c r="BP347" s="25"/>
      <c r="BQ347" s="25"/>
      <c r="BR347" s="25"/>
      <c r="BS347" s="25"/>
      <c r="BT347" s="25"/>
      <c r="BU347" s="25"/>
      <c r="BV347" s="25"/>
      <c r="BW347" s="25"/>
      <c r="BX347" s="25"/>
      <c r="BY347" s="25"/>
      <c r="BZ347" s="25"/>
      <c r="CA347" s="25"/>
      <c r="CB347" s="25"/>
      <c r="CC347" s="25"/>
      <c r="CD347" s="25"/>
      <c r="CE347" s="25"/>
      <c r="CF347" s="25"/>
      <c r="CG347" s="25"/>
      <c r="CH347" s="25"/>
      <c r="CI347" s="25"/>
      <c r="CJ347" s="25"/>
      <c r="CK347" s="25"/>
      <c r="CL347" s="25"/>
      <c r="CM347" s="25"/>
      <c r="CN347" s="25"/>
      <c r="CO347" s="25"/>
      <c r="CP347" s="25"/>
      <c r="CQ347" s="25"/>
      <c r="CR347" s="25"/>
      <c r="CS347" s="25"/>
    </row>
    <row r="348" spans="2:97">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c r="AV348" s="25"/>
      <c r="AW348" s="25"/>
      <c r="AX348" s="25"/>
      <c r="AY348" s="25"/>
      <c r="AZ348" s="25"/>
      <c r="BA348" s="25"/>
      <c r="BB348" s="25"/>
      <c r="BC348" s="25"/>
      <c r="BD348" s="25"/>
      <c r="BE348" s="25"/>
      <c r="BF348" s="25"/>
      <c r="BG348" s="25"/>
      <c r="BH348" s="25"/>
      <c r="BI348" s="25"/>
      <c r="BJ348" s="25"/>
      <c r="BK348" s="25"/>
      <c r="BL348" s="25"/>
      <c r="BM348" s="25"/>
      <c r="BN348" s="25"/>
      <c r="BO348" s="25"/>
      <c r="BP348" s="25"/>
      <c r="BQ348" s="25"/>
      <c r="BR348" s="25"/>
      <c r="BS348" s="25"/>
      <c r="BT348" s="25"/>
      <c r="BU348" s="25"/>
      <c r="BV348" s="25"/>
      <c r="BW348" s="25"/>
      <c r="BX348" s="25"/>
      <c r="BY348" s="25"/>
      <c r="BZ348" s="25"/>
      <c r="CA348" s="25"/>
      <c r="CB348" s="25"/>
      <c r="CC348" s="25"/>
      <c r="CD348" s="25"/>
      <c r="CE348" s="25"/>
      <c r="CF348" s="25"/>
      <c r="CG348" s="25"/>
      <c r="CH348" s="25"/>
      <c r="CI348" s="25"/>
      <c r="CJ348" s="25"/>
      <c r="CK348" s="25"/>
      <c r="CL348" s="25"/>
      <c r="CM348" s="25"/>
      <c r="CN348" s="25"/>
      <c r="CO348" s="25"/>
      <c r="CP348" s="25"/>
      <c r="CQ348" s="25"/>
      <c r="CR348" s="25"/>
      <c r="CS348" s="25"/>
    </row>
    <row r="349" spans="2:97">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c r="AV349" s="25"/>
      <c r="AW349" s="25"/>
      <c r="AX349" s="25"/>
      <c r="AY349" s="25"/>
      <c r="AZ349" s="25"/>
      <c r="BA349" s="25"/>
      <c r="BB349" s="25"/>
      <c r="BC349" s="25"/>
      <c r="BD349" s="25"/>
      <c r="BE349" s="25"/>
      <c r="BF349" s="25"/>
      <c r="BG349" s="25"/>
      <c r="BH349" s="25"/>
      <c r="BI349" s="25"/>
      <c r="BJ349" s="25"/>
      <c r="BK349" s="25"/>
      <c r="BL349" s="25"/>
      <c r="BM349" s="25"/>
      <c r="BN349" s="25"/>
      <c r="BO349" s="25"/>
      <c r="BP349" s="25"/>
      <c r="BQ349" s="25"/>
      <c r="BR349" s="25"/>
      <c r="BS349" s="25"/>
      <c r="BT349" s="25"/>
      <c r="BU349" s="25"/>
      <c r="BV349" s="25"/>
      <c r="BW349" s="25"/>
      <c r="BX349" s="25"/>
      <c r="BY349" s="25"/>
      <c r="BZ349" s="25"/>
      <c r="CA349" s="25"/>
      <c r="CB349" s="25"/>
      <c r="CC349" s="25"/>
      <c r="CD349" s="25"/>
      <c r="CE349" s="25"/>
      <c r="CF349" s="25"/>
      <c r="CG349" s="25"/>
      <c r="CH349" s="25"/>
      <c r="CI349" s="25"/>
      <c r="CJ349" s="25"/>
      <c r="CK349" s="25"/>
      <c r="CL349" s="25"/>
      <c r="CM349" s="25"/>
      <c r="CN349" s="25"/>
      <c r="CO349" s="25"/>
      <c r="CP349" s="25"/>
      <c r="CQ349" s="25"/>
      <c r="CR349" s="25"/>
      <c r="CS349" s="25"/>
    </row>
    <row r="350" spans="2:97">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c r="AV350" s="25"/>
      <c r="AW350" s="25"/>
      <c r="AX350" s="25"/>
      <c r="AY350" s="25"/>
      <c r="AZ350" s="25"/>
      <c r="BA350" s="25"/>
      <c r="BB350" s="25"/>
      <c r="BC350" s="25"/>
      <c r="BD350" s="25"/>
      <c r="BE350" s="25"/>
      <c r="BF350" s="25"/>
      <c r="BG350" s="25"/>
      <c r="BH350" s="25"/>
      <c r="BI350" s="25"/>
      <c r="BJ350" s="25"/>
      <c r="BK350" s="25"/>
      <c r="BL350" s="25"/>
      <c r="BM350" s="25"/>
      <c r="BN350" s="25"/>
      <c r="BO350" s="25"/>
      <c r="BP350" s="25"/>
      <c r="BQ350" s="25"/>
      <c r="BR350" s="25"/>
      <c r="BS350" s="25"/>
      <c r="BT350" s="25"/>
      <c r="BU350" s="25"/>
      <c r="BV350" s="25"/>
      <c r="BW350" s="25"/>
      <c r="BX350" s="25"/>
      <c r="BY350" s="25"/>
      <c r="BZ350" s="25"/>
      <c r="CA350" s="25"/>
      <c r="CB350" s="25"/>
      <c r="CC350" s="25"/>
      <c r="CD350" s="25"/>
      <c r="CE350" s="25"/>
      <c r="CF350" s="25"/>
      <c r="CG350" s="25"/>
      <c r="CH350" s="25"/>
      <c r="CI350" s="25"/>
      <c r="CJ350" s="25"/>
      <c r="CK350" s="25"/>
      <c r="CL350" s="25"/>
      <c r="CM350" s="25"/>
      <c r="CN350" s="25"/>
      <c r="CO350" s="25"/>
      <c r="CP350" s="25"/>
      <c r="CQ350" s="25"/>
      <c r="CR350" s="25"/>
      <c r="CS350" s="25"/>
    </row>
    <row r="351" spans="2:97">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c r="AV351" s="25"/>
      <c r="AW351" s="25"/>
      <c r="AX351" s="25"/>
      <c r="AY351" s="25"/>
      <c r="AZ351" s="25"/>
      <c r="BA351" s="25"/>
      <c r="BB351" s="25"/>
      <c r="BC351" s="25"/>
      <c r="BD351" s="25"/>
      <c r="BE351" s="25"/>
      <c r="BF351" s="25"/>
      <c r="BG351" s="25"/>
      <c r="BH351" s="25"/>
      <c r="BI351" s="25"/>
      <c r="BJ351" s="25"/>
      <c r="BK351" s="25"/>
      <c r="BL351" s="25"/>
      <c r="BM351" s="25"/>
      <c r="BN351" s="25"/>
      <c r="BO351" s="25"/>
      <c r="BP351" s="25"/>
      <c r="BQ351" s="25"/>
      <c r="BR351" s="25"/>
      <c r="BS351" s="25"/>
      <c r="BT351" s="25"/>
      <c r="BU351" s="25"/>
      <c r="BV351" s="25"/>
      <c r="BW351" s="25"/>
      <c r="BX351" s="25"/>
      <c r="BY351" s="25"/>
      <c r="BZ351" s="25"/>
      <c r="CA351" s="25"/>
      <c r="CB351" s="25"/>
      <c r="CC351" s="25"/>
      <c r="CD351" s="25"/>
      <c r="CE351" s="25"/>
      <c r="CF351" s="25"/>
      <c r="CG351" s="25"/>
      <c r="CH351" s="25"/>
      <c r="CI351" s="25"/>
      <c r="CJ351" s="25"/>
      <c r="CK351" s="25"/>
      <c r="CL351" s="25"/>
      <c r="CM351" s="25"/>
      <c r="CN351" s="25"/>
      <c r="CO351" s="25"/>
      <c r="CP351" s="25"/>
      <c r="CQ351" s="25"/>
      <c r="CR351" s="25"/>
      <c r="CS351" s="25"/>
    </row>
    <row r="352" spans="2:97">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c r="AV352" s="25"/>
      <c r="AW352" s="25"/>
      <c r="AX352" s="25"/>
      <c r="AY352" s="25"/>
      <c r="AZ352" s="25"/>
      <c r="BA352" s="25"/>
      <c r="BB352" s="25"/>
      <c r="BC352" s="25"/>
      <c r="BD352" s="25"/>
      <c r="BE352" s="25"/>
      <c r="BF352" s="25"/>
      <c r="BG352" s="25"/>
      <c r="BH352" s="25"/>
      <c r="BI352" s="25"/>
      <c r="BJ352" s="25"/>
      <c r="BK352" s="25"/>
      <c r="BL352" s="25"/>
      <c r="BM352" s="25"/>
      <c r="BN352" s="25"/>
      <c r="BO352" s="25"/>
      <c r="BP352" s="25"/>
      <c r="BQ352" s="25"/>
      <c r="BR352" s="25"/>
      <c r="BS352" s="25"/>
      <c r="BT352" s="25"/>
      <c r="BU352" s="25"/>
      <c r="BV352" s="25"/>
      <c r="BW352" s="25"/>
      <c r="BX352" s="25"/>
      <c r="BY352" s="25"/>
      <c r="BZ352" s="25"/>
      <c r="CA352" s="25"/>
      <c r="CB352" s="25"/>
      <c r="CC352" s="25"/>
      <c r="CD352" s="25"/>
      <c r="CE352" s="25"/>
      <c r="CF352" s="25"/>
      <c r="CG352" s="25"/>
      <c r="CH352" s="25"/>
      <c r="CI352" s="25"/>
      <c r="CJ352" s="25"/>
      <c r="CK352" s="25"/>
      <c r="CL352" s="25"/>
      <c r="CM352" s="25"/>
      <c r="CN352" s="25"/>
      <c r="CO352" s="25"/>
      <c r="CP352" s="25"/>
      <c r="CQ352" s="25"/>
      <c r="CR352" s="25"/>
      <c r="CS352" s="25"/>
    </row>
    <row r="353" spans="2:97">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c r="AV353" s="25"/>
      <c r="AW353" s="25"/>
      <c r="AX353" s="25"/>
      <c r="AY353" s="25"/>
      <c r="AZ353" s="25"/>
      <c r="BA353" s="25"/>
      <c r="BB353" s="25"/>
      <c r="BC353" s="25"/>
      <c r="BD353" s="25"/>
      <c r="BE353" s="25"/>
      <c r="BF353" s="25"/>
      <c r="BG353" s="25"/>
      <c r="BH353" s="25"/>
      <c r="BI353" s="25"/>
      <c r="BJ353" s="25"/>
      <c r="BK353" s="25"/>
      <c r="BL353" s="25"/>
      <c r="BM353" s="25"/>
      <c r="BN353" s="25"/>
      <c r="BO353" s="25"/>
      <c r="BP353" s="25"/>
      <c r="BQ353" s="25"/>
      <c r="BR353" s="25"/>
      <c r="BS353" s="25"/>
      <c r="BT353" s="25"/>
      <c r="BU353" s="25"/>
      <c r="BV353" s="25"/>
      <c r="BW353" s="25"/>
      <c r="BX353" s="25"/>
      <c r="BY353" s="25"/>
      <c r="BZ353" s="25"/>
      <c r="CA353" s="25"/>
      <c r="CB353" s="25"/>
      <c r="CC353" s="25"/>
      <c r="CD353" s="25"/>
      <c r="CE353" s="25"/>
      <c r="CF353" s="25"/>
      <c r="CG353" s="25"/>
      <c r="CH353" s="25"/>
      <c r="CI353" s="25"/>
      <c r="CJ353" s="25"/>
      <c r="CK353" s="25"/>
      <c r="CL353" s="25"/>
      <c r="CM353" s="25"/>
      <c r="CN353" s="25"/>
      <c r="CO353" s="25"/>
      <c r="CP353" s="25"/>
      <c r="CQ353" s="25"/>
      <c r="CR353" s="25"/>
      <c r="CS353" s="25"/>
    </row>
    <row r="354" spans="2:97">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c r="AV354" s="25"/>
      <c r="AW354" s="25"/>
      <c r="AX354" s="25"/>
      <c r="AY354" s="25"/>
      <c r="AZ354" s="25"/>
      <c r="BA354" s="25"/>
      <c r="BB354" s="25"/>
      <c r="BC354" s="25"/>
      <c r="BD354" s="25"/>
      <c r="BE354" s="25"/>
      <c r="BF354" s="25"/>
      <c r="BG354" s="25"/>
      <c r="BH354" s="25"/>
      <c r="BI354" s="25"/>
      <c r="BJ354" s="25"/>
      <c r="BK354" s="25"/>
      <c r="BL354" s="25"/>
      <c r="BM354" s="25"/>
      <c r="BN354" s="25"/>
      <c r="BO354" s="25"/>
      <c r="BP354" s="25"/>
      <c r="BQ354" s="25"/>
      <c r="BR354" s="25"/>
      <c r="BS354" s="25"/>
      <c r="BT354" s="25"/>
      <c r="BU354" s="25"/>
      <c r="BV354" s="25"/>
      <c r="BW354" s="25"/>
      <c r="BX354" s="25"/>
      <c r="BY354" s="25"/>
      <c r="BZ354" s="25"/>
      <c r="CA354" s="25"/>
      <c r="CB354" s="25"/>
      <c r="CC354" s="25"/>
      <c r="CD354" s="25"/>
      <c r="CE354" s="25"/>
      <c r="CF354" s="25"/>
      <c r="CG354" s="25"/>
      <c r="CH354" s="25"/>
      <c r="CI354" s="25"/>
      <c r="CJ354" s="25"/>
      <c r="CK354" s="25"/>
      <c r="CL354" s="25"/>
      <c r="CM354" s="25"/>
      <c r="CN354" s="25"/>
      <c r="CO354" s="25"/>
      <c r="CP354" s="25"/>
      <c r="CQ354" s="25"/>
      <c r="CR354" s="25"/>
      <c r="CS354" s="25"/>
    </row>
    <row r="355" spans="2:97">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c r="AV355" s="25"/>
      <c r="AW355" s="25"/>
      <c r="AX355" s="25"/>
      <c r="AY355" s="25"/>
      <c r="AZ355" s="25"/>
      <c r="BA355" s="25"/>
      <c r="BB355" s="25"/>
      <c r="BC355" s="25"/>
      <c r="BD355" s="25"/>
      <c r="BE355" s="25"/>
      <c r="BF355" s="25"/>
      <c r="BG355" s="25"/>
      <c r="BH355" s="25"/>
      <c r="BI355" s="25"/>
      <c r="BJ355" s="25"/>
      <c r="BK355" s="25"/>
      <c r="BL355" s="25"/>
      <c r="BM355" s="25"/>
      <c r="BN355" s="25"/>
      <c r="BO355" s="25"/>
      <c r="BP355" s="25"/>
      <c r="BQ355" s="25"/>
      <c r="BR355" s="25"/>
      <c r="BS355" s="25"/>
      <c r="BT355" s="25"/>
      <c r="BU355" s="25"/>
      <c r="BV355" s="25"/>
      <c r="BW355" s="25"/>
      <c r="BX355" s="25"/>
      <c r="BY355" s="25"/>
      <c r="BZ355" s="25"/>
      <c r="CA355" s="25"/>
      <c r="CB355" s="25"/>
      <c r="CC355" s="25"/>
      <c r="CD355" s="25"/>
      <c r="CE355" s="25"/>
      <c r="CF355" s="25"/>
      <c r="CG355" s="25"/>
      <c r="CH355" s="25"/>
      <c r="CI355" s="25"/>
      <c r="CJ355" s="25"/>
      <c r="CK355" s="25"/>
      <c r="CL355" s="25"/>
      <c r="CM355" s="25"/>
      <c r="CN355" s="25"/>
      <c r="CO355" s="25"/>
      <c r="CP355" s="25"/>
      <c r="CQ355" s="25"/>
      <c r="CR355" s="25"/>
      <c r="CS355" s="25"/>
    </row>
    <row r="356" spans="2:97">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c r="AV356" s="25"/>
      <c r="AW356" s="25"/>
      <c r="AX356" s="25"/>
      <c r="AY356" s="25"/>
      <c r="AZ356" s="25"/>
      <c r="BA356" s="25"/>
      <c r="BB356" s="25"/>
      <c r="BC356" s="25"/>
      <c r="BD356" s="25"/>
      <c r="BE356" s="25"/>
      <c r="BF356" s="25"/>
      <c r="BG356" s="25"/>
      <c r="BH356" s="25"/>
      <c r="BI356" s="25"/>
      <c r="BJ356" s="25"/>
      <c r="BK356" s="25"/>
      <c r="BL356" s="25"/>
      <c r="BM356" s="25"/>
      <c r="BN356" s="25"/>
      <c r="BO356" s="25"/>
      <c r="BP356" s="25"/>
      <c r="BQ356" s="25"/>
      <c r="BR356" s="25"/>
      <c r="BS356" s="25"/>
      <c r="BT356" s="25"/>
      <c r="BU356" s="25"/>
      <c r="BV356" s="25"/>
      <c r="BW356" s="25"/>
      <c r="BX356" s="25"/>
      <c r="BY356" s="25"/>
      <c r="BZ356" s="25"/>
      <c r="CA356" s="25"/>
      <c r="CB356" s="25"/>
      <c r="CC356" s="25"/>
      <c r="CD356" s="25"/>
      <c r="CE356" s="25"/>
      <c r="CF356" s="25"/>
      <c r="CG356" s="25"/>
      <c r="CH356" s="25"/>
      <c r="CI356" s="25"/>
      <c r="CJ356" s="25"/>
      <c r="CK356" s="25"/>
      <c r="CL356" s="25"/>
      <c r="CM356" s="25"/>
      <c r="CN356" s="25"/>
      <c r="CO356" s="25"/>
      <c r="CP356" s="25"/>
      <c r="CQ356" s="25"/>
      <c r="CR356" s="25"/>
      <c r="CS356" s="25"/>
    </row>
    <row r="357" spans="2:97">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c r="AV357" s="25"/>
      <c r="AW357" s="25"/>
      <c r="AX357" s="25"/>
      <c r="AY357" s="25"/>
      <c r="AZ357" s="25"/>
      <c r="BA357" s="25"/>
      <c r="BB357" s="25"/>
      <c r="BC357" s="25"/>
      <c r="BD357" s="25"/>
      <c r="BE357" s="25"/>
      <c r="BF357" s="25"/>
      <c r="BG357" s="25"/>
      <c r="BH357" s="25"/>
      <c r="BI357" s="25"/>
      <c r="BJ357" s="25"/>
      <c r="BK357" s="25"/>
      <c r="BL357" s="25"/>
      <c r="BM357" s="25"/>
      <c r="BN357" s="25"/>
      <c r="BO357" s="25"/>
      <c r="BP357" s="25"/>
      <c r="BQ357" s="25"/>
      <c r="BR357" s="25"/>
      <c r="BS357" s="25"/>
      <c r="BT357" s="25"/>
      <c r="BU357" s="25"/>
      <c r="BV357" s="25"/>
      <c r="BW357" s="25"/>
      <c r="BX357" s="25"/>
      <c r="BY357" s="25"/>
      <c r="BZ357" s="25"/>
      <c r="CA357" s="25"/>
      <c r="CB357" s="25"/>
      <c r="CC357" s="25"/>
      <c r="CD357" s="25"/>
      <c r="CE357" s="25"/>
      <c r="CF357" s="25"/>
      <c r="CG357" s="25"/>
      <c r="CH357" s="25"/>
      <c r="CI357" s="25"/>
      <c r="CJ357" s="25"/>
      <c r="CK357" s="25"/>
      <c r="CL357" s="25"/>
      <c r="CM357" s="25"/>
      <c r="CN357" s="25"/>
      <c r="CO357" s="25"/>
      <c r="CP357" s="25"/>
      <c r="CQ357" s="25"/>
      <c r="CR357" s="25"/>
      <c r="CS357" s="25"/>
    </row>
    <row r="358" spans="2:97">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c r="AV358" s="25"/>
      <c r="AW358" s="25"/>
      <c r="AX358" s="25"/>
      <c r="AY358" s="25"/>
      <c r="AZ358" s="25"/>
      <c r="BA358" s="25"/>
      <c r="BB358" s="25"/>
      <c r="BC358" s="25"/>
      <c r="BD358" s="25"/>
      <c r="BE358" s="25"/>
      <c r="BF358" s="25"/>
      <c r="BG358" s="25"/>
      <c r="BH358" s="25"/>
      <c r="BI358" s="25"/>
      <c r="BJ358" s="25"/>
      <c r="BK358" s="25"/>
      <c r="BL358" s="25"/>
      <c r="BM358" s="25"/>
      <c r="BN358" s="25"/>
      <c r="BO358" s="25"/>
      <c r="BP358" s="25"/>
      <c r="BQ358" s="25"/>
      <c r="BR358" s="25"/>
      <c r="BS358" s="25"/>
      <c r="BT358" s="25"/>
      <c r="BU358" s="25"/>
      <c r="BV358" s="25"/>
      <c r="BW358" s="25"/>
      <c r="BX358" s="25"/>
      <c r="BY358" s="25"/>
      <c r="BZ358" s="25"/>
      <c r="CA358" s="25"/>
      <c r="CB358" s="25"/>
      <c r="CC358" s="25"/>
      <c r="CD358" s="25"/>
      <c r="CE358" s="25"/>
      <c r="CF358" s="25"/>
      <c r="CG358" s="25"/>
      <c r="CH358" s="25"/>
      <c r="CI358" s="25"/>
      <c r="CJ358" s="25"/>
      <c r="CK358" s="25"/>
      <c r="CL358" s="25"/>
      <c r="CM358" s="25"/>
      <c r="CN358" s="25"/>
      <c r="CO358" s="25"/>
      <c r="CP358" s="25"/>
      <c r="CQ358" s="25"/>
      <c r="CR358" s="25"/>
      <c r="CS358" s="25"/>
    </row>
    <row r="359" spans="2:97">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c r="AV359" s="25"/>
      <c r="AW359" s="25"/>
      <c r="AX359" s="25"/>
      <c r="AY359" s="25"/>
      <c r="AZ359" s="25"/>
      <c r="BA359" s="25"/>
      <c r="BB359" s="25"/>
      <c r="BC359" s="25"/>
      <c r="BD359" s="25"/>
      <c r="BE359" s="25"/>
      <c r="BF359" s="25"/>
      <c r="BG359" s="25"/>
      <c r="BH359" s="25"/>
      <c r="BI359" s="25"/>
      <c r="BJ359" s="25"/>
      <c r="BK359" s="25"/>
      <c r="BL359" s="25"/>
      <c r="BM359" s="25"/>
      <c r="BN359" s="25"/>
      <c r="BO359" s="25"/>
      <c r="BP359" s="25"/>
      <c r="BQ359" s="25"/>
      <c r="BR359" s="25"/>
      <c r="BS359" s="25"/>
      <c r="BT359" s="25"/>
      <c r="BU359" s="25"/>
      <c r="BV359" s="25"/>
      <c r="BW359" s="25"/>
      <c r="BX359" s="25"/>
      <c r="BY359" s="25"/>
      <c r="BZ359" s="25"/>
      <c r="CA359" s="25"/>
      <c r="CB359" s="25"/>
      <c r="CC359" s="25"/>
      <c r="CD359" s="25"/>
      <c r="CE359" s="25"/>
      <c r="CF359" s="25"/>
      <c r="CG359" s="25"/>
      <c r="CH359" s="25"/>
      <c r="CI359" s="25"/>
      <c r="CJ359" s="25"/>
      <c r="CK359" s="25"/>
      <c r="CL359" s="25"/>
      <c r="CM359" s="25"/>
      <c r="CN359" s="25"/>
      <c r="CO359" s="25"/>
      <c r="CP359" s="25"/>
      <c r="CQ359" s="25"/>
      <c r="CR359" s="25"/>
      <c r="CS359" s="25"/>
    </row>
    <row r="360" spans="2:97">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c r="AV360" s="25"/>
      <c r="AW360" s="25"/>
      <c r="AX360" s="25"/>
      <c r="AY360" s="25"/>
      <c r="AZ360" s="25"/>
      <c r="BA360" s="25"/>
      <c r="BB360" s="25"/>
      <c r="BC360" s="25"/>
      <c r="BD360" s="25"/>
      <c r="BE360" s="25"/>
      <c r="BF360" s="25"/>
      <c r="BG360" s="25"/>
      <c r="BH360" s="25"/>
      <c r="BI360" s="25"/>
      <c r="BJ360" s="25"/>
      <c r="BK360" s="25"/>
      <c r="BL360" s="25"/>
      <c r="BM360" s="25"/>
      <c r="BN360" s="25"/>
      <c r="BO360" s="25"/>
      <c r="BP360" s="25"/>
      <c r="BQ360" s="25"/>
      <c r="BR360" s="25"/>
      <c r="BS360" s="25"/>
      <c r="BT360" s="25"/>
      <c r="BU360" s="25"/>
      <c r="BV360" s="25"/>
      <c r="BW360" s="25"/>
      <c r="BX360" s="25"/>
      <c r="BY360" s="25"/>
      <c r="BZ360" s="25"/>
      <c r="CA360" s="25"/>
      <c r="CB360" s="25"/>
      <c r="CC360" s="25"/>
      <c r="CD360" s="25"/>
      <c r="CE360" s="25"/>
      <c r="CF360" s="25"/>
      <c r="CG360" s="25"/>
      <c r="CH360" s="25"/>
      <c r="CI360" s="25"/>
      <c r="CJ360" s="25"/>
      <c r="CK360" s="25"/>
      <c r="CL360" s="25"/>
      <c r="CM360" s="25"/>
      <c r="CN360" s="25"/>
      <c r="CO360" s="25"/>
      <c r="CP360" s="25"/>
      <c r="CQ360" s="25"/>
      <c r="CR360" s="25"/>
      <c r="CS360" s="25"/>
    </row>
    <row r="361" spans="2:97">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c r="AV361" s="25"/>
      <c r="AW361" s="25"/>
      <c r="AX361" s="25"/>
      <c r="AY361" s="25"/>
      <c r="AZ361" s="25"/>
      <c r="BA361" s="25"/>
      <c r="BB361" s="25"/>
      <c r="BC361" s="25"/>
      <c r="BD361" s="25"/>
      <c r="BE361" s="25"/>
      <c r="BF361" s="25"/>
      <c r="BG361" s="25"/>
      <c r="BH361" s="25"/>
      <c r="BI361" s="25"/>
      <c r="BJ361" s="25"/>
      <c r="BK361" s="25"/>
      <c r="BL361" s="25"/>
      <c r="BM361" s="25"/>
      <c r="BN361" s="25"/>
      <c r="BO361" s="25"/>
      <c r="BP361" s="25"/>
      <c r="BQ361" s="25"/>
      <c r="BR361" s="25"/>
      <c r="BS361" s="25"/>
      <c r="BT361" s="25"/>
      <c r="BU361" s="25"/>
      <c r="BV361" s="25"/>
      <c r="BW361" s="25"/>
      <c r="BX361" s="25"/>
      <c r="BY361" s="25"/>
      <c r="BZ361" s="25"/>
      <c r="CA361" s="25"/>
      <c r="CB361" s="25"/>
      <c r="CC361" s="25"/>
      <c r="CD361" s="25"/>
      <c r="CE361" s="25"/>
      <c r="CF361" s="25"/>
      <c r="CG361" s="25"/>
      <c r="CH361" s="25"/>
      <c r="CI361" s="25"/>
      <c r="CJ361" s="25"/>
      <c r="CK361" s="25"/>
      <c r="CL361" s="25"/>
      <c r="CM361" s="25"/>
      <c r="CN361" s="25"/>
      <c r="CO361" s="25"/>
      <c r="CP361" s="25"/>
      <c r="CQ361" s="25"/>
      <c r="CR361" s="25"/>
      <c r="CS361" s="25"/>
    </row>
    <row r="362" spans="2:97">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c r="AV362" s="25"/>
      <c r="AW362" s="25"/>
      <c r="AX362" s="25"/>
      <c r="AY362" s="25"/>
      <c r="AZ362" s="25"/>
      <c r="BA362" s="25"/>
      <c r="BB362" s="25"/>
      <c r="BC362" s="25"/>
      <c r="BD362" s="25"/>
      <c r="BE362" s="25"/>
      <c r="BF362" s="25"/>
      <c r="BG362" s="25"/>
      <c r="BH362" s="25"/>
      <c r="BI362" s="25"/>
      <c r="BJ362" s="25"/>
      <c r="BK362" s="25"/>
      <c r="BL362" s="25"/>
      <c r="BM362" s="25"/>
      <c r="BN362" s="25"/>
      <c r="BO362" s="25"/>
      <c r="BP362" s="25"/>
      <c r="BQ362" s="25"/>
      <c r="BR362" s="25"/>
      <c r="BS362" s="25"/>
      <c r="BT362" s="25"/>
      <c r="BU362" s="25"/>
      <c r="BV362" s="25"/>
      <c r="BW362" s="25"/>
      <c r="BX362" s="25"/>
      <c r="BY362" s="25"/>
      <c r="BZ362" s="25"/>
      <c r="CA362" s="25"/>
      <c r="CB362" s="25"/>
      <c r="CC362" s="25"/>
      <c r="CD362" s="25"/>
      <c r="CE362" s="25"/>
      <c r="CF362" s="25"/>
      <c r="CG362" s="25"/>
      <c r="CH362" s="25"/>
      <c r="CI362" s="25"/>
      <c r="CJ362" s="25"/>
      <c r="CK362" s="25"/>
      <c r="CL362" s="25"/>
      <c r="CM362" s="25"/>
      <c r="CN362" s="25"/>
      <c r="CO362" s="25"/>
      <c r="CP362" s="25"/>
      <c r="CQ362" s="25"/>
      <c r="CR362" s="25"/>
      <c r="CS362" s="25"/>
    </row>
    <row r="363" spans="2:97">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c r="AV363" s="25"/>
      <c r="AW363" s="25"/>
      <c r="AX363" s="25"/>
      <c r="AY363" s="25"/>
      <c r="AZ363" s="25"/>
      <c r="BA363" s="25"/>
      <c r="BB363" s="25"/>
      <c r="BC363" s="25"/>
      <c r="BD363" s="25"/>
      <c r="BE363" s="25"/>
      <c r="BF363" s="25"/>
      <c r="BG363" s="25"/>
      <c r="BH363" s="25"/>
      <c r="BI363" s="25"/>
      <c r="BJ363" s="25"/>
      <c r="BK363" s="25"/>
      <c r="BL363" s="25"/>
      <c r="BM363" s="25"/>
      <c r="BN363" s="25"/>
      <c r="BO363" s="25"/>
      <c r="BP363" s="25"/>
      <c r="BQ363" s="25"/>
      <c r="BR363" s="25"/>
      <c r="BS363" s="25"/>
      <c r="BT363" s="25"/>
      <c r="BU363" s="25"/>
      <c r="BV363" s="25"/>
      <c r="BW363" s="25"/>
      <c r="BX363" s="25"/>
      <c r="BY363" s="25"/>
      <c r="BZ363" s="25"/>
      <c r="CA363" s="25"/>
      <c r="CB363" s="25"/>
      <c r="CC363" s="25"/>
      <c r="CD363" s="25"/>
      <c r="CE363" s="25"/>
      <c r="CF363" s="25"/>
      <c r="CG363" s="25"/>
      <c r="CH363" s="25"/>
      <c r="CI363" s="25"/>
      <c r="CJ363" s="25"/>
      <c r="CK363" s="25"/>
      <c r="CL363" s="25"/>
      <c r="CM363" s="25"/>
      <c r="CN363" s="25"/>
      <c r="CO363" s="25"/>
      <c r="CP363" s="25"/>
      <c r="CQ363" s="25"/>
      <c r="CR363" s="25"/>
      <c r="CS363" s="25"/>
    </row>
    <row r="364" spans="2:97">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c r="AV364" s="25"/>
      <c r="AW364" s="25"/>
      <c r="AX364" s="25"/>
      <c r="AY364" s="25"/>
      <c r="AZ364" s="25"/>
      <c r="BA364" s="25"/>
      <c r="BB364" s="25"/>
      <c r="BC364" s="25"/>
      <c r="BD364" s="25"/>
      <c r="BE364" s="25"/>
      <c r="BF364" s="25"/>
      <c r="BG364" s="25"/>
      <c r="BH364" s="25"/>
      <c r="BI364" s="25"/>
      <c r="BJ364" s="25"/>
      <c r="BK364" s="25"/>
      <c r="BL364" s="25"/>
      <c r="BM364" s="25"/>
      <c r="BN364" s="25"/>
      <c r="BO364" s="25"/>
      <c r="BP364" s="25"/>
      <c r="BQ364" s="25"/>
      <c r="BR364" s="25"/>
      <c r="BS364" s="25"/>
      <c r="BT364" s="25"/>
      <c r="BU364" s="25"/>
      <c r="BV364" s="25"/>
      <c r="BW364" s="25"/>
      <c r="BX364" s="25"/>
      <c r="BY364" s="25"/>
      <c r="BZ364" s="25"/>
      <c r="CA364" s="25"/>
      <c r="CB364" s="25"/>
      <c r="CC364" s="25"/>
      <c r="CD364" s="25"/>
      <c r="CE364" s="25"/>
      <c r="CF364" s="25"/>
      <c r="CG364" s="25"/>
      <c r="CH364" s="25"/>
      <c r="CI364" s="25"/>
      <c r="CJ364" s="25"/>
      <c r="CK364" s="25"/>
      <c r="CL364" s="25"/>
      <c r="CM364" s="25"/>
      <c r="CN364" s="25"/>
      <c r="CO364" s="25"/>
      <c r="CP364" s="25"/>
      <c r="CQ364" s="25"/>
      <c r="CR364" s="25"/>
      <c r="CS364" s="25"/>
    </row>
    <row r="365" spans="2:97">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c r="AV365" s="25"/>
      <c r="AW365" s="25"/>
      <c r="AX365" s="25"/>
      <c r="AY365" s="25"/>
      <c r="AZ365" s="25"/>
      <c r="BA365" s="25"/>
      <c r="BB365" s="25"/>
      <c r="BC365" s="25"/>
      <c r="BD365" s="25"/>
      <c r="BE365" s="25"/>
      <c r="BF365" s="25"/>
      <c r="BG365" s="25"/>
      <c r="BH365" s="25"/>
      <c r="BI365" s="25"/>
      <c r="BJ365" s="25"/>
      <c r="BK365" s="25"/>
      <c r="BL365" s="25"/>
      <c r="BM365" s="25"/>
      <c r="BN365" s="25"/>
      <c r="BO365" s="25"/>
      <c r="BP365" s="25"/>
      <c r="BQ365" s="25"/>
      <c r="BR365" s="25"/>
      <c r="BS365" s="25"/>
      <c r="BT365" s="25"/>
      <c r="BU365" s="25"/>
      <c r="BV365" s="25"/>
      <c r="BW365" s="25"/>
      <c r="BX365" s="25"/>
      <c r="BY365" s="25"/>
      <c r="BZ365" s="25"/>
      <c r="CA365" s="25"/>
      <c r="CB365" s="25"/>
      <c r="CC365" s="25"/>
      <c r="CD365" s="25"/>
      <c r="CE365" s="25"/>
      <c r="CF365" s="25"/>
      <c r="CG365" s="25"/>
      <c r="CH365" s="25"/>
      <c r="CI365" s="25"/>
      <c r="CJ365" s="25"/>
      <c r="CK365" s="25"/>
      <c r="CL365" s="25"/>
      <c r="CM365" s="25"/>
      <c r="CN365" s="25"/>
      <c r="CO365" s="25"/>
      <c r="CP365" s="25"/>
      <c r="CQ365" s="25"/>
      <c r="CR365" s="25"/>
      <c r="CS365" s="25"/>
    </row>
    <row r="366" spans="2:97">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c r="AV366" s="25"/>
      <c r="AW366" s="25"/>
      <c r="AX366" s="25"/>
      <c r="AY366" s="25"/>
      <c r="AZ366" s="25"/>
      <c r="BA366" s="25"/>
      <c r="BB366" s="25"/>
      <c r="BC366" s="25"/>
      <c r="BD366" s="25"/>
      <c r="BE366" s="25"/>
      <c r="BF366" s="25"/>
      <c r="BG366" s="25"/>
      <c r="BH366" s="25"/>
      <c r="BI366" s="25"/>
      <c r="BJ366" s="25"/>
      <c r="BK366" s="25"/>
      <c r="BL366" s="25"/>
      <c r="BM366" s="25"/>
      <c r="BN366" s="25"/>
      <c r="BO366" s="25"/>
      <c r="BP366" s="25"/>
      <c r="BQ366" s="25"/>
      <c r="BR366" s="25"/>
      <c r="BS366" s="25"/>
      <c r="BT366" s="25"/>
      <c r="BU366" s="25"/>
      <c r="BV366" s="25"/>
      <c r="BW366" s="25"/>
      <c r="BX366" s="25"/>
      <c r="BY366" s="25"/>
      <c r="BZ366" s="25"/>
      <c r="CA366" s="25"/>
      <c r="CB366" s="25"/>
      <c r="CC366" s="25"/>
      <c r="CD366" s="25"/>
      <c r="CE366" s="25"/>
      <c r="CF366" s="25"/>
      <c r="CG366" s="25"/>
      <c r="CH366" s="25"/>
      <c r="CI366" s="25"/>
      <c r="CJ366" s="25"/>
      <c r="CK366" s="25"/>
      <c r="CL366" s="25"/>
      <c r="CM366" s="25"/>
      <c r="CN366" s="25"/>
      <c r="CO366" s="25"/>
      <c r="CP366" s="25"/>
      <c r="CQ366" s="25"/>
      <c r="CR366" s="25"/>
      <c r="CS366" s="25"/>
    </row>
    <row r="367" spans="2:97">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c r="AV367" s="25"/>
      <c r="AW367" s="25"/>
      <c r="AX367" s="25"/>
      <c r="AY367" s="25"/>
      <c r="AZ367" s="25"/>
      <c r="BA367" s="25"/>
      <c r="BB367" s="25"/>
      <c r="BC367" s="25"/>
      <c r="BD367" s="25"/>
      <c r="BE367" s="25"/>
      <c r="BF367" s="25"/>
      <c r="BG367" s="25"/>
      <c r="BH367" s="25"/>
      <c r="BI367" s="25"/>
      <c r="BJ367" s="25"/>
      <c r="BK367" s="25"/>
      <c r="BL367" s="25"/>
      <c r="BM367" s="25"/>
      <c r="BN367" s="25"/>
      <c r="BO367" s="25"/>
      <c r="BP367" s="25"/>
      <c r="BQ367" s="25"/>
      <c r="BR367" s="25"/>
      <c r="BS367" s="25"/>
      <c r="BT367" s="25"/>
      <c r="BU367" s="25"/>
      <c r="BV367" s="25"/>
      <c r="BW367" s="25"/>
      <c r="BX367" s="25"/>
      <c r="BY367" s="25"/>
      <c r="BZ367" s="25"/>
      <c r="CA367" s="25"/>
      <c r="CB367" s="25"/>
      <c r="CC367" s="25"/>
      <c r="CD367" s="25"/>
      <c r="CE367" s="25"/>
      <c r="CF367" s="25"/>
      <c r="CG367" s="25"/>
      <c r="CH367" s="25"/>
      <c r="CI367" s="25"/>
      <c r="CJ367" s="25"/>
      <c r="CK367" s="25"/>
      <c r="CL367" s="25"/>
      <c r="CM367" s="25"/>
      <c r="CN367" s="25"/>
      <c r="CO367" s="25"/>
      <c r="CP367" s="25"/>
      <c r="CQ367" s="25"/>
      <c r="CR367" s="25"/>
      <c r="CS367" s="25"/>
    </row>
    <row r="368" spans="2:97">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c r="AV368" s="25"/>
      <c r="AW368" s="25"/>
      <c r="AX368" s="25"/>
      <c r="AY368" s="25"/>
      <c r="AZ368" s="25"/>
      <c r="BA368" s="25"/>
      <c r="BB368" s="25"/>
      <c r="BC368" s="25"/>
      <c r="BD368" s="25"/>
      <c r="BE368" s="25"/>
      <c r="BF368" s="25"/>
      <c r="BG368" s="25"/>
      <c r="BH368" s="25"/>
      <c r="BI368" s="25"/>
      <c r="BJ368" s="25"/>
      <c r="BK368" s="25"/>
      <c r="BL368" s="25"/>
      <c r="BM368" s="25"/>
      <c r="BN368" s="25"/>
      <c r="BO368" s="25"/>
      <c r="BP368" s="25"/>
      <c r="BQ368" s="25"/>
      <c r="BR368" s="25"/>
      <c r="BS368" s="25"/>
      <c r="BT368" s="25"/>
      <c r="BU368" s="25"/>
      <c r="BV368" s="25"/>
      <c r="BW368" s="25"/>
      <c r="BX368" s="25"/>
      <c r="BY368" s="25"/>
      <c r="BZ368" s="25"/>
      <c r="CA368" s="25"/>
      <c r="CB368" s="25"/>
      <c r="CC368" s="25"/>
      <c r="CD368" s="25"/>
      <c r="CE368" s="25"/>
      <c r="CF368" s="25"/>
      <c r="CG368" s="25"/>
      <c r="CH368" s="25"/>
      <c r="CI368" s="25"/>
      <c r="CJ368" s="25"/>
      <c r="CK368" s="25"/>
      <c r="CL368" s="25"/>
      <c r="CM368" s="25"/>
      <c r="CN368" s="25"/>
      <c r="CO368" s="25"/>
      <c r="CP368" s="25"/>
      <c r="CQ368" s="25"/>
      <c r="CR368" s="25"/>
      <c r="CS368" s="25"/>
    </row>
    <row r="369" spans="2:97">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c r="AV369" s="25"/>
      <c r="AW369" s="25"/>
      <c r="AX369" s="25"/>
      <c r="AY369" s="25"/>
      <c r="AZ369" s="25"/>
      <c r="BA369" s="25"/>
      <c r="BB369" s="25"/>
      <c r="BC369" s="25"/>
      <c r="BD369" s="25"/>
      <c r="BE369" s="25"/>
      <c r="BF369" s="25"/>
      <c r="BG369" s="25"/>
      <c r="BH369" s="25"/>
      <c r="BI369" s="25"/>
      <c r="BJ369" s="25"/>
      <c r="BK369" s="25"/>
      <c r="BL369" s="25"/>
      <c r="BM369" s="25"/>
      <c r="BN369" s="25"/>
      <c r="BO369" s="25"/>
      <c r="BP369" s="25"/>
      <c r="BQ369" s="25"/>
      <c r="BR369" s="25"/>
      <c r="BS369" s="25"/>
      <c r="BT369" s="25"/>
      <c r="BU369" s="25"/>
      <c r="BV369" s="25"/>
      <c r="BW369" s="25"/>
      <c r="BX369" s="25"/>
      <c r="BY369" s="25"/>
      <c r="BZ369" s="25"/>
      <c r="CA369" s="25"/>
      <c r="CB369" s="25"/>
      <c r="CC369" s="25"/>
      <c r="CD369" s="25"/>
      <c r="CE369" s="25"/>
      <c r="CF369" s="25"/>
      <c r="CG369" s="25"/>
      <c r="CH369" s="25"/>
      <c r="CI369" s="25"/>
      <c r="CJ369" s="25"/>
      <c r="CK369" s="25"/>
      <c r="CL369" s="25"/>
      <c r="CM369" s="25"/>
      <c r="CN369" s="25"/>
      <c r="CO369" s="25"/>
      <c r="CP369" s="25"/>
      <c r="CQ369" s="25"/>
      <c r="CR369" s="25"/>
      <c r="CS369" s="25"/>
    </row>
    <row r="370" spans="2:97">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c r="AV370" s="25"/>
      <c r="AW370" s="25"/>
      <c r="AX370" s="25"/>
      <c r="AY370" s="25"/>
      <c r="AZ370" s="25"/>
      <c r="BA370" s="25"/>
      <c r="BB370" s="25"/>
      <c r="BC370" s="25"/>
      <c r="BD370" s="25"/>
      <c r="BE370" s="25"/>
      <c r="BF370" s="25"/>
      <c r="BG370" s="25"/>
      <c r="BH370" s="25"/>
      <c r="BI370" s="25"/>
      <c r="BJ370" s="25"/>
      <c r="BK370" s="25"/>
      <c r="BL370" s="25"/>
      <c r="BM370" s="25"/>
      <c r="BN370" s="25"/>
      <c r="BO370" s="25"/>
      <c r="BP370" s="25"/>
      <c r="BQ370" s="25"/>
      <c r="BR370" s="25"/>
      <c r="BS370" s="25"/>
      <c r="BT370" s="25"/>
      <c r="BU370" s="25"/>
      <c r="BV370" s="25"/>
      <c r="BW370" s="25"/>
      <c r="BX370" s="25"/>
      <c r="BY370" s="25"/>
      <c r="BZ370" s="25"/>
      <c r="CA370" s="25"/>
      <c r="CB370" s="25"/>
      <c r="CC370" s="25"/>
      <c r="CD370" s="25"/>
      <c r="CE370" s="25"/>
      <c r="CF370" s="25"/>
      <c r="CG370" s="25"/>
      <c r="CH370" s="25"/>
      <c r="CI370" s="25"/>
      <c r="CJ370" s="25"/>
      <c r="CK370" s="25"/>
      <c r="CL370" s="25"/>
      <c r="CM370" s="25"/>
      <c r="CN370" s="25"/>
      <c r="CO370" s="25"/>
      <c r="CP370" s="25"/>
      <c r="CQ370" s="25"/>
      <c r="CR370" s="25"/>
      <c r="CS370" s="25"/>
    </row>
    <row r="371" spans="2:97">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c r="AV371" s="25"/>
      <c r="AW371" s="25"/>
      <c r="AX371" s="25"/>
      <c r="AY371" s="25"/>
      <c r="AZ371" s="25"/>
      <c r="BA371" s="25"/>
      <c r="BB371" s="25"/>
      <c r="BC371" s="25"/>
      <c r="BD371" s="25"/>
      <c r="BE371" s="25"/>
      <c r="BF371" s="25"/>
      <c r="BG371" s="25"/>
      <c r="BH371" s="25"/>
      <c r="BI371" s="25"/>
      <c r="BJ371" s="25"/>
      <c r="BK371" s="25"/>
      <c r="BL371" s="25"/>
      <c r="BM371" s="25"/>
      <c r="BN371" s="25"/>
      <c r="BO371" s="25"/>
      <c r="BP371" s="25"/>
      <c r="BQ371" s="25"/>
      <c r="BR371" s="25"/>
      <c r="BS371" s="25"/>
      <c r="BT371" s="25"/>
      <c r="BU371" s="25"/>
      <c r="BV371" s="25"/>
      <c r="BW371" s="25"/>
      <c r="BX371" s="25"/>
      <c r="BY371" s="25"/>
      <c r="BZ371" s="25"/>
      <c r="CA371" s="25"/>
      <c r="CB371" s="25"/>
      <c r="CC371" s="25"/>
      <c r="CD371" s="25"/>
      <c r="CE371" s="25"/>
      <c r="CF371" s="25"/>
      <c r="CG371" s="25"/>
      <c r="CH371" s="25"/>
      <c r="CI371" s="25"/>
      <c r="CJ371" s="25"/>
      <c r="CK371" s="25"/>
      <c r="CL371" s="25"/>
      <c r="CM371" s="25"/>
      <c r="CN371" s="25"/>
      <c r="CO371" s="25"/>
      <c r="CP371" s="25"/>
      <c r="CQ371" s="25"/>
      <c r="CR371" s="25"/>
      <c r="CS371" s="25"/>
    </row>
    <row r="372" spans="2:97">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c r="AV372" s="25"/>
      <c r="AW372" s="25"/>
      <c r="AX372" s="25"/>
      <c r="AY372" s="25"/>
      <c r="AZ372" s="25"/>
      <c r="BA372" s="25"/>
      <c r="BB372" s="25"/>
      <c r="BC372" s="25"/>
      <c r="BD372" s="25"/>
      <c r="BE372" s="25"/>
      <c r="BF372" s="25"/>
      <c r="BG372" s="25"/>
      <c r="BH372" s="25"/>
      <c r="BI372" s="25"/>
      <c r="BJ372" s="25"/>
      <c r="BK372" s="25"/>
      <c r="BL372" s="25"/>
      <c r="BM372" s="25"/>
      <c r="BN372" s="25"/>
      <c r="BO372" s="25"/>
      <c r="BP372" s="25"/>
      <c r="BQ372" s="25"/>
      <c r="BR372" s="25"/>
      <c r="BS372" s="25"/>
      <c r="BT372" s="25"/>
      <c r="BU372" s="25"/>
      <c r="BV372" s="25"/>
      <c r="BW372" s="25"/>
      <c r="BX372" s="25"/>
      <c r="BY372" s="25"/>
      <c r="BZ372" s="25"/>
      <c r="CA372" s="25"/>
      <c r="CB372" s="25"/>
      <c r="CC372" s="25"/>
      <c r="CD372" s="25"/>
      <c r="CE372" s="25"/>
      <c r="CF372" s="25"/>
      <c r="CG372" s="25"/>
      <c r="CH372" s="25"/>
      <c r="CI372" s="25"/>
      <c r="CJ372" s="25"/>
      <c r="CK372" s="25"/>
      <c r="CL372" s="25"/>
      <c r="CM372" s="25"/>
      <c r="CN372" s="25"/>
      <c r="CO372" s="25"/>
      <c r="CP372" s="25"/>
      <c r="CQ372" s="25"/>
      <c r="CR372" s="25"/>
      <c r="CS372" s="25"/>
    </row>
    <row r="373" spans="2:97">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c r="AV373" s="25"/>
      <c r="AW373" s="25"/>
      <c r="AX373" s="25"/>
      <c r="AY373" s="25"/>
      <c r="AZ373" s="25"/>
      <c r="BA373" s="25"/>
      <c r="BB373" s="25"/>
      <c r="BC373" s="25"/>
      <c r="BD373" s="25"/>
      <c r="BE373" s="25"/>
      <c r="BF373" s="25"/>
      <c r="BG373" s="25"/>
      <c r="BH373" s="25"/>
      <c r="BI373" s="25"/>
      <c r="BJ373" s="25"/>
      <c r="BK373" s="25"/>
      <c r="BL373" s="25"/>
      <c r="BM373" s="25"/>
      <c r="BN373" s="25"/>
      <c r="BO373" s="25"/>
      <c r="BP373" s="25"/>
      <c r="BQ373" s="25"/>
      <c r="BR373" s="25"/>
      <c r="BS373" s="25"/>
      <c r="BT373" s="25"/>
      <c r="BU373" s="25"/>
      <c r="BV373" s="25"/>
      <c r="BW373" s="25"/>
      <c r="BX373" s="25"/>
      <c r="BY373" s="25"/>
      <c r="BZ373" s="25"/>
      <c r="CA373" s="25"/>
      <c r="CB373" s="25"/>
      <c r="CC373" s="25"/>
      <c r="CD373" s="25"/>
      <c r="CE373" s="25"/>
      <c r="CF373" s="25"/>
      <c r="CG373" s="25"/>
      <c r="CH373" s="25"/>
      <c r="CI373" s="25"/>
      <c r="CJ373" s="25"/>
      <c r="CK373" s="25"/>
      <c r="CL373" s="25"/>
      <c r="CM373" s="25"/>
      <c r="CN373" s="25"/>
      <c r="CO373" s="25"/>
      <c r="CP373" s="25"/>
      <c r="CQ373" s="25"/>
      <c r="CR373" s="25"/>
      <c r="CS373" s="25"/>
    </row>
    <row r="374" spans="2:97">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c r="AV374" s="25"/>
      <c r="AW374" s="25"/>
      <c r="AX374" s="25"/>
      <c r="AY374" s="25"/>
      <c r="AZ374" s="25"/>
      <c r="BA374" s="25"/>
      <c r="BB374" s="25"/>
      <c r="BC374" s="25"/>
      <c r="BD374" s="25"/>
      <c r="BE374" s="25"/>
      <c r="BF374" s="25"/>
      <c r="BG374" s="25"/>
      <c r="BH374" s="25"/>
      <c r="BI374" s="25"/>
      <c r="BJ374" s="25"/>
      <c r="BK374" s="25"/>
      <c r="BL374" s="25"/>
      <c r="BM374" s="25"/>
      <c r="BN374" s="25"/>
      <c r="BO374" s="25"/>
      <c r="BP374" s="25"/>
      <c r="BQ374" s="25"/>
      <c r="BR374" s="25"/>
      <c r="BS374" s="25"/>
      <c r="BT374" s="25"/>
      <c r="BU374" s="25"/>
      <c r="BV374" s="25"/>
      <c r="BW374" s="25"/>
      <c r="BX374" s="25"/>
      <c r="BY374" s="25"/>
      <c r="BZ374" s="25"/>
      <c r="CA374" s="25"/>
      <c r="CB374" s="25"/>
      <c r="CC374" s="25"/>
      <c r="CD374" s="25"/>
      <c r="CE374" s="25"/>
      <c r="CF374" s="25"/>
      <c r="CG374" s="25"/>
      <c r="CH374" s="25"/>
      <c r="CI374" s="25"/>
      <c r="CJ374" s="25"/>
      <c r="CK374" s="25"/>
      <c r="CL374" s="25"/>
      <c r="CM374" s="25"/>
      <c r="CN374" s="25"/>
      <c r="CO374" s="25"/>
      <c r="CP374" s="25"/>
      <c r="CQ374" s="25"/>
      <c r="CR374" s="25"/>
      <c r="CS374" s="25"/>
    </row>
    <row r="375" spans="2:97">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c r="AV375" s="25"/>
      <c r="AW375" s="25"/>
      <c r="AX375" s="25"/>
      <c r="AY375" s="25"/>
      <c r="AZ375" s="25"/>
      <c r="BA375" s="25"/>
      <c r="BB375" s="25"/>
      <c r="BC375" s="25"/>
      <c r="BD375" s="25"/>
      <c r="BE375" s="25"/>
      <c r="BF375" s="25"/>
      <c r="BG375" s="25"/>
      <c r="BH375" s="25"/>
      <c r="BI375" s="25"/>
      <c r="BJ375" s="25"/>
      <c r="BK375" s="25"/>
      <c r="BL375" s="25"/>
      <c r="BM375" s="25"/>
      <c r="BN375" s="25"/>
      <c r="BO375" s="25"/>
      <c r="BP375" s="25"/>
      <c r="BQ375" s="25"/>
      <c r="BR375" s="25"/>
      <c r="BS375" s="25"/>
      <c r="BT375" s="25"/>
      <c r="BU375" s="25"/>
      <c r="BV375" s="25"/>
      <c r="BW375" s="25"/>
      <c r="BX375" s="25"/>
      <c r="BY375" s="25"/>
      <c r="BZ375" s="25"/>
      <c r="CA375" s="25"/>
      <c r="CB375" s="25"/>
      <c r="CC375" s="25"/>
      <c r="CD375" s="25"/>
      <c r="CE375" s="25"/>
      <c r="CF375" s="25"/>
      <c r="CG375" s="25"/>
      <c r="CH375" s="25"/>
      <c r="CI375" s="25"/>
      <c r="CJ375" s="25"/>
      <c r="CK375" s="25"/>
      <c r="CL375" s="25"/>
      <c r="CM375" s="25"/>
      <c r="CN375" s="25"/>
      <c r="CO375" s="25"/>
      <c r="CP375" s="25"/>
      <c r="CQ375" s="25"/>
      <c r="CR375" s="25"/>
      <c r="CS375" s="25"/>
    </row>
    <row r="376" spans="2:97">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c r="AV376" s="25"/>
      <c r="AW376" s="25"/>
      <c r="AX376" s="25"/>
      <c r="AY376" s="25"/>
      <c r="AZ376" s="25"/>
      <c r="BA376" s="25"/>
      <c r="BB376" s="25"/>
      <c r="BC376" s="25"/>
      <c r="BD376" s="25"/>
      <c r="BE376" s="25"/>
      <c r="BF376" s="25"/>
      <c r="BG376" s="25"/>
      <c r="BH376" s="25"/>
      <c r="BI376" s="25"/>
      <c r="BJ376" s="25"/>
      <c r="BK376" s="25"/>
      <c r="BL376" s="25"/>
      <c r="BM376" s="25"/>
      <c r="BN376" s="25"/>
      <c r="BO376" s="25"/>
      <c r="BP376" s="25"/>
      <c r="BQ376" s="25"/>
      <c r="BR376" s="25"/>
      <c r="BS376" s="25"/>
      <c r="BT376" s="25"/>
      <c r="BU376" s="25"/>
      <c r="BV376" s="25"/>
      <c r="BW376" s="25"/>
      <c r="BX376" s="25"/>
      <c r="BY376" s="25"/>
      <c r="BZ376" s="25"/>
      <c r="CA376" s="25"/>
      <c r="CB376" s="25"/>
      <c r="CC376" s="25"/>
      <c r="CD376" s="25"/>
      <c r="CE376" s="25"/>
      <c r="CF376" s="25"/>
      <c r="CG376" s="25"/>
      <c r="CH376" s="25"/>
      <c r="CI376" s="25"/>
      <c r="CJ376" s="25"/>
      <c r="CK376" s="25"/>
      <c r="CL376" s="25"/>
      <c r="CM376" s="25"/>
      <c r="CN376" s="25"/>
      <c r="CO376" s="25"/>
      <c r="CP376" s="25"/>
      <c r="CQ376" s="25"/>
      <c r="CR376" s="25"/>
      <c r="CS376" s="25"/>
    </row>
    <row r="377" spans="2:97">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c r="AV377" s="25"/>
      <c r="AW377" s="25"/>
      <c r="AX377" s="25"/>
      <c r="AY377" s="25"/>
      <c r="AZ377" s="25"/>
      <c r="BA377" s="25"/>
      <c r="BB377" s="25"/>
      <c r="BC377" s="25"/>
      <c r="BD377" s="25"/>
      <c r="BE377" s="25"/>
      <c r="BF377" s="25"/>
      <c r="BG377" s="25"/>
      <c r="BH377" s="25"/>
      <c r="BI377" s="25"/>
      <c r="BJ377" s="25"/>
      <c r="BK377" s="25"/>
      <c r="BL377" s="25"/>
      <c r="BM377" s="25"/>
      <c r="BN377" s="25"/>
      <c r="BO377" s="25"/>
      <c r="BP377" s="25"/>
      <c r="BQ377" s="25"/>
      <c r="BR377" s="25"/>
      <c r="BS377" s="25"/>
      <c r="BT377" s="25"/>
      <c r="BU377" s="25"/>
      <c r="BV377" s="25"/>
      <c r="BW377" s="25"/>
      <c r="BX377" s="25"/>
      <c r="BY377" s="25"/>
      <c r="BZ377" s="25"/>
      <c r="CA377" s="25"/>
      <c r="CB377" s="25"/>
      <c r="CC377" s="25"/>
      <c r="CD377" s="25"/>
      <c r="CE377" s="25"/>
      <c r="CF377" s="25"/>
      <c r="CG377" s="25"/>
      <c r="CH377" s="25"/>
      <c r="CI377" s="25"/>
      <c r="CJ377" s="25"/>
      <c r="CK377" s="25"/>
      <c r="CL377" s="25"/>
      <c r="CM377" s="25"/>
      <c r="CN377" s="25"/>
      <c r="CO377" s="25"/>
      <c r="CP377" s="25"/>
      <c r="CQ377" s="25"/>
      <c r="CR377" s="25"/>
      <c r="CS377" s="25"/>
    </row>
    <row r="378" spans="2:97">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c r="AV378" s="25"/>
      <c r="AW378" s="25"/>
      <c r="AX378" s="25"/>
      <c r="AY378" s="25"/>
      <c r="AZ378" s="25"/>
      <c r="BA378" s="25"/>
      <c r="BB378" s="25"/>
      <c r="BC378" s="25"/>
      <c r="BD378" s="25"/>
      <c r="BE378" s="25"/>
      <c r="BF378" s="25"/>
      <c r="BG378" s="25"/>
      <c r="BH378" s="25"/>
      <c r="BI378" s="25"/>
      <c r="BJ378" s="25"/>
      <c r="BK378" s="25"/>
      <c r="BL378" s="25"/>
      <c r="BM378" s="25"/>
      <c r="BN378" s="25"/>
      <c r="BO378" s="25"/>
      <c r="BP378" s="25"/>
      <c r="BQ378" s="25"/>
      <c r="BR378" s="25"/>
      <c r="BS378" s="25"/>
      <c r="BT378" s="25"/>
      <c r="BU378" s="25"/>
      <c r="BV378" s="25"/>
      <c r="BW378" s="25"/>
      <c r="BX378" s="25"/>
      <c r="BY378" s="25"/>
      <c r="BZ378" s="25"/>
      <c r="CA378" s="25"/>
      <c r="CB378" s="25"/>
      <c r="CC378" s="25"/>
      <c r="CD378" s="25"/>
      <c r="CE378" s="25"/>
      <c r="CF378" s="25"/>
      <c r="CG378" s="25"/>
      <c r="CH378" s="25"/>
      <c r="CI378" s="25"/>
      <c r="CJ378" s="25"/>
      <c r="CK378" s="25"/>
      <c r="CL378" s="25"/>
      <c r="CM378" s="25"/>
      <c r="CN378" s="25"/>
      <c r="CO378" s="25"/>
      <c r="CP378" s="25"/>
      <c r="CQ378" s="25"/>
      <c r="CR378" s="25"/>
      <c r="CS378" s="25"/>
    </row>
    <row r="379" spans="2:97">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c r="AV379" s="25"/>
      <c r="AW379" s="25"/>
      <c r="AX379" s="25"/>
      <c r="AY379" s="25"/>
      <c r="AZ379" s="25"/>
      <c r="BA379" s="25"/>
      <c r="BB379" s="25"/>
      <c r="BC379" s="25"/>
      <c r="BD379" s="25"/>
      <c r="BE379" s="25"/>
      <c r="BF379" s="25"/>
      <c r="BG379" s="25"/>
      <c r="BH379" s="25"/>
      <c r="BI379" s="25"/>
      <c r="BJ379" s="25"/>
      <c r="BK379" s="25"/>
      <c r="BL379" s="25"/>
      <c r="BM379" s="25"/>
      <c r="BN379" s="25"/>
      <c r="BO379" s="25"/>
      <c r="BP379" s="25"/>
      <c r="BQ379" s="25"/>
      <c r="BR379" s="25"/>
      <c r="BS379" s="25"/>
      <c r="BT379" s="25"/>
      <c r="BU379" s="25"/>
      <c r="BV379" s="25"/>
      <c r="BW379" s="25"/>
      <c r="BX379" s="25"/>
      <c r="BY379" s="25"/>
      <c r="BZ379" s="25"/>
      <c r="CA379" s="25"/>
      <c r="CB379" s="25"/>
      <c r="CC379" s="25"/>
      <c r="CD379" s="25"/>
      <c r="CE379" s="25"/>
      <c r="CF379" s="25"/>
      <c r="CG379" s="25"/>
      <c r="CH379" s="25"/>
      <c r="CI379" s="25"/>
      <c r="CJ379" s="25"/>
      <c r="CK379" s="25"/>
      <c r="CL379" s="25"/>
      <c r="CM379" s="25"/>
      <c r="CN379" s="25"/>
      <c r="CO379" s="25"/>
      <c r="CP379" s="25"/>
      <c r="CQ379" s="25"/>
      <c r="CR379" s="25"/>
      <c r="CS379" s="25"/>
    </row>
    <row r="380" spans="2:97">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c r="AV380" s="25"/>
      <c r="AW380" s="25"/>
      <c r="AX380" s="25"/>
      <c r="AY380" s="25"/>
      <c r="AZ380" s="25"/>
      <c r="BA380" s="25"/>
      <c r="BB380" s="25"/>
      <c r="BC380" s="25"/>
      <c r="BD380" s="25"/>
      <c r="BE380" s="25"/>
      <c r="BF380" s="25"/>
      <c r="BG380" s="25"/>
      <c r="BH380" s="25"/>
      <c r="BI380" s="25"/>
      <c r="BJ380" s="25"/>
      <c r="BK380" s="25"/>
      <c r="BL380" s="25"/>
      <c r="BM380" s="25"/>
      <c r="BN380" s="25"/>
      <c r="BO380" s="25"/>
      <c r="BP380" s="25"/>
      <c r="BQ380" s="25"/>
      <c r="BR380" s="25"/>
      <c r="BS380" s="25"/>
      <c r="BT380" s="25"/>
      <c r="BU380" s="25"/>
      <c r="BV380" s="25"/>
      <c r="BW380" s="25"/>
      <c r="BX380" s="25"/>
      <c r="BY380" s="25"/>
      <c r="BZ380" s="25"/>
      <c r="CA380" s="25"/>
      <c r="CB380" s="25"/>
      <c r="CC380" s="25"/>
      <c r="CD380" s="25"/>
      <c r="CE380" s="25"/>
      <c r="CF380" s="25"/>
      <c r="CG380" s="25"/>
      <c r="CH380" s="25"/>
      <c r="CI380" s="25"/>
      <c r="CJ380" s="25"/>
      <c r="CK380" s="25"/>
      <c r="CL380" s="25"/>
      <c r="CM380" s="25"/>
      <c r="CN380" s="25"/>
      <c r="CO380" s="25"/>
      <c r="CP380" s="25"/>
      <c r="CQ380" s="25"/>
      <c r="CR380" s="25"/>
      <c r="CS380" s="25"/>
    </row>
    <row r="381" spans="2:97">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c r="AV381" s="25"/>
      <c r="AW381" s="25"/>
      <c r="AX381" s="25"/>
      <c r="AY381" s="25"/>
      <c r="AZ381" s="25"/>
      <c r="BA381" s="25"/>
      <c r="BB381" s="25"/>
      <c r="BC381" s="25"/>
      <c r="BD381" s="25"/>
      <c r="BE381" s="25"/>
      <c r="BF381" s="25"/>
      <c r="BG381" s="25"/>
      <c r="BH381" s="25"/>
      <c r="BI381" s="25"/>
      <c r="BJ381" s="25"/>
      <c r="BK381" s="25"/>
      <c r="BL381" s="25"/>
      <c r="BM381" s="25"/>
      <c r="BN381" s="25"/>
      <c r="BO381" s="25"/>
      <c r="BP381" s="25"/>
      <c r="BQ381" s="25"/>
      <c r="BR381" s="25"/>
      <c r="BS381" s="25"/>
      <c r="BT381" s="25"/>
      <c r="BU381" s="25"/>
      <c r="BV381" s="25"/>
      <c r="BW381" s="25"/>
      <c r="BX381" s="25"/>
      <c r="BY381" s="25"/>
      <c r="BZ381" s="25"/>
      <c r="CA381" s="25"/>
      <c r="CB381" s="25"/>
      <c r="CC381" s="25"/>
      <c r="CD381" s="25"/>
      <c r="CE381" s="25"/>
      <c r="CF381" s="25"/>
      <c r="CG381" s="25"/>
      <c r="CH381" s="25"/>
      <c r="CI381" s="25"/>
      <c r="CJ381" s="25"/>
      <c r="CK381" s="25"/>
      <c r="CL381" s="25"/>
      <c r="CM381" s="25"/>
      <c r="CN381" s="25"/>
      <c r="CO381" s="25"/>
      <c r="CP381" s="25"/>
      <c r="CQ381" s="25"/>
      <c r="CR381" s="25"/>
      <c r="CS381" s="25"/>
    </row>
    <row r="382" spans="2:97">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c r="AV382" s="25"/>
      <c r="AW382" s="25"/>
      <c r="AX382" s="25"/>
      <c r="AY382" s="25"/>
      <c r="AZ382" s="25"/>
      <c r="BA382" s="25"/>
      <c r="BB382" s="25"/>
      <c r="BC382" s="25"/>
      <c r="BD382" s="25"/>
      <c r="BE382" s="25"/>
      <c r="BF382" s="25"/>
      <c r="BG382" s="25"/>
      <c r="BH382" s="25"/>
      <c r="BI382" s="25"/>
      <c r="BJ382" s="25"/>
      <c r="BK382" s="25"/>
      <c r="BL382" s="25"/>
      <c r="BM382" s="25"/>
      <c r="BN382" s="25"/>
      <c r="BO382" s="25"/>
      <c r="BP382" s="25"/>
      <c r="BQ382" s="25"/>
      <c r="BR382" s="25"/>
      <c r="BS382" s="25"/>
      <c r="BT382" s="25"/>
      <c r="BU382" s="25"/>
      <c r="BV382" s="25"/>
      <c r="BW382" s="25"/>
      <c r="BX382" s="25"/>
      <c r="BY382" s="25"/>
      <c r="BZ382" s="25"/>
      <c r="CA382" s="25"/>
      <c r="CB382" s="25"/>
      <c r="CC382" s="25"/>
      <c r="CD382" s="25"/>
      <c r="CE382" s="25"/>
      <c r="CF382" s="25"/>
      <c r="CG382" s="25"/>
      <c r="CH382" s="25"/>
      <c r="CI382" s="25"/>
      <c r="CJ382" s="25"/>
      <c r="CK382" s="25"/>
      <c r="CL382" s="25"/>
      <c r="CM382" s="25"/>
      <c r="CN382" s="25"/>
      <c r="CO382" s="25"/>
      <c r="CP382" s="25"/>
      <c r="CQ382" s="25"/>
      <c r="CR382" s="25"/>
      <c r="CS382" s="25"/>
    </row>
    <row r="383" spans="2:97">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c r="AV383" s="25"/>
      <c r="AW383" s="25"/>
      <c r="AX383" s="25"/>
      <c r="AY383" s="25"/>
      <c r="AZ383" s="25"/>
      <c r="BA383" s="25"/>
      <c r="BB383" s="25"/>
      <c r="BC383" s="25"/>
      <c r="BD383" s="25"/>
      <c r="BE383" s="25"/>
      <c r="BF383" s="25"/>
      <c r="BG383" s="25"/>
      <c r="BH383" s="25"/>
      <c r="BI383" s="25"/>
      <c r="BJ383" s="25"/>
      <c r="BK383" s="25"/>
      <c r="BL383" s="25"/>
      <c r="BM383" s="25"/>
      <c r="BN383" s="25"/>
      <c r="BO383" s="25"/>
      <c r="BP383" s="25"/>
      <c r="BQ383" s="25"/>
      <c r="BR383" s="25"/>
      <c r="BS383" s="25"/>
      <c r="BT383" s="25"/>
      <c r="BU383" s="25"/>
      <c r="BV383" s="25"/>
      <c r="BW383" s="25"/>
      <c r="BX383" s="25"/>
      <c r="BY383" s="25"/>
      <c r="BZ383" s="25"/>
      <c r="CA383" s="25"/>
      <c r="CB383" s="25"/>
      <c r="CC383" s="25"/>
      <c r="CD383" s="25"/>
      <c r="CE383" s="25"/>
      <c r="CF383" s="25"/>
      <c r="CG383" s="25"/>
      <c r="CH383" s="25"/>
      <c r="CI383" s="25"/>
      <c r="CJ383" s="25"/>
      <c r="CK383" s="25"/>
      <c r="CL383" s="25"/>
      <c r="CM383" s="25"/>
      <c r="CN383" s="25"/>
      <c r="CO383" s="25"/>
      <c r="CP383" s="25"/>
      <c r="CQ383" s="25"/>
      <c r="CR383" s="25"/>
      <c r="CS383" s="25"/>
    </row>
    <row r="384" spans="2:97">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c r="AV384" s="25"/>
      <c r="AW384" s="25"/>
      <c r="AX384" s="25"/>
      <c r="AY384" s="25"/>
      <c r="AZ384" s="25"/>
      <c r="BA384" s="25"/>
      <c r="BB384" s="25"/>
      <c r="BC384" s="25"/>
      <c r="BD384" s="25"/>
      <c r="BE384" s="25"/>
      <c r="BF384" s="25"/>
      <c r="BG384" s="25"/>
      <c r="BH384" s="25"/>
      <c r="BI384" s="25"/>
      <c r="BJ384" s="25"/>
      <c r="BK384" s="25"/>
      <c r="BL384" s="25"/>
      <c r="BM384" s="25"/>
      <c r="BN384" s="25"/>
      <c r="BO384" s="25"/>
      <c r="BP384" s="25"/>
      <c r="BQ384" s="25"/>
      <c r="BR384" s="25"/>
      <c r="BS384" s="25"/>
      <c r="BT384" s="25"/>
      <c r="BU384" s="25"/>
      <c r="BV384" s="25"/>
      <c r="BW384" s="25"/>
      <c r="BX384" s="25"/>
      <c r="BY384" s="25"/>
      <c r="BZ384" s="25"/>
      <c r="CA384" s="25"/>
      <c r="CB384" s="25"/>
      <c r="CC384" s="25"/>
      <c r="CD384" s="25"/>
      <c r="CE384" s="25"/>
      <c r="CF384" s="25"/>
      <c r="CG384" s="25"/>
      <c r="CH384" s="25"/>
      <c r="CI384" s="25"/>
      <c r="CJ384" s="25"/>
      <c r="CK384" s="25"/>
      <c r="CL384" s="25"/>
      <c r="CM384" s="25"/>
      <c r="CN384" s="25"/>
      <c r="CO384" s="25"/>
      <c r="CP384" s="25"/>
      <c r="CQ384" s="25"/>
      <c r="CR384" s="25"/>
      <c r="CS384" s="25"/>
    </row>
    <row r="385" spans="2:97">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c r="AV385" s="25"/>
      <c r="AW385" s="25"/>
      <c r="AX385" s="25"/>
      <c r="AY385" s="25"/>
      <c r="AZ385" s="25"/>
      <c r="BA385" s="25"/>
      <c r="BB385" s="25"/>
      <c r="BC385" s="25"/>
      <c r="BD385" s="25"/>
      <c r="BE385" s="25"/>
      <c r="BF385" s="25"/>
      <c r="BG385" s="25"/>
      <c r="BH385" s="25"/>
      <c r="BI385" s="25"/>
      <c r="BJ385" s="25"/>
      <c r="BK385" s="25"/>
      <c r="BL385" s="25"/>
      <c r="BM385" s="25"/>
      <c r="BN385" s="25"/>
      <c r="BO385" s="25"/>
      <c r="BP385" s="25"/>
      <c r="BQ385" s="25"/>
      <c r="BR385" s="25"/>
      <c r="BS385" s="25"/>
      <c r="BT385" s="25"/>
      <c r="BU385" s="25"/>
      <c r="BV385" s="25"/>
      <c r="BW385" s="25"/>
      <c r="BX385" s="25"/>
      <c r="BY385" s="25"/>
      <c r="BZ385" s="25"/>
      <c r="CA385" s="25"/>
      <c r="CB385" s="25"/>
      <c r="CC385" s="25"/>
      <c r="CD385" s="25"/>
      <c r="CE385" s="25"/>
      <c r="CF385" s="25"/>
      <c r="CG385" s="25"/>
      <c r="CH385" s="25"/>
      <c r="CI385" s="25"/>
      <c r="CJ385" s="25"/>
      <c r="CK385" s="25"/>
      <c r="CL385" s="25"/>
      <c r="CM385" s="25"/>
      <c r="CN385" s="25"/>
      <c r="CO385" s="25"/>
      <c r="CP385" s="25"/>
      <c r="CQ385" s="25"/>
      <c r="CR385" s="25"/>
      <c r="CS385" s="25"/>
    </row>
    <row r="386" spans="2:97">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c r="AV386" s="25"/>
      <c r="AW386" s="25"/>
      <c r="AX386" s="25"/>
      <c r="AY386" s="25"/>
      <c r="AZ386" s="25"/>
      <c r="BA386" s="25"/>
      <c r="BB386" s="25"/>
      <c r="BC386" s="25"/>
      <c r="BD386" s="25"/>
      <c r="BE386" s="25"/>
      <c r="BF386" s="25"/>
      <c r="BG386" s="25"/>
      <c r="BH386" s="25"/>
      <c r="BI386" s="25"/>
      <c r="BJ386" s="25"/>
      <c r="BK386" s="25"/>
      <c r="BL386" s="25"/>
      <c r="BM386" s="25"/>
      <c r="BN386" s="25"/>
      <c r="BO386" s="25"/>
      <c r="BP386" s="25"/>
      <c r="BQ386" s="25"/>
      <c r="BR386" s="25"/>
      <c r="BS386" s="25"/>
      <c r="BT386" s="25"/>
      <c r="BU386" s="25"/>
      <c r="BV386" s="25"/>
      <c r="BW386" s="25"/>
      <c r="BX386" s="25"/>
      <c r="BY386" s="25"/>
      <c r="BZ386" s="25"/>
      <c r="CA386" s="25"/>
      <c r="CB386" s="25"/>
      <c r="CC386" s="25"/>
      <c r="CD386" s="25"/>
      <c r="CE386" s="25"/>
      <c r="CF386" s="25"/>
      <c r="CG386" s="25"/>
      <c r="CH386" s="25"/>
      <c r="CI386" s="25"/>
      <c r="CJ386" s="25"/>
      <c r="CK386" s="25"/>
      <c r="CL386" s="25"/>
      <c r="CM386" s="25"/>
      <c r="CN386" s="25"/>
      <c r="CO386" s="25"/>
      <c r="CP386" s="25"/>
      <c r="CQ386" s="25"/>
      <c r="CR386" s="25"/>
      <c r="CS386" s="25"/>
    </row>
    <row r="387" spans="2:97">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c r="AV387" s="25"/>
      <c r="AW387" s="25"/>
      <c r="AX387" s="25"/>
      <c r="AY387" s="25"/>
      <c r="AZ387" s="25"/>
      <c r="BA387" s="25"/>
      <c r="BB387" s="25"/>
      <c r="BC387" s="25"/>
      <c r="BD387" s="25"/>
      <c r="BE387" s="25"/>
      <c r="BF387" s="25"/>
      <c r="BG387" s="25"/>
      <c r="BH387" s="25"/>
      <c r="BI387" s="25"/>
      <c r="BJ387" s="25"/>
      <c r="BK387" s="25"/>
      <c r="BL387" s="25"/>
      <c r="BM387" s="25"/>
      <c r="BN387" s="25"/>
      <c r="BO387" s="25"/>
      <c r="BP387" s="25"/>
      <c r="BQ387" s="25"/>
      <c r="BR387" s="25"/>
      <c r="BS387" s="25"/>
      <c r="BT387" s="25"/>
      <c r="BU387" s="25"/>
      <c r="BV387" s="25"/>
      <c r="BW387" s="25"/>
      <c r="BX387" s="25"/>
      <c r="BY387" s="25"/>
      <c r="BZ387" s="25"/>
      <c r="CA387" s="25"/>
      <c r="CB387" s="25"/>
      <c r="CC387" s="25"/>
      <c r="CD387" s="25"/>
      <c r="CE387" s="25"/>
      <c r="CF387" s="25"/>
      <c r="CG387" s="25"/>
      <c r="CH387" s="25"/>
      <c r="CI387" s="25"/>
      <c r="CJ387" s="25"/>
      <c r="CK387" s="25"/>
      <c r="CL387" s="25"/>
      <c r="CM387" s="25"/>
      <c r="CN387" s="25"/>
      <c r="CO387" s="25"/>
      <c r="CP387" s="25"/>
      <c r="CQ387" s="25"/>
      <c r="CR387" s="25"/>
      <c r="CS387" s="25"/>
    </row>
    <row r="388" spans="2:97">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c r="AV388" s="25"/>
      <c r="AW388" s="25"/>
      <c r="AX388" s="25"/>
      <c r="AY388" s="25"/>
      <c r="AZ388" s="25"/>
      <c r="BA388" s="25"/>
      <c r="BB388" s="25"/>
      <c r="BC388" s="25"/>
      <c r="BD388" s="25"/>
      <c r="BE388" s="25"/>
      <c r="BF388" s="25"/>
      <c r="BG388" s="25"/>
      <c r="BH388" s="25"/>
      <c r="BI388" s="25"/>
      <c r="BJ388" s="25"/>
      <c r="BK388" s="25"/>
      <c r="BL388" s="25"/>
      <c r="BM388" s="25"/>
      <c r="BN388" s="25"/>
      <c r="BO388" s="25"/>
      <c r="BP388" s="25"/>
      <c r="BQ388" s="25"/>
      <c r="BR388" s="25"/>
      <c r="BS388" s="25"/>
      <c r="BT388" s="25"/>
      <c r="BU388" s="25"/>
      <c r="BV388" s="25"/>
      <c r="BW388" s="25"/>
      <c r="BX388" s="25"/>
      <c r="BY388" s="25"/>
      <c r="BZ388" s="25"/>
      <c r="CA388" s="25"/>
      <c r="CB388" s="25"/>
      <c r="CC388" s="25"/>
      <c r="CD388" s="25"/>
      <c r="CE388" s="25"/>
      <c r="CF388" s="25"/>
      <c r="CG388" s="25"/>
      <c r="CH388" s="25"/>
      <c r="CI388" s="25"/>
      <c r="CJ388" s="25"/>
      <c r="CK388" s="25"/>
      <c r="CL388" s="25"/>
      <c r="CM388" s="25"/>
      <c r="CN388" s="25"/>
      <c r="CO388" s="25"/>
      <c r="CP388" s="25"/>
      <c r="CQ388" s="25"/>
      <c r="CR388" s="25"/>
      <c r="CS388" s="25"/>
    </row>
    <row r="389" spans="2:97">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c r="AV389" s="25"/>
      <c r="AW389" s="25"/>
      <c r="AX389" s="25"/>
      <c r="AY389" s="25"/>
      <c r="AZ389" s="25"/>
      <c r="BA389" s="25"/>
      <c r="BB389" s="25"/>
      <c r="BC389" s="25"/>
      <c r="BD389" s="25"/>
      <c r="BE389" s="25"/>
      <c r="BF389" s="25"/>
      <c r="BG389" s="25"/>
      <c r="BH389" s="25"/>
      <c r="BI389" s="25"/>
      <c r="BJ389" s="25"/>
      <c r="BK389" s="25"/>
      <c r="BL389" s="25"/>
      <c r="BM389" s="25"/>
      <c r="BN389" s="25"/>
      <c r="BO389" s="25"/>
      <c r="BP389" s="25"/>
      <c r="BQ389" s="25"/>
      <c r="BR389" s="25"/>
      <c r="BS389" s="25"/>
      <c r="BT389" s="25"/>
      <c r="BU389" s="25"/>
      <c r="BV389" s="25"/>
      <c r="BW389" s="25"/>
      <c r="BX389" s="25"/>
      <c r="BY389" s="25"/>
      <c r="BZ389" s="25"/>
      <c r="CA389" s="25"/>
      <c r="CB389" s="25"/>
      <c r="CC389" s="25"/>
      <c r="CD389" s="25"/>
      <c r="CE389" s="25"/>
      <c r="CF389" s="25"/>
      <c r="CG389" s="25"/>
      <c r="CH389" s="25"/>
      <c r="CI389" s="25"/>
      <c r="CJ389" s="25"/>
      <c r="CK389" s="25"/>
      <c r="CL389" s="25"/>
      <c r="CM389" s="25"/>
      <c r="CN389" s="25"/>
      <c r="CO389" s="25"/>
      <c r="CP389" s="25"/>
      <c r="CQ389" s="25"/>
      <c r="CR389" s="25"/>
      <c r="CS389" s="25"/>
    </row>
    <row r="390" spans="2:97">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c r="AV390" s="25"/>
      <c r="AW390" s="25"/>
      <c r="AX390" s="25"/>
      <c r="AY390" s="25"/>
      <c r="AZ390" s="25"/>
      <c r="BA390" s="25"/>
      <c r="BB390" s="25"/>
      <c r="BC390" s="25"/>
      <c r="BD390" s="25"/>
      <c r="BE390" s="25"/>
      <c r="BF390" s="25"/>
      <c r="BG390" s="25"/>
      <c r="BH390" s="25"/>
      <c r="BI390" s="25"/>
      <c r="BJ390" s="25"/>
      <c r="BK390" s="25"/>
      <c r="BL390" s="25"/>
      <c r="BM390" s="25"/>
      <c r="BN390" s="25"/>
      <c r="BO390" s="25"/>
      <c r="BP390" s="25"/>
      <c r="BQ390" s="25"/>
      <c r="BR390" s="25"/>
      <c r="BS390" s="25"/>
      <c r="BT390" s="25"/>
      <c r="BU390" s="25"/>
      <c r="BV390" s="25"/>
      <c r="BW390" s="25"/>
      <c r="BX390" s="25"/>
      <c r="BY390" s="25"/>
      <c r="BZ390" s="25"/>
      <c r="CA390" s="25"/>
      <c r="CB390" s="25"/>
      <c r="CC390" s="25"/>
      <c r="CD390" s="25"/>
      <c r="CE390" s="25"/>
      <c r="CF390" s="25"/>
      <c r="CG390" s="25"/>
      <c r="CH390" s="25"/>
      <c r="CI390" s="25"/>
      <c r="CJ390" s="25"/>
      <c r="CK390" s="25"/>
      <c r="CL390" s="25"/>
      <c r="CM390" s="25"/>
      <c r="CN390" s="25"/>
      <c r="CO390" s="25"/>
      <c r="CP390" s="25"/>
      <c r="CQ390" s="25"/>
      <c r="CR390" s="25"/>
      <c r="CS390" s="25"/>
    </row>
    <row r="391" spans="2:97">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c r="AV391" s="25"/>
      <c r="AW391" s="25"/>
      <c r="AX391" s="25"/>
      <c r="AY391" s="25"/>
      <c r="AZ391" s="25"/>
      <c r="BA391" s="25"/>
      <c r="BB391" s="25"/>
      <c r="BC391" s="25"/>
      <c r="BD391" s="25"/>
      <c r="BE391" s="25"/>
      <c r="BF391" s="25"/>
      <c r="BG391" s="25"/>
      <c r="BH391" s="25"/>
      <c r="BI391" s="25"/>
      <c r="BJ391" s="25"/>
      <c r="BK391" s="25"/>
      <c r="BL391" s="25"/>
      <c r="BM391" s="25"/>
      <c r="BN391" s="25"/>
      <c r="BO391" s="25"/>
      <c r="BP391" s="25"/>
      <c r="BQ391" s="25"/>
      <c r="BR391" s="25"/>
      <c r="BS391" s="25"/>
      <c r="BT391" s="25"/>
      <c r="BU391" s="25"/>
      <c r="BV391" s="25"/>
      <c r="BW391" s="25"/>
      <c r="BX391" s="25"/>
      <c r="BY391" s="25"/>
      <c r="BZ391" s="25"/>
      <c r="CA391" s="25"/>
      <c r="CB391" s="25"/>
      <c r="CC391" s="25"/>
      <c r="CD391" s="25"/>
      <c r="CE391" s="25"/>
      <c r="CF391" s="25"/>
      <c r="CG391" s="25"/>
      <c r="CH391" s="25"/>
      <c r="CI391" s="25"/>
      <c r="CJ391" s="25"/>
      <c r="CK391" s="25"/>
      <c r="CL391" s="25"/>
      <c r="CM391" s="25"/>
      <c r="CN391" s="25"/>
      <c r="CO391" s="25"/>
      <c r="CP391" s="25"/>
      <c r="CQ391" s="25"/>
      <c r="CR391" s="25"/>
      <c r="CS391" s="25"/>
    </row>
    <row r="392" spans="2:97">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c r="AV392" s="25"/>
      <c r="AW392" s="25"/>
      <c r="AX392" s="25"/>
      <c r="AY392" s="25"/>
      <c r="AZ392" s="25"/>
      <c r="BA392" s="25"/>
      <c r="BB392" s="25"/>
      <c r="BC392" s="25"/>
      <c r="BD392" s="25"/>
      <c r="BE392" s="25"/>
      <c r="BF392" s="25"/>
      <c r="BG392" s="25"/>
      <c r="BH392" s="25"/>
      <c r="BI392" s="25"/>
      <c r="BJ392" s="25"/>
      <c r="BK392" s="25"/>
      <c r="BL392" s="25"/>
      <c r="BM392" s="25"/>
      <c r="BN392" s="25"/>
      <c r="BO392" s="25"/>
      <c r="BP392" s="25"/>
      <c r="BQ392" s="25"/>
      <c r="BR392" s="25"/>
      <c r="BS392" s="25"/>
      <c r="BT392" s="25"/>
      <c r="BU392" s="25"/>
      <c r="BV392" s="25"/>
      <c r="BW392" s="25"/>
      <c r="BX392" s="25"/>
      <c r="BY392" s="25"/>
      <c r="BZ392" s="25"/>
      <c r="CA392" s="25"/>
      <c r="CB392" s="25"/>
      <c r="CC392" s="25"/>
      <c r="CD392" s="25"/>
      <c r="CE392" s="25"/>
      <c r="CF392" s="25"/>
      <c r="CG392" s="25"/>
      <c r="CH392" s="25"/>
      <c r="CI392" s="25"/>
      <c r="CJ392" s="25"/>
      <c r="CK392" s="25"/>
      <c r="CL392" s="25"/>
      <c r="CM392" s="25"/>
      <c r="CN392" s="25"/>
      <c r="CO392" s="25"/>
      <c r="CP392" s="25"/>
      <c r="CQ392" s="25"/>
      <c r="CR392" s="25"/>
      <c r="CS392" s="25"/>
    </row>
    <row r="393" spans="2:97">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c r="AV393" s="25"/>
      <c r="AW393" s="25"/>
      <c r="AX393" s="25"/>
      <c r="AY393" s="25"/>
      <c r="AZ393" s="25"/>
      <c r="BA393" s="25"/>
      <c r="BB393" s="25"/>
      <c r="BC393" s="25"/>
      <c r="BD393" s="25"/>
      <c r="BE393" s="25"/>
      <c r="BF393" s="25"/>
      <c r="BG393" s="25"/>
      <c r="BH393" s="25"/>
      <c r="BI393" s="25"/>
      <c r="BJ393" s="25"/>
      <c r="BK393" s="25"/>
      <c r="BL393" s="25"/>
      <c r="BM393" s="25"/>
      <c r="BN393" s="25"/>
      <c r="BO393" s="25"/>
      <c r="BP393" s="25"/>
      <c r="BQ393" s="25"/>
      <c r="BR393" s="25"/>
      <c r="BS393" s="25"/>
      <c r="BT393" s="25"/>
      <c r="BU393" s="25"/>
      <c r="BV393" s="25"/>
      <c r="BW393" s="25"/>
      <c r="BX393" s="25"/>
      <c r="BY393" s="25"/>
      <c r="BZ393" s="25"/>
      <c r="CA393" s="25"/>
      <c r="CB393" s="25"/>
      <c r="CC393" s="25"/>
      <c r="CD393" s="25"/>
      <c r="CE393" s="25"/>
      <c r="CF393" s="25"/>
      <c r="CG393" s="25"/>
      <c r="CH393" s="25"/>
      <c r="CI393" s="25"/>
      <c r="CJ393" s="25"/>
      <c r="CK393" s="25"/>
      <c r="CL393" s="25"/>
      <c r="CM393" s="25"/>
      <c r="CN393" s="25"/>
      <c r="CO393" s="25"/>
      <c r="CP393" s="25"/>
      <c r="CQ393" s="25"/>
      <c r="CR393" s="25"/>
      <c r="CS393" s="25"/>
    </row>
    <row r="394" spans="2:97">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c r="AV394" s="25"/>
      <c r="AW394" s="25"/>
      <c r="AX394" s="25"/>
      <c r="AY394" s="25"/>
      <c r="AZ394" s="25"/>
      <c r="BA394" s="25"/>
      <c r="BB394" s="25"/>
      <c r="BC394" s="25"/>
      <c r="BD394" s="25"/>
      <c r="BE394" s="25"/>
      <c r="BF394" s="25"/>
      <c r="BG394" s="25"/>
      <c r="BH394" s="25"/>
      <c r="BI394" s="25"/>
      <c r="BJ394" s="25"/>
      <c r="BK394" s="25"/>
      <c r="BL394" s="25"/>
      <c r="BM394" s="25"/>
      <c r="BN394" s="25"/>
      <c r="BO394" s="25"/>
      <c r="BP394" s="25"/>
      <c r="BQ394" s="25"/>
      <c r="BR394" s="25"/>
      <c r="BS394" s="25"/>
      <c r="BT394" s="25"/>
      <c r="BU394" s="25"/>
      <c r="BV394" s="25"/>
      <c r="BW394" s="25"/>
      <c r="BX394" s="25"/>
      <c r="BY394" s="25"/>
      <c r="BZ394" s="25"/>
      <c r="CA394" s="25"/>
      <c r="CB394" s="25"/>
      <c r="CC394" s="25"/>
      <c r="CD394" s="25"/>
      <c r="CE394" s="25"/>
      <c r="CF394" s="25"/>
      <c r="CG394" s="25"/>
      <c r="CH394" s="25"/>
      <c r="CI394" s="25"/>
      <c r="CJ394" s="25"/>
      <c r="CK394" s="25"/>
      <c r="CL394" s="25"/>
      <c r="CM394" s="25"/>
      <c r="CN394" s="25"/>
      <c r="CO394" s="25"/>
      <c r="CP394" s="25"/>
      <c r="CQ394" s="25"/>
      <c r="CR394" s="25"/>
      <c r="CS394" s="25"/>
    </row>
    <row r="395" spans="2:97">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c r="AV395" s="25"/>
      <c r="AW395" s="25"/>
      <c r="AX395" s="25"/>
      <c r="AY395" s="25"/>
      <c r="AZ395" s="25"/>
      <c r="BA395" s="25"/>
      <c r="BB395" s="25"/>
      <c r="BC395" s="25"/>
      <c r="BD395" s="25"/>
      <c r="BE395" s="25"/>
      <c r="BF395" s="25"/>
      <c r="BG395" s="25"/>
      <c r="BH395" s="25"/>
      <c r="BI395" s="25"/>
      <c r="BJ395" s="25"/>
      <c r="BK395" s="25"/>
      <c r="BL395" s="25"/>
      <c r="BM395" s="25"/>
      <c r="BN395" s="25"/>
      <c r="BO395" s="25"/>
      <c r="BP395" s="25"/>
      <c r="BQ395" s="25"/>
      <c r="BR395" s="25"/>
      <c r="BS395" s="25"/>
      <c r="BT395" s="25"/>
      <c r="BU395" s="25"/>
      <c r="BV395" s="25"/>
      <c r="BW395" s="25"/>
      <c r="BX395" s="25"/>
      <c r="BY395" s="25"/>
      <c r="BZ395" s="25"/>
      <c r="CA395" s="25"/>
      <c r="CB395" s="25"/>
      <c r="CC395" s="25"/>
      <c r="CD395" s="25"/>
      <c r="CE395" s="25"/>
      <c r="CF395" s="25"/>
      <c r="CG395" s="25"/>
      <c r="CH395" s="25"/>
      <c r="CI395" s="25"/>
      <c r="CJ395" s="25"/>
      <c r="CK395" s="25"/>
      <c r="CL395" s="25"/>
      <c r="CM395" s="25"/>
      <c r="CN395" s="25"/>
      <c r="CO395" s="25"/>
      <c r="CP395" s="25"/>
      <c r="CQ395" s="25"/>
      <c r="CR395" s="25"/>
      <c r="CS395" s="25"/>
    </row>
    <row r="396" spans="2:97">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c r="AV396" s="25"/>
      <c r="AW396" s="25"/>
      <c r="AX396" s="25"/>
      <c r="AY396" s="25"/>
      <c r="AZ396" s="25"/>
      <c r="BA396" s="25"/>
      <c r="BB396" s="25"/>
      <c r="BC396" s="25"/>
      <c r="BD396" s="25"/>
      <c r="BE396" s="25"/>
      <c r="BF396" s="25"/>
      <c r="BG396" s="25"/>
      <c r="BH396" s="25"/>
      <c r="BI396" s="25"/>
      <c r="BJ396" s="25"/>
      <c r="BK396" s="25"/>
      <c r="BL396" s="25"/>
      <c r="BM396" s="25"/>
      <c r="BN396" s="25"/>
      <c r="BO396" s="25"/>
      <c r="BP396" s="25"/>
      <c r="BQ396" s="25"/>
      <c r="BR396" s="25"/>
      <c r="BS396" s="25"/>
      <c r="BT396" s="25"/>
      <c r="BU396" s="25"/>
      <c r="BV396" s="25"/>
      <c r="BW396" s="25"/>
      <c r="BX396" s="25"/>
      <c r="BY396" s="25"/>
      <c r="BZ396" s="25"/>
      <c r="CA396" s="25"/>
      <c r="CB396" s="25"/>
      <c r="CC396" s="25"/>
      <c r="CD396" s="25"/>
      <c r="CE396" s="25"/>
      <c r="CF396" s="25"/>
      <c r="CG396" s="25"/>
      <c r="CH396" s="25"/>
      <c r="CI396" s="25"/>
      <c r="CJ396" s="25"/>
      <c r="CK396" s="25"/>
      <c r="CL396" s="25"/>
      <c r="CM396" s="25"/>
      <c r="CN396" s="25"/>
      <c r="CO396" s="25"/>
      <c r="CP396" s="25"/>
      <c r="CQ396" s="25"/>
      <c r="CR396" s="25"/>
      <c r="CS396" s="25"/>
    </row>
    <row r="397" spans="2:97">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c r="AV397" s="25"/>
      <c r="AW397" s="25"/>
      <c r="AX397" s="25"/>
      <c r="AY397" s="25"/>
      <c r="AZ397" s="25"/>
      <c r="BA397" s="25"/>
      <c r="BB397" s="25"/>
      <c r="BC397" s="25"/>
      <c r="BD397" s="25"/>
      <c r="BE397" s="25"/>
      <c r="BF397" s="25"/>
      <c r="BG397" s="25"/>
      <c r="BH397" s="25"/>
      <c r="BI397" s="25"/>
      <c r="BJ397" s="25"/>
      <c r="BK397" s="25"/>
      <c r="BL397" s="25"/>
      <c r="BM397" s="25"/>
      <c r="BN397" s="25"/>
      <c r="BO397" s="25"/>
      <c r="BP397" s="25"/>
      <c r="BQ397" s="25"/>
      <c r="BR397" s="25"/>
      <c r="BS397" s="25"/>
      <c r="BT397" s="25"/>
      <c r="BU397" s="25"/>
      <c r="BV397" s="25"/>
      <c r="BW397" s="25"/>
      <c r="BX397" s="25"/>
      <c r="BY397" s="25"/>
      <c r="BZ397" s="25"/>
      <c r="CA397" s="25"/>
      <c r="CB397" s="25"/>
      <c r="CC397" s="25"/>
      <c r="CD397" s="25"/>
      <c r="CE397" s="25"/>
      <c r="CF397" s="25"/>
      <c r="CG397" s="25"/>
      <c r="CH397" s="25"/>
      <c r="CI397" s="25"/>
      <c r="CJ397" s="25"/>
      <c r="CK397" s="25"/>
      <c r="CL397" s="25"/>
      <c r="CM397" s="25"/>
      <c r="CN397" s="25"/>
      <c r="CO397" s="25"/>
      <c r="CP397" s="25"/>
      <c r="CQ397" s="25"/>
      <c r="CR397" s="25"/>
      <c r="CS397" s="25"/>
    </row>
    <row r="398" spans="2:97">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c r="AV398" s="25"/>
      <c r="AW398" s="25"/>
      <c r="AX398" s="25"/>
      <c r="AY398" s="25"/>
      <c r="AZ398" s="25"/>
      <c r="BA398" s="25"/>
      <c r="BB398" s="25"/>
      <c r="BC398" s="25"/>
      <c r="BD398" s="25"/>
      <c r="BE398" s="25"/>
      <c r="BF398" s="25"/>
      <c r="BG398" s="25"/>
      <c r="BH398" s="25"/>
      <c r="BI398" s="25"/>
      <c r="BJ398" s="25"/>
      <c r="BK398" s="25"/>
      <c r="BL398" s="25"/>
      <c r="BM398" s="25"/>
      <c r="BN398" s="25"/>
      <c r="BO398" s="25"/>
      <c r="BP398" s="25"/>
      <c r="BQ398" s="25"/>
      <c r="BR398" s="25"/>
      <c r="BS398" s="25"/>
      <c r="BT398" s="25"/>
      <c r="BU398" s="25"/>
      <c r="BV398" s="25"/>
      <c r="BW398" s="25"/>
      <c r="BX398" s="25"/>
      <c r="BY398" s="25"/>
      <c r="BZ398" s="25"/>
      <c r="CA398" s="25"/>
      <c r="CB398" s="25"/>
      <c r="CC398" s="25"/>
      <c r="CD398" s="25"/>
      <c r="CE398" s="25"/>
      <c r="CF398" s="25"/>
      <c r="CG398" s="25"/>
      <c r="CH398" s="25"/>
      <c r="CI398" s="25"/>
      <c r="CJ398" s="25"/>
      <c r="CK398" s="25"/>
      <c r="CL398" s="25"/>
      <c r="CM398" s="25"/>
      <c r="CN398" s="25"/>
      <c r="CO398" s="25"/>
      <c r="CP398" s="25"/>
      <c r="CQ398" s="25"/>
      <c r="CR398" s="25"/>
      <c r="CS398" s="25"/>
    </row>
    <row r="399" spans="2:97">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c r="AV399" s="25"/>
      <c r="AW399" s="25"/>
      <c r="AX399" s="25"/>
      <c r="AY399" s="25"/>
      <c r="AZ399" s="25"/>
      <c r="BA399" s="25"/>
      <c r="BB399" s="25"/>
      <c r="BC399" s="25"/>
      <c r="BD399" s="25"/>
      <c r="BE399" s="25"/>
      <c r="BF399" s="25"/>
      <c r="BG399" s="25"/>
      <c r="BH399" s="25"/>
      <c r="BI399" s="25"/>
      <c r="BJ399" s="25"/>
      <c r="BK399" s="25"/>
      <c r="BL399" s="25"/>
      <c r="BM399" s="25"/>
      <c r="BN399" s="25"/>
      <c r="BO399" s="25"/>
      <c r="BP399" s="25"/>
      <c r="BQ399" s="25"/>
      <c r="BR399" s="25"/>
      <c r="BS399" s="25"/>
      <c r="BT399" s="25"/>
      <c r="BU399" s="25"/>
      <c r="BV399" s="25"/>
      <c r="BW399" s="25"/>
      <c r="BX399" s="25"/>
      <c r="BY399" s="25"/>
      <c r="BZ399" s="25"/>
      <c r="CA399" s="25"/>
      <c r="CB399" s="25"/>
      <c r="CC399" s="25"/>
      <c r="CD399" s="25"/>
      <c r="CE399" s="25"/>
      <c r="CF399" s="25"/>
      <c r="CG399" s="25"/>
      <c r="CH399" s="25"/>
      <c r="CI399" s="25"/>
      <c r="CJ399" s="25"/>
      <c r="CK399" s="25"/>
      <c r="CL399" s="25"/>
      <c r="CM399" s="25"/>
      <c r="CN399" s="25"/>
      <c r="CO399" s="25"/>
      <c r="CP399" s="25"/>
      <c r="CQ399" s="25"/>
      <c r="CR399" s="25"/>
      <c r="CS399" s="25"/>
    </row>
    <row r="400" spans="2:97">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c r="AV400" s="25"/>
      <c r="AW400" s="25"/>
      <c r="AX400" s="25"/>
      <c r="AY400" s="25"/>
      <c r="AZ400" s="25"/>
      <c r="BA400" s="25"/>
      <c r="BB400" s="25"/>
      <c r="BC400" s="25"/>
      <c r="BD400" s="25"/>
      <c r="BE400" s="25"/>
      <c r="BF400" s="25"/>
      <c r="BG400" s="25"/>
      <c r="BH400" s="25"/>
      <c r="BI400" s="25"/>
      <c r="BJ400" s="25"/>
      <c r="BK400" s="25"/>
      <c r="BL400" s="25"/>
      <c r="BM400" s="25"/>
      <c r="BN400" s="25"/>
      <c r="BO400" s="25"/>
      <c r="BP400" s="25"/>
      <c r="BQ400" s="25"/>
      <c r="BR400" s="25"/>
      <c r="BS400" s="25"/>
      <c r="BT400" s="25"/>
      <c r="BU400" s="25"/>
      <c r="BV400" s="25"/>
      <c r="BW400" s="25"/>
      <c r="BX400" s="25"/>
      <c r="BY400" s="25"/>
      <c r="BZ400" s="25"/>
      <c r="CA400" s="25"/>
      <c r="CB400" s="25"/>
      <c r="CC400" s="25"/>
      <c r="CD400" s="25"/>
      <c r="CE400" s="25"/>
      <c r="CF400" s="25"/>
      <c r="CG400" s="25"/>
      <c r="CH400" s="25"/>
      <c r="CI400" s="25"/>
      <c r="CJ400" s="25"/>
      <c r="CK400" s="25"/>
      <c r="CL400" s="25"/>
      <c r="CM400" s="25"/>
      <c r="CN400" s="25"/>
      <c r="CO400" s="25"/>
      <c r="CP400" s="25"/>
      <c r="CQ400" s="25"/>
      <c r="CR400" s="25"/>
      <c r="CS400" s="25"/>
    </row>
    <row r="401" spans="2:97">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c r="AV401" s="25"/>
      <c r="AW401" s="25"/>
      <c r="AX401" s="25"/>
      <c r="AY401" s="25"/>
      <c r="AZ401" s="25"/>
      <c r="BA401" s="25"/>
      <c r="BB401" s="25"/>
      <c r="BC401" s="25"/>
      <c r="BD401" s="25"/>
      <c r="BE401" s="25"/>
      <c r="BF401" s="25"/>
      <c r="BG401" s="25"/>
      <c r="BH401" s="25"/>
      <c r="BI401" s="25"/>
      <c r="BJ401" s="25"/>
      <c r="BK401" s="25"/>
      <c r="BL401" s="25"/>
      <c r="BM401" s="25"/>
      <c r="BN401" s="25"/>
      <c r="BO401" s="25"/>
      <c r="BP401" s="25"/>
      <c r="BQ401" s="25"/>
      <c r="BR401" s="25"/>
      <c r="BS401" s="25"/>
      <c r="BT401" s="25"/>
      <c r="BU401" s="25"/>
      <c r="BV401" s="25"/>
      <c r="BW401" s="25"/>
      <c r="BX401" s="25"/>
      <c r="BY401" s="25"/>
      <c r="BZ401" s="25"/>
      <c r="CA401" s="25"/>
      <c r="CB401" s="25"/>
      <c r="CC401" s="25"/>
      <c r="CD401" s="25"/>
      <c r="CE401" s="25"/>
      <c r="CF401" s="25"/>
      <c r="CG401" s="25"/>
      <c r="CH401" s="25"/>
      <c r="CI401" s="25"/>
      <c r="CJ401" s="25"/>
      <c r="CK401" s="25"/>
      <c r="CL401" s="25"/>
      <c r="CM401" s="25"/>
      <c r="CN401" s="25"/>
      <c r="CO401" s="25"/>
      <c r="CP401" s="25"/>
      <c r="CQ401" s="25"/>
      <c r="CR401" s="25"/>
      <c r="CS401" s="25"/>
    </row>
    <row r="402" spans="2:97">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c r="AV402" s="25"/>
      <c r="AW402" s="25"/>
      <c r="AX402" s="25"/>
      <c r="AY402" s="25"/>
      <c r="AZ402" s="25"/>
      <c r="BA402" s="25"/>
      <c r="BB402" s="25"/>
      <c r="BC402" s="25"/>
      <c r="BD402" s="25"/>
      <c r="BE402" s="25"/>
      <c r="BF402" s="25"/>
      <c r="BG402" s="25"/>
      <c r="BH402" s="25"/>
      <c r="BI402" s="25"/>
      <c r="BJ402" s="25"/>
      <c r="BK402" s="25"/>
      <c r="BL402" s="25"/>
      <c r="BM402" s="25"/>
      <c r="BN402" s="25"/>
      <c r="BO402" s="25"/>
      <c r="BP402" s="25"/>
      <c r="BQ402" s="25"/>
      <c r="BR402" s="25"/>
      <c r="BS402" s="25"/>
      <c r="BT402" s="25"/>
      <c r="BU402" s="25"/>
      <c r="BV402" s="25"/>
      <c r="BW402" s="25"/>
      <c r="BX402" s="25"/>
      <c r="BY402" s="25"/>
      <c r="BZ402" s="25"/>
      <c r="CA402" s="25"/>
      <c r="CB402" s="25"/>
      <c r="CC402" s="25"/>
      <c r="CD402" s="25"/>
      <c r="CE402" s="25"/>
      <c r="CF402" s="25"/>
      <c r="CG402" s="25"/>
      <c r="CH402" s="25"/>
      <c r="CI402" s="25"/>
      <c r="CJ402" s="25"/>
      <c r="CK402" s="25"/>
      <c r="CL402" s="25"/>
      <c r="CM402" s="25"/>
      <c r="CN402" s="25"/>
      <c r="CO402" s="25"/>
      <c r="CP402" s="25"/>
      <c r="CQ402" s="25"/>
      <c r="CR402" s="25"/>
      <c r="CS402" s="25"/>
    </row>
    <row r="403" spans="2:97">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c r="AV403" s="25"/>
      <c r="AW403" s="25"/>
      <c r="AX403" s="25"/>
      <c r="AY403" s="25"/>
      <c r="AZ403" s="25"/>
      <c r="BA403" s="25"/>
      <c r="BB403" s="25"/>
      <c r="BC403" s="25"/>
      <c r="BD403" s="25"/>
      <c r="BE403" s="25"/>
      <c r="BF403" s="25"/>
      <c r="BG403" s="25"/>
      <c r="BH403" s="25"/>
      <c r="BI403" s="25"/>
      <c r="BJ403" s="25"/>
      <c r="BK403" s="25"/>
      <c r="BL403" s="25"/>
      <c r="BM403" s="25"/>
      <c r="BN403" s="25"/>
      <c r="BO403" s="25"/>
      <c r="BP403" s="25"/>
      <c r="BQ403" s="25"/>
      <c r="BR403" s="25"/>
      <c r="BS403" s="25"/>
      <c r="BT403" s="25"/>
      <c r="BU403" s="25"/>
      <c r="BV403" s="25"/>
      <c r="BW403" s="25"/>
      <c r="BX403" s="25"/>
      <c r="BY403" s="25"/>
      <c r="BZ403" s="25"/>
      <c r="CA403" s="25"/>
      <c r="CB403" s="25"/>
      <c r="CC403" s="25"/>
      <c r="CD403" s="25"/>
      <c r="CE403" s="25"/>
      <c r="CF403" s="25"/>
      <c r="CG403" s="25"/>
      <c r="CH403" s="25"/>
      <c r="CI403" s="25"/>
      <c r="CJ403" s="25"/>
      <c r="CK403" s="25"/>
      <c r="CL403" s="25"/>
      <c r="CM403" s="25"/>
      <c r="CN403" s="25"/>
      <c r="CO403" s="25"/>
      <c r="CP403" s="25"/>
      <c r="CQ403" s="25"/>
      <c r="CR403" s="25"/>
      <c r="CS403" s="25"/>
    </row>
    <row r="404" spans="2:97">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c r="AV404" s="25"/>
      <c r="AW404" s="25"/>
      <c r="AX404" s="25"/>
      <c r="AY404" s="25"/>
      <c r="AZ404" s="25"/>
      <c r="BA404" s="25"/>
      <c r="BB404" s="25"/>
      <c r="BC404" s="25"/>
      <c r="BD404" s="25"/>
      <c r="BE404" s="25"/>
      <c r="BF404" s="25"/>
      <c r="BG404" s="25"/>
      <c r="BH404" s="25"/>
      <c r="BI404" s="25"/>
      <c r="BJ404" s="25"/>
      <c r="BK404" s="25"/>
      <c r="BL404" s="25"/>
      <c r="BM404" s="25"/>
      <c r="BN404" s="25"/>
      <c r="BO404" s="25"/>
      <c r="BP404" s="25"/>
      <c r="BQ404" s="25"/>
      <c r="BR404" s="25"/>
      <c r="BS404" s="25"/>
      <c r="BT404" s="25"/>
      <c r="BU404" s="25"/>
      <c r="BV404" s="25"/>
      <c r="BW404" s="25"/>
      <c r="BX404" s="25"/>
      <c r="BY404" s="25"/>
      <c r="BZ404" s="25"/>
      <c r="CA404" s="25"/>
      <c r="CB404" s="25"/>
      <c r="CC404" s="25"/>
      <c r="CD404" s="25"/>
      <c r="CE404" s="25"/>
      <c r="CF404" s="25"/>
      <c r="CG404" s="25"/>
      <c r="CH404" s="25"/>
      <c r="CI404" s="25"/>
      <c r="CJ404" s="25"/>
      <c r="CK404" s="25"/>
      <c r="CL404" s="25"/>
      <c r="CM404" s="25"/>
      <c r="CN404" s="25"/>
      <c r="CO404" s="25"/>
      <c r="CP404" s="25"/>
      <c r="CQ404" s="25"/>
      <c r="CR404" s="25"/>
      <c r="CS404" s="25"/>
    </row>
    <row r="405" spans="2:97">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c r="AV405" s="25"/>
      <c r="AW405" s="25"/>
      <c r="AX405" s="25"/>
      <c r="AY405" s="25"/>
      <c r="AZ405" s="25"/>
      <c r="BA405" s="25"/>
      <c r="BB405" s="25"/>
      <c r="BC405" s="25"/>
      <c r="BD405" s="25"/>
      <c r="BE405" s="25"/>
      <c r="BF405" s="25"/>
      <c r="BG405" s="25"/>
      <c r="BH405" s="25"/>
      <c r="BI405" s="25"/>
      <c r="BJ405" s="25"/>
      <c r="BK405" s="25"/>
      <c r="BL405" s="25"/>
      <c r="BM405" s="25"/>
      <c r="BN405" s="25"/>
      <c r="BO405" s="25"/>
      <c r="BP405" s="25"/>
      <c r="BQ405" s="25"/>
      <c r="BR405" s="25"/>
      <c r="BS405" s="25"/>
      <c r="BT405" s="25"/>
      <c r="BU405" s="25"/>
      <c r="BV405" s="25"/>
      <c r="BW405" s="25"/>
      <c r="BX405" s="25"/>
      <c r="BY405" s="25"/>
      <c r="BZ405" s="25"/>
      <c r="CA405" s="25"/>
      <c r="CB405" s="25"/>
      <c r="CC405" s="25"/>
      <c r="CD405" s="25"/>
      <c r="CE405" s="25"/>
      <c r="CF405" s="25"/>
      <c r="CG405" s="25"/>
      <c r="CH405" s="25"/>
      <c r="CI405" s="25"/>
      <c r="CJ405" s="25"/>
      <c r="CK405" s="25"/>
      <c r="CL405" s="25"/>
      <c r="CM405" s="25"/>
      <c r="CN405" s="25"/>
      <c r="CO405" s="25"/>
      <c r="CP405" s="25"/>
      <c r="CQ405" s="25"/>
      <c r="CR405" s="25"/>
      <c r="CS405" s="25"/>
    </row>
    <row r="406" spans="2:97">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c r="AV406" s="25"/>
      <c r="AW406" s="25"/>
      <c r="AX406" s="25"/>
      <c r="AY406" s="25"/>
      <c r="AZ406" s="25"/>
      <c r="BA406" s="25"/>
      <c r="BB406" s="25"/>
      <c r="BC406" s="25"/>
      <c r="BD406" s="25"/>
      <c r="BE406" s="25"/>
      <c r="BF406" s="25"/>
      <c r="BG406" s="25"/>
      <c r="BH406" s="25"/>
      <c r="BI406" s="25"/>
      <c r="BJ406" s="25"/>
      <c r="BK406" s="25"/>
      <c r="BL406" s="25"/>
      <c r="BM406" s="25"/>
      <c r="BN406" s="25"/>
      <c r="BO406" s="25"/>
      <c r="BP406" s="25"/>
      <c r="BQ406" s="25"/>
      <c r="BR406" s="25"/>
      <c r="BS406" s="25"/>
      <c r="BT406" s="25"/>
      <c r="BU406" s="25"/>
      <c r="BV406" s="25"/>
      <c r="BW406" s="25"/>
      <c r="BX406" s="25"/>
      <c r="BY406" s="25"/>
      <c r="BZ406" s="25"/>
      <c r="CA406" s="25"/>
      <c r="CB406" s="25"/>
      <c r="CC406" s="25"/>
      <c r="CD406" s="25"/>
      <c r="CE406" s="25"/>
      <c r="CF406" s="25"/>
      <c r="CG406" s="25"/>
      <c r="CH406" s="25"/>
      <c r="CI406" s="25"/>
      <c r="CJ406" s="25"/>
      <c r="CK406" s="25"/>
      <c r="CL406" s="25"/>
      <c r="CM406" s="25"/>
      <c r="CN406" s="25"/>
      <c r="CO406" s="25"/>
      <c r="CP406" s="25"/>
      <c r="CQ406" s="25"/>
      <c r="CR406" s="25"/>
      <c r="CS406" s="25"/>
    </row>
    <row r="407" spans="2:97">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c r="AV407" s="25"/>
      <c r="AW407" s="25"/>
      <c r="AX407" s="25"/>
      <c r="AY407" s="25"/>
      <c r="AZ407" s="25"/>
      <c r="BA407" s="25"/>
      <c r="BB407" s="25"/>
      <c r="BC407" s="25"/>
      <c r="BD407" s="25"/>
      <c r="BE407" s="25"/>
      <c r="BF407" s="25"/>
      <c r="BG407" s="25"/>
      <c r="BH407" s="25"/>
      <c r="BI407" s="25"/>
      <c r="BJ407" s="25"/>
      <c r="BK407" s="25"/>
      <c r="BL407" s="25"/>
      <c r="BM407" s="25"/>
      <c r="BN407" s="25"/>
      <c r="BO407" s="25"/>
      <c r="BP407" s="25"/>
      <c r="BQ407" s="25"/>
      <c r="BR407" s="25"/>
      <c r="BS407" s="25"/>
      <c r="BT407" s="25"/>
      <c r="BU407" s="25"/>
      <c r="BV407" s="25"/>
      <c r="BW407" s="25"/>
      <c r="BX407" s="25"/>
      <c r="BY407" s="25"/>
      <c r="BZ407" s="25"/>
      <c r="CA407" s="25"/>
      <c r="CB407" s="25"/>
      <c r="CC407" s="25"/>
      <c r="CD407" s="25"/>
      <c r="CE407" s="25"/>
      <c r="CF407" s="25"/>
      <c r="CG407" s="25"/>
      <c r="CH407" s="25"/>
      <c r="CI407" s="25"/>
      <c r="CJ407" s="25"/>
      <c r="CK407" s="25"/>
      <c r="CL407" s="25"/>
      <c r="CM407" s="25"/>
      <c r="CN407" s="25"/>
      <c r="CO407" s="25"/>
      <c r="CP407" s="25"/>
      <c r="CQ407" s="25"/>
      <c r="CR407" s="25"/>
      <c r="CS407" s="25"/>
    </row>
    <row r="408" spans="2:97">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c r="AV408" s="25"/>
      <c r="AW408" s="25"/>
      <c r="AX408" s="25"/>
      <c r="AY408" s="25"/>
      <c r="AZ408" s="25"/>
      <c r="BA408" s="25"/>
      <c r="BB408" s="25"/>
      <c r="BC408" s="25"/>
      <c r="BD408" s="25"/>
      <c r="BE408" s="25"/>
      <c r="BF408" s="25"/>
      <c r="BG408" s="25"/>
      <c r="BH408" s="25"/>
      <c r="BI408" s="25"/>
      <c r="BJ408" s="25"/>
      <c r="BK408" s="25"/>
      <c r="BL408" s="25"/>
      <c r="BM408" s="25"/>
      <c r="BN408" s="25"/>
      <c r="BO408" s="25"/>
      <c r="BP408" s="25"/>
      <c r="BQ408" s="25"/>
      <c r="BR408" s="25"/>
      <c r="BS408" s="25"/>
      <c r="BT408" s="25"/>
      <c r="BU408" s="25"/>
      <c r="BV408" s="25"/>
      <c r="BW408" s="25"/>
      <c r="BX408" s="25"/>
      <c r="BY408" s="25"/>
      <c r="BZ408" s="25"/>
      <c r="CA408" s="25"/>
      <c r="CB408" s="25"/>
      <c r="CC408" s="25"/>
      <c r="CD408" s="25"/>
      <c r="CE408" s="25"/>
      <c r="CF408" s="25"/>
      <c r="CG408" s="25"/>
      <c r="CH408" s="25"/>
      <c r="CI408" s="25"/>
      <c r="CJ408" s="25"/>
      <c r="CK408" s="25"/>
      <c r="CL408" s="25"/>
      <c r="CM408" s="25"/>
      <c r="CN408" s="25"/>
      <c r="CO408" s="25"/>
      <c r="CP408" s="25"/>
      <c r="CQ408" s="25"/>
      <c r="CR408" s="25"/>
      <c r="CS408" s="25"/>
    </row>
    <row r="409" spans="2:97">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c r="AV409" s="25"/>
      <c r="AW409" s="25"/>
      <c r="AX409" s="25"/>
      <c r="AY409" s="25"/>
      <c r="AZ409" s="25"/>
      <c r="BA409" s="25"/>
      <c r="BB409" s="25"/>
      <c r="BC409" s="25"/>
      <c r="BD409" s="25"/>
      <c r="BE409" s="25"/>
      <c r="BF409" s="25"/>
      <c r="BG409" s="25"/>
      <c r="BH409" s="25"/>
      <c r="BI409" s="25"/>
      <c r="BJ409" s="25"/>
      <c r="BK409" s="25"/>
      <c r="BL409" s="25"/>
      <c r="BM409" s="25"/>
      <c r="BN409" s="25"/>
      <c r="BO409" s="25"/>
      <c r="BP409" s="25"/>
      <c r="BQ409" s="25"/>
      <c r="BR409" s="25"/>
      <c r="BS409" s="25"/>
      <c r="BT409" s="25"/>
      <c r="BU409" s="25"/>
      <c r="BV409" s="25"/>
      <c r="BW409" s="25"/>
      <c r="BX409" s="25"/>
      <c r="BY409" s="25"/>
      <c r="BZ409" s="25"/>
      <c r="CA409" s="25"/>
      <c r="CB409" s="25"/>
      <c r="CC409" s="25"/>
      <c r="CD409" s="25"/>
      <c r="CE409" s="25"/>
      <c r="CF409" s="25"/>
      <c r="CG409" s="25"/>
      <c r="CH409" s="25"/>
      <c r="CI409" s="25"/>
      <c r="CJ409" s="25"/>
      <c r="CK409" s="25"/>
      <c r="CL409" s="25"/>
      <c r="CM409" s="25"/>
      <c r="CN409" s="25"/>
      <c r="CO409" s="25"/>
      <c r="CP409" s="25"/>
      <c r="CQ409" s="25"/>
      <c r="CR409" s="25"/>
      <c r="CS409" s="25"/>
    </row>
    <row r="410" spans="2:97">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c r="AV410" s="25"/>
      <c r="AW410" s="25"/>
      <c r="AX410" s="25"/>
      <c r="AY410" s="25"/>
      <c r="AZ410" s="25"/>
      <c r="BA410" s="25"/>
      <c r="BB410" s="25"/>
      <c r="BC410" s="25"/>
      <c r="BD410" s="25"/>
      <c r="BE410" s="25"/>
      <c r="BF410" s="25"/>
      <c r="BG410" s="25"/>
      <c r="BH410" s="25"/>
      <c r="BI410" s="25"/>
      <c r="BJ410" s="25"/>
      <c r="BK410" s="25"/>
      <c r="BL410" s="25"/>
      <c r="BM410" s="25"/>
      <c r="BN410" s="25"/>
      <c r="BO410" s="25"/>
      <c r="BP410" s="25"/>
      <c r="BQ410" s="25"/>
      <c r="BR410" s="25"/>
      <c r="BS410" s="25"/>
      <c r="BT410" s="25"/>
      <c r="BU410" s="25"/>
      <c r="BV410" s="25"/>
      <c r="BW410" s="25"/>
      <c r="BX410" s="25"/>
      <c r="BY410" s="25"/>
      <c r="BZ410" s="25"/>
      <c r="CA410" s="25"/>
      <c r="CB410" s="25"/>
      <c r="CC410" s="25"/>
      <c r="CD410" s="25"/>
      <c r="CE410" s="25"/>
      <c r="CF410" s="25"/>
      <c r="CG410" s="25"/>
      <c r="CH410" s="25"/>
      <c r="CI410" s="25"/>
      <c r="CJ410" s="25"/>
      <c r="CK410" s="25"/>
      <c r="CL410" s="25"/>
      <c r="CM410" s="25"/>
      <c r="CN410" s="25"/>
      <c r="CO410" s="25"/>
      <c r="CP410" s="25"/>
      <c r="CQ410" s="25"/>
      <c r="CR410" s="25"/>
      <c r="CS410" s="25"/>
    </row>
    <row r="411" spans="2:97">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c r="AV411" s="25"/>
      <c r="AW411" s="25"/>
      <c r="AX411" s="25"/>
      <c r="AY411" s="25"/>
      <c r="AZ411" s="25"/>
      <c r="BA411" s="25"/>
      <c r="BB411" s="25"/>
      <c r="BC411" s="25"/>
      <c r="BD411" s="25"/>
      <c r="BE411" s="25"/>
      <c r="BF411" s="25"/>
      <c r="BG411" s="25"/>
      <c r="BH411" s="25"/>
      <c r="BI411" s="25"/>
      <c r="BJ411" s="25"/>
      <c r="BK411" s="25"/>
      <c r="BL411" s="25"/>
      <c r="BM411" s="25"/>
      <c r="BN411" s="25"/>
      <c r="BO411" s="25"/>
      <c r="BP411" s="25"/>
      <c r="BQ411" s="25"/>
      <c r="BR411" s="25"/>
      <c r="BS411" s="25"/>
      <c r="BT411" s="25"/>
      <c r="BU411" s="25"/>
      <c r="BV411" s="25"/>
      <c r="BW411" s="25"/>
      <c r="BX411" s="25"/>
      <c r="BY411" s="25"/>
      <c r="BZ411" s="25"/>
      <c r="CA411" s="25"/>
      <c r="CB411" s="25"/>
      <c r="CC411" s="25"/>
      <c r="CD411" s="25"/>
      <c r="CE411" s="25"/>
      <c r="CF411" s="25"/>
      <c r="CG411" s="25"/>
      <c r="CH411" s="25"/>
      <c r="CI411" s="25"/>
      <c r="CJ411" s="25"/>
      <c r="CK411" s="25"/>
      <c r="CL411" s="25"/>
      <c r="CM411" s="25"/>
      <c r="CN411" s="25"/>
      <c r="CO411" s="25"/>
      <c r="CP411" s="25"/>
      <c r="CQ411" s="25"/>
      <c r="CR411" s="25"/>
      <c r="CS411" s="25"/>
    </row>
    <row r="412" spans="2:97">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c r="AV412" s="25"/>
      <c r="AW412" s="25"/>
      <c r="AX412" s="25"/>
      <c r="AY412" s="25"/>
      <c r="AZ412" s="25"/>
      <c r="BA412" s="25"/>
      <c r="BB412" s="25"/>
      <c r="BC412" s="25"/>
      <c r="BD412" s="25"/>
      <c r="BE412" s="25"/>
      <c r="BF412" s="25"/>
      <c r="BG412" s="25"/>
      <c r="BH412" s="25"/>
      <c r="BI412" s="25"/>
      <c r="BJ412" s="25"/>
      <c r="BK412" s="25"/>
      <c r="BL412" s="25"/>
      <c r="BM412" s="25"/>
      <c r="BN412" s="25"/>
      <c r="BO412" s="25"/>
      <c r="BP412" s="25"/>
      <c r="BQ412" s="25"/>
      <c r="BR412" s="25"/>
      <c r="BS412" s="25"/>
      <c r="BT412" s="25"/>
      <c r="BU412" s="25"/>
      <c r="BV412" s="25"/>
      <c r="BW412" s="25"/>
      <c r="BX412" s="25"/>
      <c r="BY412" s="25"/>
      <c r="BZ412" s="25"/>
      <c r="CA412" s="25"/>
      <c r="CB412" s="25"/>
      <c r="CC412" s="25"/>
      <c r="CD412" s="25"/>
      <c r="CE412" s="25"/>
      <c r="CF412" s="25"/>
      <c r="CG412" s="25"/>
      <c r="CH412" s="25"/>
      <c r="CI412" s="25"/>
      <c r="CJ412" s="25"/>
      <c r="CK412" s="25"/>
      <c r="CL412" s="25"/>
      <c r="CM412" s="25"/>
      <c r="CN412" s="25"/>
      <c r="CO412" s="25"/>
      <c r="CP412" s="25"/>
      <c r="CQ412" s="25"/>
      <c r="CR412" s="25"/>
      <c r="CS412" s="25"/>
    </row>
    <row r="413" spans="2:97">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c r="AV413" s="25"/>
      <c r="AW413" s="25"/>
      <c r="AX413" s="25"/>
      <c r="AY413" s="25"/>
      <c r="AZ413" s="25"/>
      <c r="BA413" s="25"/>
      <c r="BB413" s="25"/>
      <c r="BC413" s="25"/>
      <c r="BD413" s="25"/>
      <c r="BE413" s="25"/>
      <c r="BF413" s="25"/>
      <c r="BG413" s="25"/>
      <c r="BH413" s="25"/>
      <c r="BI413" s="25"/>
      <c r="BJ413" s="25"/>
      <c r="BK413" s="25"/>
      <c r="BL413" s="25"/>
      <c r="BM413" s="25"/>
      <c r="BN413" s="25"/>
      <c r="BO413" s="25"/>
      <c r="BP413" s="25"/>
      <c r="BQ413" s="25"/>
      <c r="BR413" s="25"/>
      <c r="BS413" s="25"/>
      <c r="BT413" s="25"/>
      <c r="BU413" s="25"/>
      <c r="BV413" s="25"/>
      <c r="BW413" s="25"/>
      <c r="BX413" s="25"/>
      <c r="BY413" s="25"/>
      <c r="BZ413" s="25"/>
      <c r="CA413" s="25"/>
      <c r="CB413" s="25"/>
      <c r="CC413" s="25"/>
      <c r="CD413" s="25"/>
      <c r="CE413" s="25"/>
      <c r="CF413" s="25"/>
      <c r="CG413" s="25"/>
      <c r="CH413" s="25"/>
      <c r="CI413" s="25"/>
      <c r="CJ413" s="25"/>
      <c r="CK413" s="25"/>
      <c r="CL413" s="25"/>
      <c r="CM413" s="25"/>
      <c r="CN413" s="25"/>
      <c r="CO413" s="25"/>
      <c r="CP413" s="25"/>
      <c r="CQ413" s="25"/>
      <c r="CR413" s="25"/>
      <c r="CS413" s="25"/>
    </row>
    <row r="414" spans="2:97">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c r="AV414" s="25"/>
      <c r="AW414" s="25"/>
      <c r="AX414" s="25"/>
      <c r="AY414" s="25"/>
      <c r="AZ414" s="25"/>
      <c r="BA414" s="25"/>
      <c r="BB414" s="25"/>
      <c r="BC414" s="25"/>
      <c r="BD414" s="25"/>
      <c r="BE414" s="25"/>
      <c r="BF414" s="25"/>
      <c r="BG414" s="25"/>
      <c r="BH414" s="25"/>
      <c r="BI414" s="25"/>
      <c r="BJ414" s="25"/>
      <c r="BK414" s="25"/>
      <c r="BL414" s="25"/>
      <c r="BM414" s="25"/>
      <c r="BN414" s="25"/>
      <c r="BO414" s="25"/>
      <c r="BP414" s="25"/>
      <c r="BQ414" s="25"/>
      <c r="BR414" s="25"/>
      <c r="BS414" s="25"/>
      <c r="BT414" s="25"/>
      <c r="BU414" s="25"/>
      <c r="BV414" s="25"/>
      <c r="BW414" s="25"/>
      <c r="BX414" s="25"/>
      <c r="BY414" s="25"/>
      <c r="BZ414" s="25"/>
      <c r="CA414" s="25"/>
      <c r="CB414" s="25"/>
      <c r="CC414" s="25"/>
      <c r="CD414" s="25"/>
      <c r="CE414" s="25"/>
      <c r="CF414" s="25"/>
      <c r="CG414" s="25"/>
      <c r="CH414" s="25"/>
      <c r="CI414" s="25"/>
      <c r="CJ414" s="25"/>
      <c r="CK414" s="25"/>
      <c r="CL414" s="25"/>
      <c r="CM414" s="25"/>
      <c r="CN414" s="25"/>
      <c r="CO414" s="25"/>
      <c r="CP414" s="25"/>
      <c r="CQ414" s="25"/>
      <c r="CR414" s="25"/>
      <c r="CS414" s="25"/>
    </row>
    <row r="415" spans="2:97">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c r="AV415" s="25"/>
      <c r="AW415" s="25"/>
      <c r="AX415" s="25"/>
      <c r="AY415" s="25"/>
      <c r="AZ415" s="25"/>
      <c r="BA415" s="25"/>
      <c r="BB415" s="25"/>
      <c r="BC415" s="25"/>
      <c r="BD415" s="25"/>
      <c r="BE415" s="25"/>
      <c r="BF415" s="25"/>
      <c r="BG415" s="25"/>
      <c r="BH415" s="25"/>
      <c r="BI415" s="25"/>
      <c r="BJ415" s="25"/>
      <c r="BK415" s="25"/>
      <c r="BL415" s="25"/>
      <c r="BM415" s="25"/>
      <c r="BN415" s="25"/>
      <c r="BO415" s="25"/>
      <c r="BP415" s="25"/>
      <c r="BQ415" s="25"/>
      <c r="BR415" s="25"/>
      <c r="BS415" s="25"/>
      <c r="BT415" s="25"/>
      <c r="BU415" s="25"/>
      <c r="BV415" s="25"/>
      <c r="BW415" s="25"/>
      <c r="BX415" s="25"/>
      <c r="BY415" s="25"/>
      <c r="BZ415" s="25"/>
      <c r="CA415" s="25"/>
      <c r="CB415" s="25"/>
      <c r="CC415" s="25"/>
      <c r="CD415" s="25"/>
      <c r="CE415" s="25"/>
      <c r="CF415" s="25"/>
      <c r="CG415" s="25"/>
      <c r="CH415" s="25"/>
      <c r="CI415" s="25"/>
      <c r="CJ415" s="25"/>
      <c r="CK415" s="25"/>
      <c r="CL415" s="25"/>
      <c r="CM415" s="25"/>
      <c r="CN415" s="25"/>
      <c r="CO415" s="25"/>
      <c r="CP415" s="25"/>
      <c r="CQ415" s="25"/>
      <c r="CR415" s="25"/>
      <c r="CS415" s="25"/>
    </row>
    <row r="416" spans="2:97">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c r="AV416" s="25"/>
      <c r="AW416" s="25"/>
      <c r="AX416" s="25"/>
      <c r="AY416" s="25"/>
      <c r="AZ416" s="25"/>
      <c r="BA416" s="25"/>
      <c r="BB416" s="25"/>
      <c r="BC416" s="25"/>
      <c r="BD416" s="25"/>
      <c r="BE416" s="25"/>
      <c r="BF416" s="25"/>
      <c r="BG416" s="25"/>
      <c r="BH416" s="25"/>
      <c r="BI416" s="25"/>
      <c r="BJ416" s="25"/>
      <c r="BK416" s="25"/>
      <c r="BL416" s="25"/>
      <c r="BM416" s="25"/>
      <c r="BN416" s="25"/>
      <c r="BO416" s="25"/>
      <c r="BP416" s="25"/>
      <c r="BQ416" s="25"/>
      <c r="BR416" s="25"/>
      <c r="BS416" s="25"/>
      <c r="BT416" s="25"/>
      <c r="BU416" s="25"/>
      <c r="BV416" s="25"/>
      <c r="BW416" s="25"/>
      <c r="BX416" s="25"/>
      <c r="BY416" s="25"/>
      <c r="BZ416" s="25"/>
      <c r="CA416" s="25"/>
      <c r="CB416" s="25"/>
      <c r="CC416" s="25"/>
      <c r="CD416" s="25"/>
      <c r="CE416" s="25"/>
      <c r="CF416" s="25"/>
      <c r="CG416" s="25"/>
      <c r="CH416" s="25"/>
      <c r="CI416" s="25"/>
      <c r="CJ416" s="25"/>
      <c r="CK416" s="25"/>
      <c r="CL416" s="25"/>
      <c r="CM416" s="25"/>
      <c r="CN416" s="25"/>
      <c r="CO416" s="25"/>
      <c r="CP416" s="25"/>
      <c r="CQ416" s="25"/>
      <c r="CR416" s="25"/>
      <c r="CS416" s="25"/>
    </row>
    <row r="417" spans="2:97">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c r="AV417" s="25"/>
      <c r="AW417" s="25"/>
      <c r="AX417" s="25"/>
      <c r="AY417" s="25"/>
      <c r="AZ417" s="25"/>
      <c r="BA417" s="25"/>
      <c r="BB417" s="25"/>
      <c r="BC417" s="25"/>
      <c r="BD417" s="25"/>
      <c r="BE417" s="25"/>
      <c r="BF417" s="25"/>
      <c r="BG417" s="25"/>
      <c r="BH417" s="25"/>
      <c r="BI417" s="25"/>
      <c r="BJ417" s="25"/>
      <c r="BK417" s="25"/>
      <c r="BL417" s="25"/>
      <c r="BM417" s="25"/>
      <c r="BN417" s="25"/>
      <c r="BO417" s="25"/>
      <c r="BP417" s="25"/>
      <c r="BQ417" s="25"/>
      <c r="BR417" s="25"/>
      <c r="BS417" s="25"/>
      <c r="BT417" s="25"/>
      <c r="BU417" s="25"/>
      <c r="BV417" s="25"/>
      <c r="BW417" s="25"/>
      <c r="BX417" s="25"/>
      <c r="BY417" s="25"/>
      <c r="BZ417" s="25"/>
      <c r="CA417" s="25"/>
      <c r="CB417" s="25"/>
      <c r="CC417" s="25"/>
      <c r="CD417" s="25"/>
      <c r="CE417" s="25"/>
      <c r="CF417" s="25"/>
      <c r="CG417" s="25"/>
      <c r="CH417" s="25"/>
      <c r="CI417" s="25"/>
      <c r="CJ417" s="25"/>
      <c r="CK417" s="25"/>
      <c r="CL417" s="25"/>
      <c r="CM417" s="25"/>
      <c r="CN417" s="25"/>
      <c r="CO417" s="25"/>
      <c r="CP417" s="25"/>
      <c r="CQ417" s="25"/>
      <c r="CR417" s="25"/>
      <c r="CS417" s="25"/>
    </row>
    <row r="418" spans="2:97">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c r="AV418" s="25"/>
      <c r="AW418" s="25"/>
      <c r="AX418" s="25"/>
      <c r="AY418" s="25"/>
      <c r="AZ418" s="25"/>
      <c r="BA418" s="25"/>
      <c r="BB418" s="25"/>
      <c r="BC418" s="25"/>
      <c r="BD418" s="25"/>
      <c r="BE418" s="25"/>
      <c r="BF418" s="25"/>
      <c r="BG418" s="25"/>
      <c r="BH418" s="25"/>
      <c r="BI418" s="25"/>
      <c r="BJ418" s="25"/>
      <c r="BK418" s="25"/>
      <c r="BL418" s="25"/>
      <c r="BM418" s="25"/>
      <c r="BN418" s="25"/>
      <c r="BO418" s="25"/>
      <c r="BP418" s="25"/>
      <c r="BQ418" s="25"/>
      <c r="BR418" s="25"/>
      <c r="BS418" s="25"/>
      <c r="BT418" s="25"/>
      <c r="BU418" s="25"/>
      <c r="BV418" s="25"/>
      <c r="BW418" s="25"/>
      <c r="BX418" s="25"/>
      <c r="BY418" s="25"/>
      <c r="BZ418" s="25"/>
      <c r="CA418" s="25"/>
      <c r="CB418" s="25"/>
      <c r="CC418" s="25"/>
      <c r="CD418" s="25"/>
      <c r="CE418" s="25"/>
      <c r="CF418" s="25"/>
      <c r="CG418" s="25"/>
      <c r="CH418" s="25"/>
      <c r="CI418" s="25"/>
      <c r="CJ418" s="25"/>
      <c r="CK418" s="25"/>
      <c r="CL418" s="25"/>
      <c r="CM418" s="25"/>
      <c r="CN418" s="25"/>
      <c r="CO418" s="25"/>
      <c r="CP418" s="25"/>
      <c r="CQ418" s="25"/>
      <c r="CR418" s="25"/>
      <c r="CS418" s="25"/>
    </row>
    <row r="419" spans="2:97">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c r="AV419" s="25"/>
      <c r="AW419" s="25"/>
      <c r="AX419" s="25"/>
      <c r="AY419" s="25"/>
      <c r="AZ419" s="25"/>
      <c r="BA419" s="25"/>
      <c r="BB419" s="25"/>
      <c r="BC419" s="25"/>
      <c r="BD419" s="25"/>
      <c r="BE419" s="25"/>
      <c r="BF419" s="25"/>
      <c r="BG419" s="25"/>
      <c r="BH419" s="25"/>
      <c r="BI419" s="25"/>
      <c r="BJ419" s="25"/>
      <c r="BK419" s="25"/>
      <c r="BL419" s="25"/>
      <c r="BM419" s="25"/>
      <c r="BN419" s="25"/>
      <c r="BO419" s="25"/>
      <c r="BP419" s="25"/>
      <c r="BQ419" s="25"/>
      <c r="BR419" s="25"/>
      <c r="BS419" s="25"/>
      <c r="BT419" s="25"/>
      <c r="BU419" s="25"/>
      <c r="BV419" s="25"/>
      <c r="BW419" s="25"/>
      <c r="BX419" s="25"/>
      <c r="BY419" s="25"/>
      <c r="BZ419" s="25"/>
      <c r="CA419" s="25"/>
      <c r="CB419" s="25"/>
      <c r="CC419" s="25"/>
      <c r="CD419" s="25"/>
      <c r="CE419" s="25"/>
      <c r="CF419" s="25"/>
      <c r="CG419" s="25"/>
      <c r="CH419" s="25"/>
      <c r="CI419" s="25"/>
      <c r="CJ419" s="25"/>
      <c r="CK419" s="25"/>
      <c r="CL419" s="25"/>
      <c r="CM419" s="25"/>
      <c r="CN419" s="25"/>
      <c r="CO419" s="25"/>
      <c r="CP419" s="25"/>
      <c r="CQ419" s="25"/>
      <c r="CR419" s="25"/>
      <c r="CS419" s="25"/>
    </row>
    <row r="420" spans="2:97">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c r="AV420" s="25"/>
      <c r="AW420" s="25"/>
      <c r="AX420" s="25"/>
      <c r="AY420" s="25"/>
      <c r="AZ420" s="25"/>
      <c r="BA420" s="25"/>
      <c r="BB420" s="25"/>
      <c r="BC420" s="25"/>
      <c r="BD420" s="25"/>
      <c r="BE420" s="25"/>
      <c r="BF420" s="25"/>
      <c r="BG420" s="25"/>
      <c r="BH420" s="25"/>
      <c r="BI420" s="25"/>
      <c r="BJ420" s="25"/>
      <c r="BK420" s="25"/>
      <c r="BL420" s="25"/>
      <c r="BM420" s="25"/>
      <c r="BN420" s="25"/>
      <c r="BO420" s="25"/>
      <c r="BP420" s="25"/>
      <c r="BQ420" s="25"/>
      <c r="BR420" s="25"/>
      <c r="BS420" s="25"/>
      <c r="BT420" s="25"/>
      <c r="BU420" s="25"/>
      <c r="BV420" s="25"/>
      <c r="BW420" s="25"/>
      <c r="BX420" s="25"/>
      <c r="BY420" s="25"/>
      <c r="BZ420" s="25"/>
      <c r="CA420" s="25"/>
      <c r="CB420" s="25"/>
      <c r="CC420" s="25"/>
      <c r="CD420" s="25"/>
      <c r="CE420" s="25"/>
      <c r="CF420" s="25"/>
      <c r="CG420" s="25"/>
      <c r="CH420" s="25"/>
      <c r="CI420" s="25"/>
      <c r="CJ420" s="25"/>
      <c r="CK420" s="25"/>
      <c r="CL420" s="25"/>
      <c r="CM420" s="25"/>
      <c r="CN420" s="25"/>
      <c r="CO420" s="25"/>
      <c r="CP420" s="25"/>
      <c r="CQ420" s="25"/>
      <c r="CR420" s="25"/>
      <c r="CS420" s="25"/>
    </row>
    <row r="421" spans="2:97">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c r="AV421" s="25"/>
      <c r="AW421" s="25"/>
      <c r="AX421" s="25"/>
      <c r="AY421" s="25"/>
      <c r="AZ421" s="25"/>
      <c r="BA421" s="25"/>
      <c r="BB421" s="25"/>
      <c r="BC421" s="25"/>
      <c r="BD421" s="25"/>
      <c r="BE421" s="25"/>
      <c r="BF421" s="25"/>
      <c r="BG421" s="25"/>
      <c r="BH421" s="25"/>
      <c r="BI421" s="25"/>
      <c r="BJ421" s="25"/>
      <c r="BK421" s="25"/>
      <c r="BL421" s="25"/>
      <c r="BM421" s="25"/>
      <c r="BN421" s="25"/>
      <c r="BO421" s="25"/>
      <c r="BP421" s="25"/>
      <c r="BQ421" s="25"/>
      <c r="BR421" s="25"/>
      <c r="BS421" s="25"/>
      <c r="BT421" s="25"/>
      <c r="BU421" s="25"/>
      <c r="BV421" s="25"/>
      <c r="BW421" s="25"/>
      <c r="BX421" s="25"/>
      <c r="BY421" s="25"/>
      <c r="BZ421" s="25"/>
      <c r="CA421" s="25"/>
      <c r="CB421" s="25"/>
      <c r="CC421" s="25"/>
      <c r="CD421" s="25"/>
      <c r="CE421" s="25"/>
      <c r="CF421" s="25"/>
      <c r="CG421" s="25"/>
      <c r="CH421" s="25"/>
      <c r="CI421" s="25"/>
      <c r="CJ421" s="25"/>
      <c r="CK421" s="25"/>
      <c r="CL421" s="25"/>
      <c r="CM421" s="25"/>
      <c r="CN421" s="25"/>
      <c r="CO421" s="25"/>
      <c r="CP421" s="25"/>
      <c r="CQ421" s="25"/>
      <c r="CR421" s="25"/>
      <c r="CS421" s="25"/>
    </row>
    <row r="422" spans="2:97">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c r="AV422" s="25"/>
      <c r="AW422" s="25"/>
      <c r="AX422" s="25"/>
      <c r="AY422" s="25"/>
      <c r="AZ422" s="25"/>
      <c r="BA422" s="25"/>
      <c r="BB422" s="25"/>
      <c r="BC422" s="25"/>
      <c r="BD422" s="25"/>
      <c r="BE422" s="25"/>
      <c r="BF422" s="25"/>
      <c r="BG422" s="25"/>
      <c r="BH422" s="25"/>
      <c r="BI422" s="25"/>
      <c r="BJ422" s="25"/>
      <c r="BK422" s="25"/>
      <c r="BL422" s="25"/>
      <c r="BM422" s="25"/>
      <c r="BN422" s="25"/>
      <c r="BO422" s="25"/>
      <c r="BP422" s="25"/>
      <c r="BQ422" s="25"/>
      <c r="BR422" s="25"/>
      <c r="BS422" s="25"/>
      <c r="BT422" s="25"/>
      <c r="BU422" s="25"/>
      <c r="BV422" s="25"/>
      <c r="BW422" s="25"/>
      <c r="BX422" s="25"/>
      <c r="BY422" s="25"/>
      <c r="BZ422" s="25"/>
      <c r="CA422" s="25"/>
      <c r="CB422" s="25"/>
      <c r="CC422" s="25"/>
      <c r="CD422" s="25"/>
      <c r="CE422" s="25"/>
      <c r="CF422" s="25"/>
      <c r="CG422" s="25"/>
      <c r="CH422" s="25"/>
      <c r="CI422" s="25"/>
      <c r="CJ422" s="25"/>
      <c r="CK422" s="25"/>
      <c r="CL422" s="25"/>
      <c r="CM422" s="25"/>
      <c r="CN422" s="25"/>
      <c r="CO422" s="25"/>
      <c r="CP422" s="25"/>
      <c r="CQ422" s="25"/>
      <c r="CR422" s="25"/>
      <c r="CS422" s="25"/>
    </row>
    <row r="423" spans="2:97">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c r="AV423" s="25"/>
      <c r="AW423" s="25"/>
      <c r="AX423" s="25"/>
      <c r="AY423" s="25"/>
      <c r="AZ423" s="25"/>
      <c r="BA423" s="25"/>
      <c r="BB423" s="25"/>
      <c r="BC423" s="25"/>
      <c r="BD423" s="25"/>
      <c r="BE423" s="25"/>
      <c r="BF423" s="25"/>
      <c r="BG423" s="25"/>
      <c r="BH423" s="25"/>
      <c r="BI423" s="25"/>
      <c r="BJ423" s="25"/>
      <c r="BK423" s="25"/>
      <c r="BL423" s="25"/>
      <c r="BM423" s="25"/>
      <c r="BN423" s="25"/>
      <c r="BO423" s="25"/>
      <c r="BP423" s="25"/>
      <c r="BQ423" s="25"/>
      <c r="BR423" s="25"/>
      <c r="BS423" s="25"/>
      <c r="BT423" s="25"/>
      <c r="BU423" s="25"/>
      <c r="BV423" s="25"/>
      <c r="BW423" s="25"/>
      <c r="BX423" s="25"/>
      <c r="BY423" s="25"/>
      <c r="BZ423" s="25"/>
      <c r="CA423" s="25"/>
      <c r="CB423" s="25"/>
      <c r="CC423" s="25"/>
      <c r="CD423" s="25"/>
      <c r="CE423" s="25"/>
      <c r="CF423" s="25"/>
      <c r="CG423" s="25"/>
      <c r="CH423" s="25"/>
      <c r="CI423" s="25"/>
      <c r="CJ423" s="25"/>
      <c r="CK423" s="25"/>
      <c r="CL423" s="25"/>
      <c r="CM423" s="25"/>
      <c r="CN423" s="25"/>
      <c r="CO423" s="25"/>
      <c r="CP423" s="25"/>
      <c r="CQ423" s="25"/>
      <c r="CR423" s="25"/>
      <c r="CS423" s="25"/>
    </row>
    <row r="424" spans="2:97">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c r="AV424" s="25"/>
      <c r="AW424" s="25"/>
      <c r="AX424" s="25"/>
      <c r="AY424" s="25"/>
      <c r="AZ424" s="25"/>
      <c r="BA424" s="25"/>
      <c r="BB424" s="25"/>
      <c r="BC424" s="25"/>
      <c r="BD424" s="25"/>
      <c r="BE424" s="25"/>
      <c r="BF424" s="25"/>
      <c r="BG424" s="25"/>
      <c r="BH424" s="25"/>
      <c r="BI424" s="25"/>
      <c r="BJ424" s="25"/>
      <c r="BK424" s="25"/>
      <c r="BL424" s="25"/>
      <c r="BM424" s="25"/>
      <c r="BN424" s="25"/>
      <c r="BO424" s="25"/>
      <c r="BP424" s="25"/>
      <c r="BQ424" s="25"/>
      <c r="BR424" s="25"/>
      <c r="BS424" s="25"/>
      <c r="BT424" s="25"/>
      <c r="BU424" s="25"/>
      <c r="BV424" s="25"/>
      <c r="BW424" s="25"/>
      <c r="BX424" s="25"/>
      <c r="BY424" s="25"/>
      <c r="BZ424" s="25"/>
      <c r="CA424" s="25"/>
      <c r="CB424" s="25"/>
      <c r="CC424" s="25"/>
      <c r="CD424" s="25"/>
      <c r="CE424" s="25"/>
      <c r="CF424" s="25"/>
      <c r="CG424" s="25"/>
      <c r="CH424" s="25"/>
      <c r="CI424" s="25"/>
      <c r="CJ424" s="25"/>
      <c r="CK424" s="25"/>
      <c r="CL424" s="25"/>
      <c r="CM424" s="25"/>
      <c r="CN424" s="25"/>
      <c r="CO424" s="25"/>
      <c r="CP424" s="25"/>
      <c r="CQ424" s="25"/>
      <c r="CR424" s="25"/>
      <c r="CS424" s="25"/>
    </row>
    <row r="425" spans="2:97">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c r="AV425" s="25"/>
      <c r="AW425" s="25"/>
      <c r="AX425" s="25"/>
      <c r="AY425" s="25"/>
      <c r="AZ425" s="25"/>
      <c r="BA425" s="25"/>
      <c r="BB425" s="25"/>
      <c r="BC425" s="25"/>
      <c r="BD425" s="25"/>
      <c r="BE425" s="25"/>
      <c r="BF425" s="25"/>
      <c r="BG425" s="25"/>
      <c r="BH425" s="25"/>
      <c r="BI425" s="25"/>
      <c r="BJ425" s="25"/>
      <c r="BK425" s="25"/>
      <c r="BL425" s="25"/>
      <c r="BM425" s="25"/>
      <c r="BN425" s="25"/>
      <c r="BO425" s="25"/>
      <c r="BP425" s="25"/>
      <c r="BQ425" s="25"/>
      <c r="BR425" s="25"/>
      <c r="BS425" s="25"/>
      <c r="BT425" s="25"/>
      <c r="BU425" s="25"/>
      <c r="BV425" s="25"/>
      <c r="BW425" s="25"/>
      <c r="BX425" s="25"/>
      <c r="BY425" s="25"/>
      <c r="BZ425" s="25"/>
      <c r="CA425" s="25"/>
      <c r="CB425" s="25"/>
      <c r="CC425" s="25"/>
      <c r="CD425" s="25"/>
      <c r="CE425" s="25"/>
      <c r="CF425" s="25"/>
      <c r="CG425" s="25"/>
      <c r="CH425" s="25"/>
      <c r="CI425" s="25"/>
      <c r="CJ425" s="25"/>
      <c r="CK425" s="25"/>
      <c r="CL425" s="25"/>
      <c r="CM425" s="25"/>
      <c r="CN425" s="25"/>
      <c r="CO425" s="25"/>
      <c r="CP425" s="25"/>
      <c r="CQ425" s="25"/>
      <c r="CR425" s="25"/>
      <c r="CS425" s="25"/>
    </row>
    <row r="426" spans="2:97">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c r="AV426" s="25"/>
      <c r="AW426" s="25"/>
      <c r="AX426" s="25"/>
      <c r="AY426" s="25"/>
      <c r="AZ426" s="25"/>
      <c r="BA426" s="25"/>
      <c r="BB426" s="25"/>
      <c r="BC426" s="25"/>
      <c r="BD426" s="25"/>
      <c r="BE426" s="25"/>
      <c r="BF426" s="25"/>
      <c r="BG426" s="25"/>
      <c r="BH426" s="25"/>
      <c r="BI426" s="25"/>
      <c r="BJ426" s="25"/>
      <c r="BK426" s="25"/>
      <c r="BL426" s="25"/>
      <c r="BM426" s="25"/>
      <c r="BN426" s="25"/>
      <c r="BO426" s="25"/>
      <c r="BP426" s="25"/>
      <c r="BQ426" s="25"/>
      <c r="BR426" s="25"/>
      <c r="BS426" s="25"/>
      <c r="BT426" s="25"/>
      <c r="BU426" s="25"/>
      <c r="BV426" s="25"/>
      <c r="BW426" s="25"/>
      <c r="BX426" s="25"/>
      <c r="BY426" s="25"/>
      <c r="BZ426" s="25"/>
      <c r="CA426" s="25"/>
      <c r="CB426" s="25"/>
      <c r="CC426" s="25"/>
      <c r="CD426" s="25"/>
      <c r="CE426" s="25"/>
      <c r="CF426" s="25"/>
      <c r="CG426" s="25"/>
      <c r="CH426" s="25"/>
      <c r="CI426" s="25"/>
      <c r="CJ426" s="25"/>
      <c r="CK426" s="25"/>
      <c r="CL426" s="25"/>
      <c r="CM426" s="25"/>
      <c r="CN426" s="25"/>
      <c r="CO426" s="25"/>
      <c r="CP426" s="25"/>
      <c r="CQ426" s="25"/>
      <c r="CR426" s="25"/>
      <c r="CS426" s="25"/>
    </row>
    <row r="427" spans="2:97">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c r="AV427" s="25"/>
      <c r="AW427" s="25"/>
      <c r="AX427" s="25"/>
      <c r="AY427" s="25"/>
      <c r="AZ427" s="25"/>
      <c r="BA427" s="25"/>
      <c r="BB427" s="25"/>
      <c r="BC427" s="25"/>
      <c r="BD427" s="25"/>
      <c r="BE427" s="25"/>
      <c r="BF427" s="25"/>
      <c r="BG427" s="25"/>
      <c r="BH427" s="25"/>
      <c r="BI427" s="25"/>
      <c r="BJ427" s="25"/>
      <c r="BK427" s="25"/>
      <c r="BL427" s="25"/>
      <c r="BM427" s="25"/>
      <c r="BN427" s="25"/>
      <c r="BO427" s="25"/>
      <c r="BP427" s="25"/>
      <c r="BQ427" s="25"/>
      <c r="BR427" s="25"/>
      <c r="BS427" s="25"/>
      <c r="BT427" s="25"/>
      <c r="BU427" s="25"/>
      <c r="BV427" s="25"/>
      <c r="BW427" s="25"/>
      <c r="BX427" s="25"/>
      <c r="BY427" s="25"/>
      <c r="BZ427" s="25"/>
      <c r="CA427" s="25"/>
      <c r="CB427" s="25"/>
      <c r="CC427" s="25"/>
      <c r="CD427" s="25"/>
      <c r="CE427" s="25"/>
      <c r="CF427" s="25"/>
      <c r="CG427" s="25"/>
      <c r="CH427" s="25"/>
      <c r="CI427" s="25"/>
      <c r="CJ427" s="25"/>
      <c r="CK427" s="25"/>
      <c r="CL427" s="25"/>
      <c r="CM427" s="25"/>
      <c r="CN427" s="25"/>
      <c r="CO427" s="25"/>
      <c r="CP427" s="25"/>
      <c r="CQ427" s="25"/>
      <c r="CR427" s="25"/>
      <c r="CS427" s="25"/>
    </row>
    <row r="428" spans="2:97">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c r="AV428" s="25"/>
      <c r="AW428" s="25"/>
      <c r="AX428" s="25"/>
      <c r="AY428" s="25"/>
      <c r="AZ428" s="25"/>
      <c r="BA428" s="25"/>
      <c r="BB428" s="25"/>
      <c r="BC428" s="25"/>
      <c r="BD428" s="25"/>
      <c r="BE428" s="25"/>
      <c r="BF428" s="25"/>
      <c r="BG428" s="25"/>
      <c r="BH428" s="25"/>
      <c r="BI428" s="25"/>
      <c r="BJ428" s="25"/>
      <c r="BK428" s="25"/>
      <c r="BL428" s="25"/>
      <c r="BM428" s="25"/>
      <c r="BN428" s="25"/>
      <c r="BO428" s="25"/>
      <c r="BP428" s="25"/>
      <c r="BQ428" s="25"/>
      <c r="BR428" s="25"/>
      <c r="BS428" s="25"/>
      <c r="BT428" s="25"/>
      <c r="BU428" s="25"/>
      <c r="BV428" s="25"/>
      <c r="BW428" s="25"/>
      <c r="BX428" s="25"/>
      <c r="BY428" s="25"/>
      <c r="BZ428" s="25"/>
      <c r="CA428" s="25"/>
      <c r="CB428" s="25"/>
      <c r="CC428" s="25"/>
      <c r="CD428" s="25"/>
      <c r="CE428" s="25"/>
      <c r="CF428" s="25"/>
      <c r="CG428" s="25"/>
      <c r="CH428" s="25"/>
      <c r="CI428" s="25"/>
      <c r="CJ428" s="25"/>
      <c r="CK428" s="25"/>
      <c r="CL428" s="25"/>
      <c r="CM428" s="25"/>
      <c r="CN428" s="25"/>
      <c r="CO428" s="25"/>
      <c r="CP428" s="25"/>
      <c r="CQ428" s="25"/>
      <c r="CR428" s="25"/>
      <c r="CS428" s="25"/>
    </row>
    <row r="429" spans="2:97">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c r="AV429" s="25"/>
      <c r="AW429" s="25"/>
      <c r="AX429" s="25"/>
      <c r="AY429" s="25"/>
      <c r="AZ429" s="25"/>
      <c r="BA429" s="25"/>
      <c r="BB429" s="25"/>
      <c r="BC429" s="25"/>
      <c r="BD429" s="25"/>
      <c r="BE429" s="25"/>
      <c r="BF429" s="25"/>
      <c r="BG429" s="25"/>
      <c r="BH429" s="25"/>
      <c r="BI429" s="25"/>
      <c r="BJ429" s="25"/>
      <c r="BK429" s="25"/>
      <c r="BL429" s="25"/>
      <c r="BM429" s="25"/>
      <c r="BN429" s="25"/>
      <c r="BO429" s="25"/>
      <c r="BP429" s="25"/>
      <c r="BQ429" s="25"/>
      <c r="BR429" s="25"/>
      <c r="BS429" s="25"/>
      <c r="BT429" s="25"/>
      <c r="BU429" s="25"/>
      <c r="BV429" s="25"/>
      <c r="BW429" s="25"/>
      <c r="BX429" s="25"/>
      <c r="BY429" s="25"/>
      <c r="BZ429" s="25"/>
      <c r="CA429" s="25"/>
      <c r="CB429" s="25"/>
      <c r="CC429" s="25"/>
      <c r="CD429" s="25"/>
      <c r="CE429" s="25"/>
      <c r="CF429" s="25"/>
      <c r="CG429" s="25"/>
      <c r="CH429" s="25"/>
      <c r="CI429" s="25"/>
      <c r="CJ429" s="25"/>
      <c r="CK429" s="25"/>
      <c r="CL429" s="25"/>
      <c r="CM429" s="25"/>
      <c r="CN429" s="25"/>
      <c r="CO429" s="25"/>
      <c r="CP429" s="25"/>
      <c r="CQ429" s="25"/>
      <c r="CR429" s="25"/>
      <c r="CS429" s="25"/>
    </row>
    <row r="430" spans="2:97">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c r="AV430" s="25"/>
      <c r="AW430" s="25"/>
      <c r="AX430" s="25"/>
      <c r="AY430" s="25"/>
      <c r="AZ430" s="25"/>
      <c r="BA430" s="25"/>
      <c r="BB430" s="25"/>
      <c r="BC430" s="25"/>
      <c r="BD430" s="25"/>
      <c r="BE430" s="25"/>
      <c r="BF430" s="25"/>
      <c r="BG430" s="25"/>
      <c r="BH430" s="25"/>
      <c r="BI430" s="25"/>
      <c r="BJ430" s="25"/>
      <c r="BK430" s="25"/>
      <c r="BL430" s="25"/>
      <c r="BM430" s="25"/>
      <c r="BN430" s="25"/>
      <c r="BO430" s="25"/>
      <c r="BP430" s="25"/>
      <c r="BQ430" s="25"/>
      <c r="BR430" s="25"/>
      <c r="BS430" s="25"/>
      <c r="BT430" s="25"/>
      <c r="BU430" s="25"/>
      <c r="BV430" s="25"/>
      <c r="BW430" s="25"/>
      <c r="BX430" s="25"/>
      <c r="BY430" s="25"/>
      <c r="BZ430" s="25"/>
      <c r="CA430" s="25"/>
      <c r="CB430" s="25"/>
      <c r="CC430" s="25"/>
      <c r="CD430" s="25"/>
      <c r="CE430" s="25"/>
      <c r="CF430" s="25"/>
      <c r="CG430" s="25"/>
      <c r="CH430" s="25"/>
      <c r="CI430" s="25"/>
      <c r="CJ430" s="25"/>
      <c r="CK430" s="25"/>
      <c r="CL430" s="25"/>
      <c r="CM430" s="25"/>
      <c r="CN430" s="25"/>
      <c r="CO430" s="25"/>
      <c r="CP430" s="25"/>
      <c r="CQ430" s="25"/>
      <c r="CR430" s="25"/>
      <c r="CS430" s="25"/>
    </row>
    <row r="431" spans="2:97">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c r="AV431" s="25"/>
      <c r="AW431" s="25"/>
      <c r="AX431" s="25"/>
      <c r="AY431" s="25"/>
      <c r="AZ431" s="25"/>
      <c r="BA431" s="25"/>
      <c r="BB431" s="25"/>
      <c r="BC431" s="25"/>
      <c r="BD431" s="25"/>
      <c r="BE431" s="25"/>
      <c r="BF431" s="25"/>
      <c r="BG431" s="25"/>
      <c r="BH431" s="25"/>
      <c r="BI431" s="25"/>
      <c r="BJ431" s="25"/>
      <c r="BK431" s="25"/>
      <c r="BL431" s="25"/>
      <c r="BM431" s="25"/>
      <c r="BN431" s="25"/>
      <c r="BO431" s="25"/>
      <c r="BP431" s="25"/>
      <c r="BQ431" s="25"/>
      <c r="BR431" s="25"/>
      <c r="BS431" s="25"/>
      <c r="BT431" s="25"/>
      <c r="BU431" s="25"/>
      <c r="BV431" s="25"/>
      <c r="BW431" s="25"/>
      <c r="BX431" s="25"/>
      <c r="BY431" s="25"/>
      <c r="BZ431" s="25"/>
      <c r="CA431" s="25"/>
      <c r="CB431" s="25"/>
      <c r="CC431" s="25"/>
      <c r="CD431" s="25"/>
      <c r="CE431" s="25"/>
      <c r="CF431" s="25"/>
      <c r="CG431" s="25"/>
      <c r="CH431" s="25"/>
      <c r="CI431" s="25"/>
      <c r="CJ431" s="25"/>
      <c r="CK431" s="25"/>
      <c r="CL431" s="25"/>
      <c r="CM431" s="25"/>
      <c r="CN431" s="25"/>
      <c r="CO431" s="25"/>
      <c r="CP431" s="25"/>
      <c r="CQ431" s="25"/>
      <c r="CR431" s="25"/>
      <c r="CS431" s="25"/>
    </row>
    <row r="432" spans="2:97">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c r="AV432" s="25"/>
      <c r="AW432" s="25"/>
      <c r="AX432" s="25"/>
      <c r="AY432" s="25"/>
      <c r="AZ432" s="25"/>
      <c r="BA432" s="25"/>
      <c r="BB432" s="25"/>
      <c r="BC432" s="25"/>
      <c r="BD432" s="25"/>
      <c r="BE432" s="25"/>
      <c r="BF432" s="25"/>
      <c r="BG432" s="25"/>
      <c r="BH432" s="25"/>
      <c r="BI432" s="25"/>
      <c r="BJ432" s="25"/>
      <c r="BK432" s="25"/>
      <c r="BL432" s="25"/>
      <c r="BM432" s="25"/>
      <c r="BN432" s="25"/>
      <c r="BO432" s="25"/>
      <c r="BP432" s="25"/>
      <c r="BQ432" s="25"/>
      <c r="BR432" s="25"/>
      <c r="BS432" s="25"/>
      <c r="BT432" s="25"/>
      <c r="BU432" s="25"/>
      <c r="BV432" s="25"/>
      <c r="BW432" s="25"/>
      <c r="BX432" s="25"/>
      <c r="BY432" s="25"/>
      <c r="BZ432" s="25"/>
      <c r="CA432" s="25"/>
      <c r="CB432" s="25"/>
      <c r="CC432" s="25"/>
      <c r="CD432" s="25"/>
      <c r="CE432" s="25"/>
      <c r="CF432" s="25"/>
      <c r="CG432" s="25"/>
      <c r="CH432" s="25"/>
      <c r="CI432" s="25"/>
      <c r="CJ432" s="25"/>
      <c r="CK432" s="25"/>
      <c r="CL432" s="25"/>
      <c r="CM432" s="25"/>
      <c r="CN432" s="25"/>
      <c r="CO432" s="25"/>
      <c r="CP432" s="25"/>
      <c r="CQ432" s="25"/>
      <c r="CR432" s="25"/>
      <c r="CS432" s="25"/>
    </row>
    <row r="433" spans="2:97">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c r="AV433" s="25"/>
      <c r="AW433" s="25"/>
      <c r="AX433" s="25"/>
      <c r="AY433" s="25"/>
      <c r="AZ433" s="25"/>
      <c r="BA433" s="25"/>
      <c r="BB433" s="25"/>
      <c r="BC433" s="25"/>
      <c r="BD433" s="25"/>
      <c r="BE433" s="25"/>
      <c r="BF433" s="25"/>
      <c r="BG433" s="25"/>
      <c r="BH433" s="25"/>
      <c r="BI433" s="25"/>
      <c r="BJ433" s="25"/>
      <c r="BK433" s="25"/>
      <c r="BL433" s="25"/>
      <c r="BM433" s="25"/>
      <c r="BN433" s="25"/>
      <c r="BO433" s="25"/>
      <c r="BP433" s="25"/>
      <c r="BQ433" s="25"/>
      <c r="BR433" s="25"/>
      <c r="BS433" s="25"/>
      <c r="BT433" s="25"/>
      <c r="BU433" s="25"/>
      <c r="BV433" s="25"/>
      <c r="BW433" s="25"/>
      <c r="BX433" s="25"/>
      <c r="BY433" s="25"/>
      <c r="BZ433" s="25"/>
      <c r="CA433" s="25"/>
      <c r="CB433" s="25"/>
      <c r="CC433" s="25"/>
      <c r="CD433" s="25"/>
      <c r="CE433" s="25"/>
      <c r="CF433" s="25"/>
      <c r="CG433" s="25"/>
      <c r="CH433" s="25"/>
      <c r="CI433" s="25"/>
      <c r="CJ433" s="25"/>
      <c r="CK433" s="25"/>
      <c r="CL433" s="25"/>
      <c r="CM433" s="25"/>
      <c r="CN433" s="25"/>
      <c r="CO433" s="25"/>
      <c r="CP433" s="25"/>
      <c r="CQ433" s="25"/>
      <c r="CR433" s="25"/>
      <c r="CS433" s="25"/>
    </row>
    <row r="434" spans="2:97">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c r="AV434" s="25"/>
      <c r="AW434" s="25"/>
      <c r="AX434" s="25"/>
      <c r="AY434" s="25"/>
      <c r="AZ434" s="25"/>
      <c r="BA434" s="25"/>
      <c r="BB434" s="25"/>
      <c r="BC434" s="25"/>
      <c r="BD434" s="25"/>
      <c r="BE434" s="25"/>
      <c r="BF434" s="25"/>
      <c r="BG434" s="25"/>
      <c r="BH434" s="25"/>
      <c r="BI434" s="25"/>
      <c r="BJ434" s="25"/>
      <c r="BK434" s="25"/>
      <c r="BL434" s="25"/>
      <c r="BM434" s="25"/>
      <c r="BN434" s="25"/>
      <c r="BO434" s="25"/>
      <c r="BP434" s="25"/>
      <c r="BQ434" s="25"/>
      <c r="BR434" s="25"/>
      <c r="BS434" s="25"/>
      <c r="BT434" s="25"/>
      <c r="BU434" s="25"/>
      <c r="BV434" s="25"/>
      <c r="BW434" s="25"/>
      <c r="BX434" s="25"/>
      <c r="BY434" s="25"/>
      <c r="BZ434" s="25"/>
      <c r="CA434" s="25"/>
      <c r="CB434" s="25"/>
      <c r="CC434" s="25"/>
      <c r="CD434" s="25"/>
      <c r="CE434" s="25"/>
      <c r="CF434" s="25"/>
      <c r="CG434" s="25"/>
      <c r="CH434" s="25"/>
      <c r="CI434" s="25"/>
      <c r="CJ434" s="25"/>
      <c r="CK434" s="25"/>
      <c r="CL434" s="25"/>
      <c r="CM434" s="25"/>
      <c r="CN434" s="25"/>
      <c r="CO434" s="25"/>
      <c r="CP434" s="25"/>
      <c r="CQ434" s="25"/>
      <c r="CR434" s="25"/>
      <c r="CS434" s="25"/>
    </row>
    <row r="435" spans="2:97">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c r="AV435" s="25"/>
      <c r="AW435" s="25"/>
      <c r="AX435" s="25"/>
      <c r="AY435" s="25"/>
      <c r="AZ435" s="25"/>
      <c r="BA435" s="25"/>
      <c r="BB435" s="25"/>
      <c r="BC435" s="25"/>
      <c r="BD435" s="25"/>
      <c r="BE435" s="25"/>
      <c r="BF435" s="25"/>
      <c r="BG435" s="25"/>
      <c r="BH435" s="25"/>
      <c r="BI435" s="25"/>
      <c r="BJ435" s="25"/>
      <c r="BK435" s="25"/>
      <c r="BL435" s="25"/>
      <c r="BM435" s="25"/>
      <c r="BN435" s="25"/>
      <c r="BO435" s="25"/>
      <c r="BP435" s="25"/>
      <c r="BQ435" s="25"/>
      <c r="BR435" s="25"/>
      <c r="BS435" s="25"/>
      <c r="BT435" s="25"/>
      <c r="BU435" s="25"/>
      <c r="BV435" s="25"/>
      <c r="BW435" s="25"/>
      <c r="BX435" s="25"/>
      <c r="BY435" s="25"/>
      <c r="BZ435" s="25"/>
      <c r="CA435" s="25"/>
      <c r="CB435" s="25"/>
      <c r="CC435" s="25"/>
      <c r="CD435" s="25"/>
      <c r="CE435" s="25"/>
      <c r="CF435" s="25"/>
      <c r="CG435" s="25"/>
      <c r="CH435" s="25"/>
      <c r="CI435" s="25"/>
      <c r="CJ435" s="25"/>
      <c r="CK435" s="25"/>
      <c r="CL435" s="25"/>
      <c r="CM435" s="25"/>
      <c r="CN435" s="25"/>
      <c r="CO435" s="25"/>
      <c r="CP435" s="25"/>
      <c r="CQ435" s="25"/>
      <c r="CR435" s="25"/>
      <c r="CS435" s="25"/>
    </row>
    <row r="436" spans="2:97">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c r="AV436" s="25"/>
      <c r="AW436" s="25"/>
      <c r="AX436" s="25"/>
      <c r="AY436" s="25"/>
      <c r="AZ436" s="25"/>
      <c r="BA436" s="25"/>
      <c r="BB436" s="25"/>
      <c r="BC436" s="25"/>
      <c r="BD436" s="25"/>
      <c r="BE436" s="25"/>
      <c r="BF436" s="25"/>
      <c r="BG436" s="25"/>
      <c r="BH436" s="25"/>
      <c r="BI436" s="25"/>
      <c r="BJ436" s="25"/>
      <c r="BK436" s="25"/>
      <c r="BL436" s="25"/>
      <c r="BM436" s="25"/>
      <c r="BN436" s="25"/>
      <c r="BO436" s="25"/>
      <c r="BP436" s="25"/>
      <c r="BQ436" s="25"/>
      <c r="BR436" s="25"/>
      <c r="BS436" s="25"/>
      <c r="BT436" s="25"/>
      <c r="BU436" s="25"/>
      <c r="BV436" s="25"/>
      <c r="BW436" s="25"/>
      <c r="BX436" s="25"/>
      <c r="BY436" s="25"/>
      <c r="BZ436" s="25"/>
      <c r="CA436" s="25"/>
      <c r="CB436" s="25"/>
      <c r="CC436" s="25"/>
      <c r="CD436" s="25"/>
      <c r="CE436" s="25"/>
      <c r="CF436" s="25"/>
      <c r="CG436" s="25"/>
      <c r="CH436" s="25"/>
      <c r="CI436" s="25"/>
      <c r="CJ436" s="25"/>
      <c r="CK436" s="25"/>
      <c r="CL436" s="25"/>
      <c r="CM436" s="25"/>
      <c r="CN436" s="25"/>
      <c r="CO436" s="25"/>
      <c r="CP436" s="25"/>
      <c r="CQ436" s="25"/>
      <c r="CR436" s="25"/>
      <c r="CS436" s="25"/>
    </row>
    <row r="437" spans="2:97">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c r="AV437" s="25"/>
      <c r="AW437" s="25"/>
      <c r="AX437" s="25"/>
      <c r="AY437" s="25"/>
      <c r="AZ437" s="25"/>
      <c r="BA437" s="25"/>
      <c r="BB437" s="25"/>
      <c r="BC437" s="25"/>
      <c r="BD437" s="25"/>
      <c r="BE437" s="25"/>
      <c r="BF437" s="25"/>
      <c r="BG437" s="25"/>
      <c r="BH437" s="25"/>
      <c r="BI437" s="25"/>
      <c r="BJ437" s="25"/>
      <c r="BK437" s="25"/>
      <c r="BL437" s="25"/>
      <c r="BM437" s="25"/>
      <c r="BN437" s="25"/>
      <c r="BO437" s="25"/>
      <c r="BP437" s="25"/>
      <c r="BQ437" s="25"/>
      <c r="BR437" s="25"/>
      <c r="BS437" s="25"/>
      <c r="BT437" s="25"/>
      <c r="BU437" s="25"/>
      <c r="BV437" s="25"/>
      <c r="BW437" s="25"/>
      <c r="BX437" s="25"/>
      <c r="BY437" s="25"/>
      <c r="BZ437" s="25"/>
      <c r="CA437" s="25"/>
      <c r="CB437" s="25"/>
      <c r="CC437" s="25"/>
      <c r="CD437" s="25"/>
      <c r="CE437" s="25"/>
      <c r="CF437" s="25"/>
      <c r="CG437" s="25"/>
      <c r="CH437" s="25"/>
      <c r="CI437" s="25"/>
      <c r="CJ437" s="25"/>
      <c r="CK437" s="25"/>
      <c r="CL437" s="25"/>
      <c r="CM437" s="25"/>
      <c r="CN437" s="25"/>
      <c r="CO437" s="25"/>
      <c r="CP437" s="25"/>
      <c r="CQ437" s="25"/>
      <c r="CR437" s="25"/>
      <c r="CS437" s="25"/>
    </row>
    <row r="438" spans="2:97">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c r="AV438" s="25"/>
      <c r="AW438" s="25"/>
      <c r="AX438" s="25"/>
      <c r="AY438" s="25"/>
      <c r="AZ438" s="25"/>
      <c r="BA438" s="25"/>
      <c r="BB438" s="25"/>
      <c r="BC438" s="25"/>
      <c r="BD438" s="25"/>
      <c r="BE438" s="25"/>
      <c r="BF438" s="25"/>
      <c r="BG438" s="25"/>
      <c r="BH438" s="25"/>
      <c r="BI438" s="25"/>
      <c r="BJ438" s="25"/>
      <c r="BK438" s="25"/>
      <c r="BL438" s="25"/>
      <c r="BM438" s="25"/>
      <c r="BN438" s="25"/>
      <c r="BO438" s="25"/>
      <c r="BP438" s="25"/>
      <c r="BQ438" s="25"/>
      <c r="BR438" s="25"/>
      <c r="BS438" s="25"/>
      <c r="BT438" s="25"/>
      <c r="BU438" s="25"/>
      <c r="BV438" s="25"/>
      <c r="BW438" s="25"/>
      <c r="BX438" s="25"/>
      <c r="BY438" s="25"/>
      <c r="BZ438" s="25"/>
      <c r="CA438" s="25"/>
      <c r="CB438" s="25"/>
      <c r="CC438" s="25"/>
      <c r="CD438" s="25"/>
      <c r="CE438" s="25"/>
      <c r="CF438" s="25"/>
      <c r="CG438" s="25"/>
      <c r="CH438" s="25"/>
      <c r="CI438" s="25"/>
      <c r="CJ438" s="25"/>
      <c r="CK438" s="25"/>
      <c r="CL438" s="25"/>
      <c r="CM438" s="25"/>
      <c r="CN438" s="25"/>
      <c r="CO438" s="25"/>
      <c r="CP438" s="25"/>
      <c r="CQ438" s="25"/>
      <c r="CR438" s="25"/>
      <c r="CS438" s="25"/>
    </row>
    <row r="439" spans="2:97">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c r="AV439" s="25"/>
      <c r="AW439" s="25"/>
      <c r="AX439" s="25"/>
      <c r="AY439" s="25"/>
      <c r="AZ439" s="25"/>
      <c r="BA439" s="25"/>
      <c r="BB439" s="25"/>
      <c r="BC439" s="25"/>
      <c r="BD439" s="25"/>
      <c r="BE439" s="25"/>
      <c r="BF439" s="25"/>
      <c r="BG439" s="25"/>
      <c r="BH439" s="25"/>
      <c r="BI439" s="25"/>
      <c r="BJ439" s="25"/>
      <c r="BK439" s="25"/>
      <c r="BL439" s="25"/>
      <c r="BM439" s="25"/>
      <c r="BN439" s="25"/>
      <c r="BO439" s="25"/>
      <c r="BP439" s="25"/>
      <c r="BQ439" s="25"/>
      <c r="BR439" s="25"/>
      <c r="BS439" s="25"/>
      <c r="BT439" s="25"/>
      <c r="BU439" s="25"/>
      <c r="BV439" s="25"/>
      <c r="BW439" s="25"/>
      <c r="BX439" s="25"/>
      <c r="BY439" s="25"/>
      <c r="BZ439" s="25"/>
      <c r="CA439" s="25"/>
      <c r="CB439" s="25"/>
      <c r="CC439" s="25"/>
      <c r="CD439" s="25"/>
      <c r="CE439" s="25"/>
      <c r="CF439" s="25"/>
      <c r="CG439" s="25"/>
      <c r="CH439" s="25"/>
      <c r="CI439" s="25"/>
      <c r="CJ439" s="25"/>
      <c r="CK439" s="25"/>
      <c r="CL439" s="25"/>
      <c r="CM439" s="25"/>
      <c r="CN439" s="25"/>
      <c r="CO439" s="25"/>
      <c r="CP439" s="25"/>
      <c r="CQ439" s="25"/>
      <c r="CR439" s="25"/>
      <c r="CS439" s="25"/>
    </row>
    <row r="440" spans="2:97">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c r="AV440" s="25"/>
      <c r="AW440" s="25"/>
      <c r="AX440" s="25"/>
      <c r="AY440" s="25"/>
      <c r="AZ440" s="25"/>
      <c r="BA440" s="25"/>
      <c r="BB440" s="25"/>
      <c r="BC440" s="25"/>
      <c r="BD440" s="25"/>
      <c r="BE440" s="25"/>
      <c r="BF440" s="25"/>
      <c r="BG440" s="25"/>
      <c r="BH440" s="25"/>
      <c r="BI440" s="25"/>
      <c r="BJ440" s="25"/>
      <c r="BK440" s="25"/>
      <c r="BL440" s="25"/>
      <c r="BM440" s="25"/>
      <c r="BN440" s="25"/>
      <c r="BO440" s="25"/>
      <c r="BP440" s="25"/>
      <c r="BQ440" s="25"/>
      <c r="BR440" s="25"/>
      <c r="BS440" s="25"/>
      <c r="BT440" s="25"/>
      <c r="BU440" s="25"/>
      <c r="BV440" s="25"/>
      <c r="BW440" s="25"/>
      <c r="BX440" s="25"/>
      <c r="BY440" s="25"/>
      <c r="BZ440" s="25"/>
      <c r="CA440" s="25"/>
      <c r="CB440" s="25"/>
      <c r="CC440" s="25"/>
      <c r="CD440" s="25"/>
      <c r="CE440" s="25"/>
      <c r="CF440" s="25"/>
      <c r="CG440" s="25"/>
      <c r="CH440" s="25"/>
      <c r="CI440" s="25"/>
      <c r="CJ440" s="25"/>
      <c r="CK440" s="25"/>
      <c r="CL440" s="25"/>
      <c r="CM440" s="25"/>
      <c r="CN440" s="25"/>
      <c r="CO440" s="25"/>
      <c r="CP440" s="25"/>
      <c r="CQ440" s="25"/>
      <c r="CR440" s="25"/>
      <c r="CS440" s="25"/>
    </row>
    <row r="441" spans="2:97">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c r="AV441" s="25"/>
      <c r="AW441" s="25"/>
      <c r="AX441" s="25"/>
      <c r="AY441" s="25"/>
      <c r="AZ441" s="25"/>
      <c r="BA441" s="25"/>
      <c r="BB441" s="25"/>
      <c r="BC441" s="25"/>
      <c r="BD441" s="25"/>
      <c r="BE441" s="25"/>
      <c r="BF441" s="25"/>
      <c r="BG441" s="25"/>
      <c r="BH441" s="25"/>
      <c r="BI441" s="25"/>
      <c r="BJ441" s="25"/>
      <c r="BK441" s="25"/>
      <c r="BL441" s="25"/>
      <c r="BM441" s="25"/>
      <c r="BN441" s="25"/>
      <c r="BO441" s="25"/>
      <c r="BP441" s="25"/>
      <c r="BQ441" s="25"/>
      <c r="BR441" s="25"/>
      <c r="BS441" s="25"/>
      <c r="BT441" s="25"/>
      <c r="BU441" s="25"/>
      <c r="BV441" s="25"/>
      <c r="BW441" s="25"/>
      <c r="BX441" s="25"/>
      <c r="BY441" s="25"/>
      <c r="BZ441" s="25"/>
      <c r="CA441" s="25"/>
      <c r="CB441" s="25"/>
      <c r="CC441" s="25"/>
      <c r="CD441" s="25"/>
      <c r="CE441" s="25"/>
      <c r="CF441" s="25"/>
      <c r="CG441" s="25"/>
      <c r="CH441" s="25"/>
      <c r="CI441" s="25"/>
      <c r="CJ441" s="25"/>
      <c r="CK441" s="25"/>
      <c r="CL441" s="25"/>
      <c r="CM441" s="25"/>
      <c r="CN441" s="25"/>
      <c r="CO441" s="25"/>
      <c r="CP441" s="25"/>
      <c r="CQ441" s="25"/>
      <c r="CR441" s="25"/>
      <c r="CS441" s="25"/>
    </row>
    <row r="442" spans="2:97">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c r="AV442" s="25"/>
      <c r="AW442" s="25"/>
      <c r="AX442" s="25"/>
      <c r="AY442" s="25"/>
      <c r="AZ442" s="25"/>
      <c r="BA442" s="25"/>
      <c r="BB442" s="25"/>
      <c r="BC442" s="25"/>
      <c r="BD442" s="25"/>
      <c r="BE442" s="25"/>
      <c r="BF442" s="25"/>
      <c r="BG442" s="25"/>
      <c r="BH442" s="25"/>
      <c r="BI442" s="25"/>
      <c r="BJ442" s="25"/>
      <c r="BK442" s="25"/>
      <c r="BL442" s="25"/>
      <c r="BM442" s="25"/>
      <c r="BN442" s="25"/>
      <c r="BO442" s="25"/>
      <c r="BP442" s="25"/>
      <c r="BQ442" s="25"/>
      <c r="BR442" s="25"/>
      <c r="BS442" s="25"/>
      <c r="BT442" s="25"/>
      <c r="BU442" s="25"/>
      <c r="BV442" s="25"/>
      <c r="BW442" s="25"/>
      <c r="BX442" s="25"/>
      <c r="BY442" s="25"/>
      <c r="BZ442" s="25"/>
      <c r="CA442" s="25"/>
      <c r="CB442" s="25"/>
      <c r="CC442" s="25"/>
      <c r="CD442" s="25"/>
      <c r="CE442" s="25"/>
      <c r="CF442" s="25"/>
      <c r="CG442" s="25"/>
      <c r="CH442" s="25"/>
      <c r="CI442" s="25"/>
      <c r="CJ442" s="25"/>
      <c r="CK442" s="25"/>
      <c r="CL442" s="25"/>
      <c r="CM442" s="25"/>
      <c r="CN442" s="25"/>
      <c r="CO442" s="25"/>
      <c r="CP442" s="25"/>
      <c r="CQ442" s="25"/>
      <c r="CR442" s="25"/>
      <c r="CS442" s="25"/>
    </row>
    <row r="443" spans="2:97">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c r="AV443" s="25"/>
      <c r="AW443" s="25"/>
      <c r="AX443" s="25"/>
      <c r="AY443" s="25"/>
      <c r="AZ443" s="25"/>
      <c r="BA443" s="25"/>
      <c r="BB443" s="25"/>
      <c r="BC443" s="25"/>
      <c r="BD443" s="25"/>
      <c r="BE443" s="25"/>
      <c r="BF443" s="25"/>
      <c r="BG443" s="25"/>
      <c r="BH443" s="25"/>
      <c r="BI443" s="25"/>
      <c r="BJ443" s="25"/>
      <c r="BK443" s="25"/>
      <c r="BL443" s="25"/>
      <c r="BM443" s="25"/>
      <c r="BN443" s="25"/>
      <c r="BO443" s="25"/>
      <c r="BP443" s="25"/>
      <c r="BQ443" s="25"/>
      <c r="BR443" s="25"/>
      <c r="BS443" s="25"/>
      <c r="BT443" s="25"/>
      <c r="BU443" s="25"/>
      <c r="BV443" s="25"/>
      <c r="BW443" s="25"/>
      <c r="BX443" s="25"/>
      <c r="BY443" s="25"/>
      <c r="BZ443" s="25"/>
      <c r="CA443" s="25"/>
      <c r="CB443" s="25"/>
      <c r="CC443" s="25"/>
      <c r="CD443" s="25"/>
      <c r="CE443" s="25"/>
      <c r="CF443" s="25"/>
      <c r="CG443" s="25"/>
      <c r="CH443" s="25"/>
      <c r="CI443" s="25"/>
      <c r="CJ443" s="25"/>
      <c r="CK443" s="25"/>
      <c r="CL443" s="25"/>
      <c r="CM443" s="25"/>
      <c r="CN443" s="25"/>
      <c r="CO443" s="25"/>
      <c r="CP443" s="25"/>
      <c r="CQ443" s="25"/>
      <c r="CR443" s="25"/>
      <c r="CS443" s="25"/>
    </row>
    <row r="444" spans="2:97">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c r="AV444" s="25"/>
      <c r="AW444" s="25"/>
      <c r="AX444" s="25"/>
      <c r="AY444" s="25"/>
      <c r="AZ444" s="25"/>
      <c r="BA444" s="25"/>
      <c r="BB444" s="25"/>
      <c r="BC444" s="25"/>
      <c r="BD444" s="25"/>
      <c r="BE444" s="25"/>
      <c r="BF444" s="25"/>
      <c r="BG444" s="25"/>
      <c r="BH444" s="25"/>
      <c r="BI444" s="25"/>
      <c r="BJ444" s="25"/>
      <c r="BK444" s="25"/>
      <c r="BL444" s="25"/>
      <c r="BM444" s="25"/>
      <c r="BN444" s="25"/>
      <c r="BO444" s="25"/>
      <c r="BP444" s="25"/>
      <c r="BQ444" s="25"/>
      <c r="BR444" s="25"/>
      <c r="BS444" s="25"/>
      <c r="BT444" s="25"/>
      <c r="BU444" s="25"/>
      <c r="BV444" s="25"/>
      <c r="BW444" s="25"/>
      <c r="BX444" s="25"/>
      <c r="BY444" s="25"/>
      <c r="BZ444" s="25"/>
      <c r="CA444" s="25"/>
      <c r="CB444" s="25"/>
      <c r="CC444" s="25"/>
      <c r="CD444" s="25"/>
      <c r="CE444" s="25"/>
      <c r="CF444" s="25"/>
      <c r="CG444" s="25"/>
      <c r="CH444" s="25"/>
      <c r="CI444" s="25"/>
      <c r="CJ444" s="25"/>
      <c r="CK444" s="25"/>
      <c r="CL444" s="25"/>
      <c r="CM444" s="25"/>
      <c r="CN444" s="25"/>
      <c r="CO444" s="25"/>
      <c r="CP444" s="25"/>
      <c r="CQ444" s="25"/>
      <c r="CR444" s="25"/>
      <c r="CS444" s="25"/>
    </row>
    <row r="445" spans="2:97">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c r="AV445" s="25"/>
      <c r="AW445" s="25"/>
      <c r="AX445" s="25"/>
      <c r="AY445" s="25"/>
      <c r="AZ445" s="25"/>
      <c r="BA445" s="25"/>
      <c r="BB445" s="25"/>
      <c r="BC445" s="25"/>
      <c r="BD445" s="25"/>
      <c r="BE445" s="25"/>
      <c r="BF445" s="25"/>
      <c r="BG445" s="25"/>
      <c r="BH445" s="25"/>
      <c r="BI445" s="25"/>
      <c r="BJ445" s="25"/>
      <c r="BK445" s="25"/>
      <c r="BL445" s="25"/>
      <c r="BM445" s="25"/>
      <c r="BN445" s="25"/>
      <c r="BO445" s="25"/>
      <c r="BP445" s="25"/>
      <c r="BQ445" s="25"/>
      <c r="BR445" s="25"/>
      <c r="BS445" s="25"/>
      <c r="BT445" s="25"/>
      <c r="BU445" s="25"/>
      <c r="BV445" s="25"/>
      <c r="BW445" s="25"/>
      <c r="BX445" s="25"/>
      <c r="BY445" s="25"/>
      <c r="BZ445" s="25"/>
      <c r="CA445" s="25"/>
      <c r="CB445" s="25"/>
      <c r="CC445" s="25"/>
      <c r="CD445" s="25"/>
      <c r="CE445" s="25"/>
      <c r="CF445" s="25"/>
      <c r="CG445" s="25"/>
      <c r="CH445" s="25"/>
      <c r="CI445" s="25"/>
      <c r="CJ445" s="25"/>
      <c r="CK445" s="25"/>
      <c r="CL445" s="25"/>
      <c r="CM445" s="25"/>
      <c r="CN445" s="25"/>
      <c r="CO445" s="25"/>
      <c r="CP445" s="25"/>
      <c r="CQ445" s="25"/>
      <c r="CR445" s="25"/>
      <c r="CS445" s="25"/>
    </row>
    <row r="446" spans="2:97">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c r="AV446" s="25"/>
      <c r="AW446" s="25"/>
      <c r="AX446" s="25"/>
      <c r="AY446" s="25"/>
      <c r="AZ446" s="25"/>
      <c r="BA446" s="25"/>
      <c r="BB446" s="25"/>
      <c r="BC446" s="25"/>
      <c r="BD446" s="25"/>
      <c r="BE446" s="25"/>
      <c r="BF446" s="25"/>
      <c r="BG446" s="25"/>
      <c r="BH446" s="25"/>
      <c r="BI446" s="25"/>
      <c r="BJ446" s="25"/>
      <c r="BK446" s="25"/>
      <c r="BL446" s="25"/>
      <c r="BM446" s="25"/>
      <c r="BN446" s="25"/>
      <c r="BO446" s="25"/>
      <c r="BP446" s="25"/>
      <c r="BQ446" s="25"/>
      <c r="BR446" s="25"/>
      <c r="BS446" s="25"/>
      <c r="BT446" s="25"/>
      <c r="BU446" s="25"/>
      <c r="BV446" s="25"/>
      <c r="BW446" s="25"/>
      <c r="BX446" s="25"/>
      <c r="BY446" s="25"/>
      <c r="BZ446" s="25"/>
      <c r="CA446" s="25"/>
      <c r="CB446" s="25"/>
      <c r="CC446" s="25"/>
      <c r="CD446" s="25"/>
      <c r="CE446" s="25"/>
      <c r="CF446" s="25"/>
      <c r="CG446" s="25"/>
      <c r="CH446" s="25"/>
      <c r="CI446" s="25"/>
      <c r="CJ446" s="25"/>
      <c r="CK446" s="25"/>
      <c r="CL446" s="25"/>
      <c r="CM446" s="25"/>
      <c r="CN446" s="25"/>
      <c r="CO446" s="25"/>
      <c r="CP446" s="25"/>
      <c r="CQ446" s="25"/>
      <c r="CR446" s="25"/>
      <c r="CS446" s="25"/>
    </row>
    <row r="447" spans="2:97">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c r="AV447" s="25"/>
      <c r="AW447" s="25"/>
      <c r="AX447" s="25"/>
      <c r="AY447" s="25"/>
      <c r="AZ447" s="25"/>
      <c r="BA447" s="25"/>
      <c r="BB447" s="25"/>
      <c r="BC447" s="25"/>
      <c r="BD447" s="25"/>
      <c r="BE447" s="25"/>
      <c r="BF447" s="25"/>
      <c r="BG447" s="25"/>
      <c r="BH447" s="25"/>
      <c r="BI447" s="25"/>
      <c r="BJ447" s="25"/>
      <c r="BK447" s="25"/>
      <c r="BL447" s="25"/>
      <c r="BM447" s="25"/>
      <c r="BN447" s="25"/>
      <c r="BO447" s="25"/>
      <c r="BP447" s="25"/>
      <c r="BQ447" s="25"/>
      <c r="BR447" s="25"/>
      <c r="BS447" s="25"/>
      <c r="BT447" s="25"/>
      <c r="BU447" s="25"/>
      <c r="BV447" s="25"/>
      <c r="BW447" s="25"/>
      <c r="BX447" s="25"/>
      <c r="BY447" s="25"/>
      <c r="BZ447" s="25"/>
      <c r="CA447" s="25"/>
      <c r="CB447" s="25"/>
      <c r="CC447" s="25"/>
      <c r="CD447" s="25"/>
      <c r="CE447" s="25"/>
      <c r="CF447" s="25"/>
      <c r="CG447" s="25"/>
      <c r="CH447" s="25"/>
      <c r="CI447" s="25"/>
      <c r="CJ447" s="25"/>
      <c r="CK447" s="25"/>
      <c r="CL447" s="25"/>
      <c r="CM447" s="25"/>
      <c r="CN447" s="25"/>
      <c r="CO447" s="25"/>
      <c r="CP447" s="25"/>
      <c r="CQ447" s="25"/>
      <c r="CR447" s="25"/>
      <c r="CS447" s="25"/>
    </row>
    <row r="448" spans="2:97">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c r="AV448" s="25"/>
      <c r="AW448" s="25"/>
      <c r="AX448" s="25"/>
      <c r="AY448" s="25"/>
      <c r="AZ448" s="25"/>
      <c r="BA448" s="25"/>
      <c r="BB448" s="25"/>
      <c r="BC448" s="25"/>
      <c r="BD448" s="25"/>
      <c r="BE448" s="25"/>
      <c r="BF448" s="25"/>
      <c r="BG448" s="25"/>
      <c r="BH448" s="25"/>
      <c r="BI448" s="25"/>
      <c r="BJ448" s="25"/>
      <c r="BK448" s="25"/>
      <c r="BL448" s="25"/>
      <c r="BM448" s="25"/>
      <c r="BN448" s="25"/>
      <c r="BO448" s="25"/>
      <c r="BP448" s="25"/>
      <c r="BQ448" s="25"/>
      <c r="BR448" s="25"/>
      <c r="BS448" s="25"/>
      <c r="BT448" s="25"/>
      <c r="BU448" s="25"/>
      <c r="BV448" s="25"/>
      <c r="BW448" s="25"/>
      <c r="BX448" s="25"/>
      <c r="BY448" s="25"/>
      <c r="BZ448" s="25"/>
      <c r="CA448" s="25"/>
      <c r="CB448" s="25"/>
      <c r="CC448" s="25"/>
      <c r="CD448" s="25"/>
      <c r="CE448" s="25"/>
      <c r="CF448" s="25"/>
      <c r="CG448" s="25"/>
      <c r="CH448" s="25"/>
      <c r="CI448" s="25"/>
      <c r="CJ448" s="25"/>
      <c r="CK448" s="25"/>
      <c r="CL448" s="25"/>
      <c r="CM448" s="25"/>
      <c r="CN448" s="25"/>
      <c r="CO448" s="25"/>
      <c r="CP448" s="25"/>
      <c r="CQ448" s="25"/>
      <c r="CR448" s="25"/>
      <c r="CS448" s="25"/>
    </row>
    <row r="449" spans="2:97">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c r="AV449" s="25"/>
      <c r="AW449" s="25"/>
      <c r="AX449" s="25"/>
      <c r="AY449" s="25"/>
      <c r="AZ449" s="25"/>
      <c r="BA449" s="25"/>
      <c r="BB449" s="25"/>
      <c r="BC449" s="25"/>
      <c r="BD449" s="25"/>
      <c r="BE449" s="25"/>
      <c r="BF449" s="25"/>
      <c r="BG449" s="25"/>
      <c r="BH449" s="25"/>
      <c r="BI449" s="25"/>
      <c r="BJ449" s="25"/>
      <c r="BK449" s="25"/>
      <c r="BL449" s="25"/>
      <c r="BM449" s="25"/>
      <c r="BN449" s="25"/>
      <c r="BO449" s="25"/>
      <c r="BP449" s="25"/>
      <c r="BQ449" s="25"/>
      <c r="BR449" s="25"/>
      <c r="BS449" s="25"/>
      <c r="BT449" s="25"/>
      <c r="BU449" s="25"/>
      <c r="BV449" s="25"/>
      <c r="BW449" s="25"/>
      <c r="BX449" s="25"/>
      <c r="BY449" s="25"/>
      <c r="BZ449" s="25"/>
      <c r="CA449" s="25"/>
      <c r="CB449" s="25"/>
      <c r="CC449" s="25"/>
      <c r="CD449" s="25"/>
      <c r="CE449" s="25"/>
      <c r="CF449" s="25"/>
      <c r="CG449" s="25"/>
      <c r="CH449" s="25"/>
      <c r="CI449" s="25"/>
      <c r="CJ449" s="25"/>
      <c r="CK449" s="25"/>
      <c r="CL449" s="25"/>
      <c r="CM449" s="25"/>
      <c r="CN449" s="25"/>
      <c r="CO449" s="25"/>
      <c r="CP449" s="25"/>
      <c r="CQ449" s="25"/>
      <c r="CR449" s="25"/>
      <c r="CS449" s="25"/>
    </row>
    <row r="450" spans="2:97">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c r="AV450" s="25"/>
      <c r="AW450" s="25"/>
      <c r="AX450" s="25"/>
      <c r="AY450" s="25"/>
      <c r="AZ450" s="25"/>
      <c r="BA450" s="25"/>
      <c r="BB450" s="25"/>
      <c r="BC450" s="25"/>
      <c r="BD450" s="25"/>
      <c r="BE450" s="25"/>
      <c r="BF450" s="25"/>
      <c r="BG450" s="25"/>
      <c r="BH450" s="25"/>
      <c r="BI450" s="25"/>
      <c r="BJ450" s="25"/>
      <c r="BK450" s="25"/>
      <c r="BL450" s="25"/>
      <c r="BM450" s="25"/>
      <c r="BN450" s="25"/>
      <c r="BO450" s="25"/>
      <c r="BP450" s="25"/>
      <c r="BQ450" s="25"/>
      <c r="BR450" s="25"/>
      <c r="BS450" s="25"/>
      <c r="BT450" s="25"/>
      <c r="BU450" s="25"/>
      <c r="BV450" s="25"/>
      <c r="BW450" s="25"/>
      <c r="BX450" s="25"/>
      <c r="BY450" s="25"/>
      <c r="BZ450" s="25"/>
      <c r="CA450" s="25"/>
      <c r="CB450" s="25"/>
      <c r="CC450" s="25"/>
      <c r="CD450" s="25"/>
      <c r="CE450" s="25"/>
      <c r="CF450" s="25"/>
      <c r="CG450" s="25"/>
      <c r="CH450" s="25"/>
      <c r="CI450" s="25"/>
      <c r="CJ450" s="25"/>
      <c r="CK450" s="25"/>
      <c r="CL450" s="25"/>
      <c r="CM450" s="25"/>
      <c r="CN450" s="25"/>
      <c r="CO450" s="25"/>
      <c r="CP450" s="25"/>
      <c r="CQ450" s="25"/>
      <c r="CR450" s="25"/>
      <c r="CS450" s="25"/>
    </row>
    <row r="451" spans="2:97">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c r="AV451" s="25"/>
      <c r="AW451" s="25"/>
      <c r="AX451" s="25"/>
      <c r="AY451" s="25"/>
      <c r="AZ451" s="25"/>
      <c r="BA451" s="25"/>
      <c r="BB451" s="25"/>
      <c r="BC451" s="25"/>
      <c r="BD451" s="25"/>
      <c r="BE451" s="25"/>
      <c r="BF451" s="25"/>
      <c r="BG451" s="25"/>
      <c r="BH451" s="25"/>
      <c r="BI451" s="25"/>
      <c r="BJ451" s="25"/>
      <c r="BK451" s="25"/>
      <c r="BL451" s="25"/>
      <c r="BM451" s="25"/>
      <c r="BN451" s="25"/>
      <c r="BO451" s="25"/>
      <c r="BP451" s="25"/>
      <c r="BQ451" s="25"/>
      <c r="BR451" s="25"/>
      <c r="BS451" s="25"/>
      <c r="BT451" s="25"/>
      <c r="BU451" s="25"/>
      <c r="BV451" s="25"/>
      <c r="BW451" s="25"/>
      <c r="BX451" s="25"/>
      <c r="BY451" s="25"/>
      <c r="BZ451" s="25"/>
      <c r="CA451" s="25"/>
      <c r="CB451" s="25"/>
      <c r="CC451" s="25"/>
      <c r="CD451" s="25"/>
      <c r="CE451" s="25"/>
      <c r="CF451" s="25"/>
      <c r="CG451" s="25"/>
      <c r="CH451" s="25"/>
      <c r="CI451" s="25"/>
      <c r="CJ451" s="25"/>
      <c r="CK451" s="25"/>
      <c r="CL451" s="25"/>
      <c r="CM451" s="25"/>
      <c r="CN451" s="25"/>
      <c r="CO451" s="25"/>
      <c r="CP451" s="25"/>
      <c r="CQ451" s="25"/>
      <c r="CR451" s="25"/>
      <c r="CS451" s="25"/>
    </row>
    <row r="452" spans="2:97">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c r="AV452" s="25"/>
      <c r="AW452" s="25"/>
      <c r="AX452" s="25"/>
      <c r="AY452" s="25"/>
      <c r="AZ452" s="25"/>
      <c r="BA452" s="25"/>
      <c r="BB452" s="25"/>
      <c r="BC452" s="25"/>
      <c r="BD452" s="25"/>
      <c r="BE452" s="25"/>
      <c r="BF452" s="25"/>
      <c r="BG452" s="25"/>
      <c r="BH452" s="25"/>
      <c r="BI452" s="25"/>
      <c r="BJ452" s="25"/>
      <c r="BK452" s="25"/>
      <c r="BL452" s="25"/>
      <c r="BM452" s="25"/>
      <c r="BN452" s="25"/>
      <c r="BO452" s="25"/>
      <c r="BP452" s="25"/>
      <c r="BQ452" s="25"/>
      <c r="BR452" s="25"/>
      <c r="BS452" s="25"/>
      <c r="BT452" s="25"/>
      <c r="BU452" s="25"/>
      <c r="BV452" s="25"/>
      <c r="BW452" s="25"/>
      <c r="BX452" s="25"/>
      <c r="BY452" s="25"/>
      <c r="BZ452" s="25"/>
      <c r="CA452" s="25"/>
      <c r="CB452" s="25"/>
      <c r="CC452" s="25"/>
      <c r="CD452" s="25"/>
      <c r="CE452" s="25"/>
      <c r="CF452" s="25"/>
      <c r="CG452" s="25"/>
      <c r="CH452" s="25"/>
      <c r="CI452" s="25"/>
      <c r="CJ452" s="25"/>
      <c r="CK452" s="25"/>
      <c r="CL452" s="25"/>
      <c r="CM452" s="25"/>
      <c r="CN452" s="25"/>
      <c r="CO452" s="25"/>
      <c r="CP452" s="25"/>
      <c r="CQ452" s="25"/>
      <c r="CR452" s="25"/>
      <c r="CS452" s="25"/>
    </row>
    <row r="453" spans="2:97">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c r="AV453" s="25"/>
      <c r="AW453" s="25"/>
      <c r="AX453" s="25"/>
      <c r="AY453" s="25"/>
      <c r="AZ453" s="25"/>
      <c r="BA453" s="25"/>
      <c r="BB453" s="25"/>
      <c r="BC453" s="25"/>
      <c r="BD453" s="25"/>
      <c r="BE453" s="25"/>
      <c r="BF453" s="25"/>
      <c r="BG453" s="25"/>
      <c r="BH453" s="25"/>
      <c r="BI453" s="25"/>
      <c r="BJ453" s="25"/>
      <c r="BK453" s="25"/>
      <c r="BL453" s="25"/>
      <c r="BM453" s="25"/>
      <c r="BN453" s="25"/>
      <c r="BO453" s="25"/>
      <c r="BP453" s="25"/>
      <c r="BQ453" s="25"/>
      <c r="BR453" s="25"/>
      <c r="BS453" s="25"/>
      <c r="BT453" s="25"/>
      <c r="BU453" s="25"/>
      <c r="BV453" s="25"/>
      <c r="BW453" s="25"/>
      <c r="BX453" s="25"/>
      <c r="BY453" s="25"/>
      <c r="BZ453" s="25"/>
      <c r="CA453" s="25"/>
      <c r="CB453" s="25"/>
      <c r="CC453" s="25"/>
      <c r="CD453" s="25"/>
      <c r="CE453" s="25"/>
      <c r="CF453" s="25"/>
      <c r="CG453" s="25"/>
      <c r="CH453" s="25"/>
      <c r="CI453" s="25"/>
      <c r="CJ453" s="25"/>
      <c r="CK453" s="25"/>
      <c r="CL453" s="25"/>
      <c r="CM453" s="25"/>
      <c r="CN453" s="25"/>
      <c r="CO453" s="25"/>
      <c r="CP453" s="25"/>
      <c r="CQ453" s="25"/>
      <c r="CR453" s="25"/>
      <c r="CS453" s="25"/>
    </row>
    <row r="454" spans="2:97">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c r="AV454" s="25"/>
      <c r="AW454" s="25"/>
      <c r="AX454" s="25"/>
      <c r="AY454" s="25"/>
      <c r="AZ454" s="25"/>
      <c r="BA454" s="25"/>
      <c r="BB454" s="25"/>
      <c r="BC454" s="25"/>
      <c r="BD454" s="25"/>
      <c r="BE454" s="25"/>
      <c r="BF454" s="25"/>
      <c r="BG454" s="25"/>
      <c r="BH454" s="25"/>
      <c r="BI454" s="25"/>
      <c r="BJ454" s="25"/>
      <c r="BK454" s="25"/>
      <c r="BL454" s="25"/>
      <c r="BM454" s="25"/>
      <c r="BN454" s="25"/>
      <c r="BO454" s="25"/>
      <c r="BP454" s="25"/>
      <c r="BQ454" s="25"/>
      <c r="BR454" s="25"/>
      <c r="BS454" s="25"/>
      <c r="BT454" s="25"/>
      <c r="BU454" s="25"/>
      <c r="BV454" s="25"/>
      <c r="BW454" s="25"/>
      <c r="BX454" s="25"/>
      <c r="BY454" s="25"/>
      <c r="BZ454" s="25"/>
      <c r="CA454" s="25"/>
      <c r="CB454" s="25"/>
      <c r="CC454" s="25"/>
      <c r="CD454" s="25"/>
      <c r="CE454" s="25"/>
      <c r="CF454" s="25"/>
      <c r="CG454" s="25"/>
      <c r="CH454" s="25"/>
      <c r="CI454" s="25"/>
      <c r="CJ454" s="25"/>
      <c r="CK454" s="25"/>
      <c r="CL454" s="25"/>
      <c r="CM454" s="25"/>
      <c r="CN454" s="25"/>
      <c r="CO454" s="25"/>
      <c r="CP454" s="25"/>
      <c r="CQ454" s="25"/>
      <c r="CR454" s="25"/>
      <c r="CS454" s="25"/>
    </row>
    <row r="455" spans="2:97">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c r="AV455" s="25"/>
      <c r="AW455" s="25"/>
      <c r="AX455" s="25"/>
      <c r="AY455" s="25"/>
      <c r="AZ455" s="25"/>
      <c r="BA455" s="25"/>
      <c r="BB455" s="25"/>
      <c r="BC455" s="25"/>
      <c r="BD455" s="25"/>
      <c r="BE455" s="25"/>
      <c r="BF455" s="25"/>
      <c r="BG455" s="25"/>
      <c r="BH455" s="25"/>
      <c r="BI455" s="25"/>
      <c r="BJ455" s="25"/>
      <c r="BK455" s="25"/>
      <c r="BL455" s="25"/>
      <c r="BM455" s="25"/>
      <c r="BN455" s="25"/>
      <c r="BO455" s="25"/>
      <c r="BP455" s="25"/>
      <c r="BQ455" s="25"/>
      <c r="BR455" s="25"/>
      <c r="BS455" s="25"/>
      <c r="BT455" s="25"/>
      <c r="BU455" s="25"/>
      <c r="BV455" s="25"/>
      <c r="BW455" s="25"/>
      <c r="BX455" s="25"/>
      <c r="BY455" s="25"/>
      <c r="BZ455" s="25"/>
      <c r="CA455" s="25"/>
      <c r="CB455" s="25"/>
      <c r="CC455" s="25"/>
      <c r="CD455" s="25"/>
      <c r="CE455" s="25"/>
      <c r="CF455" s="25"/>
      <c r="CG455" s="25"/>
      <c r="CH455" s="25"/>
      <c r="CI455" s="25"/>
      <c r="CJ455" s="25"/>
      <c r="CK455" s="25"/>
      <c r="CL455" s="25"/>
      <c r="CM455" s="25"/>
      <c r="CN455" s="25"/>
      <c r="CO455" s="25"/>
      <c r="CP455" s="25"/>
      <c r="CQ455" s="25"/>
      <c r="CR455" s="25"/>
      <c r="CS455" s="25"/>
    </row>
    <row r="456" spans="2:97">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c r="AV456" s="25"/>
      <c r="AW456" s="25"/>
      <c r="AX456" s="25"/>
      <c r="AY456" s="25"/>
      <c r="AZ456" s="25"/>
      <c r="BA456" s="25"/>
      <c r="BB456" s="25"/>
      <c r="BC456" s="25"/>
      <c r="BD456" s="25"/>
      <c r="BE456" s="25"/>
      <c r="BF456" s="25"/>
      <c r="BG456" s="25"/>
      <c r="BH456" s="25"/>
      <c r="BI456" s="25"/>
      <c r="BJ456" s="25"/>
      <c r="BK456" s="25"/>
      <c r="BL456" s="25"/>
      <c r="BM456" s="25"/>
      <c r="BN456" s="25"/>
      <c r="BO456" s="25"/>
      <c r="BP456" s="25"/>
      <c r="BQ456" s="25"/>
      <c r="BR456" s="25"/>
      <c r="BS456" s="25"/>
      <c r="BT456" s="25"/>
      <c r="BU456" s="25"/>
      <c r="BV456" s="25"/>
      <c r="BW456" s="25"/>
      <c r="BX456" s="25"/>
      <c r="BY456" s="25"/>
      <c r="BZ456" s="25"/>
      <c r="CA456" s="25"/>
      <c r="CB456" s="25"/>
      <c r="CC456" s="25"/>
      <c r="CD456" s="25"/>
      <c r="CE456" s="25"/>
      <c r="CF456" s="25"/>
      <c r="CG456" s="25"/>
      <c r="CH456" s="25"/>
      <c r="CI456" s="25"/>
      <c r="CJ456" s="25"/>
      <c r="CK456" s="25"/>
      <c r="CL456" s="25"/>
      <c r="CM456" s="25"/>
      <c r="CN456" s="25"/>
      <c r="CO456" s="25"/>
      <c r="CP456" s="25"/>
      <c r="CQ456" s="25"/>
      <c r="CR456" s="25"/>
      <c r="CS456" s="25"/>
    </row>
    <row r="457" spans="2:97">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c r="AV457" s="25"/>
      <c r="AW457" s="25"/>
      <c r="AX457" s="25"/>
      <c r="AY457" s="25"/>
      <c r="AZ457" s="25"/>
      <c r="BA457" s="25"/>
      <c r="BB457" s="25"/>
      <c r="BC457" s="25"/>
      <c r="BD457" s="25"/>
      <c r="BE457" s="25"/>
      <c r="BF457" s="25"/>
      <c r="BG457" s="25"/>
      <c r="BH457" s="25"/>
      <c r="BI457" s="25"/>
      <c r="BJ457" s="25"/>
      <c r="BK457" s="25"/>
      <c r="BL457" s="25"/>
      <c r="BM457" s="25"/>
      <c r="BN457" s="25"/>
      <c r="BO457" s="25"/>
      <c r="BP457" s="25"/>
      <c r="BQ457" s="25"/>
      <c r="BR457" s="25"/>
      <c r="BS457" s="25"/>
      <c r="BT457" s="25"/>
      <c r="BU457" s="25"/>
      <c r="BV457" s="25"/>
      <c r="BW457" s="25"/>
      <c r="BX457" s="25"/>
      <c r="BY457" s="25"/>
      <c r="BZ457" s="25"/>
      <c r="CA457" s="25"/>
      <c r="CB457" s="25"/>
      <c r="CC457" s="25"/>
      <c r="CD457" s="25"/>
      <c r="CE457" s="25"/>
      <c r="CF457" s="25"/>
      <c r="CG457" s="25"/>
      <c r="CH457" s="25"/>
      <c r="CI457" s="25"/>
      <c r="CJ457" s="25"/>
      <c r="CK457" s="25"/>
      <c r="CL457" s="25"/>
      <c r="CM457" s="25"/>
      <c r="CN457" s="25"/>
      <c r="CO457" s="25"/>
      <c r="CP457" s="25"/>
      <c r="CQ457" s="25"/>
      <c r="CR457" s="25"/>
      <c r="CS457" s="25"/>
    </row>
    <row r="458" spans="2:97">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c r="AV458" s="25"/>
      <c r="AW458" s="25"/>
      <c r="AX458" s="25"/>
      <c r="AY458" s="25"/>
      <c r="AZ458" s="25"/>
      <c r="BA458" s="25"/>
      <c r="BB458" s="25"/>
      <c r="BC458" s="25"/>
      <c r="BD458" s="25"/>
      <c r="BE458" s="25"/>
      <c r="BF458" s="25"/>
      <c r="BG458" s="25"/>
      <c r="BH458" s="25"/>
      <c r="BI458" s="25"/>
      <c r="BJ458" s="25"/>
      <c r="BK458" s="25"/>
      <c r="BL458" s="25"/>
      <c r="BM458" s="25"/>
      <c r="BN458" s="25"/>
      <c r="BO458" s="25"/>
      <c r="BP458" s="25"/>
      <c r="BQ458" s="25"/>
      <c r="BR458" s="25"/>
      <c r="BS458" s="25"/>
      <c r="BT458" s="25"/>
      <c r="BU458" s="25"/>
      <c r="BV458" s="25"/>
      <c r="BW458" s="25"/>
      <c r="BX458" s="25"/>
      <c r="BY458" s="25"/>
      <c r="BZ458" s="25"/>
      <c r="CA458" s="25"/>
      <c r="CB458" s="25"/>
      <c r="CC458" s="25"/>
      <c r="CD458" s="25"/>
      <c r="CE458" s="25"/>
      <c r="CF458" s="25"/>
      <c r="CG458" s="25"/>
      <c r="CH458" s="25"/>
      <c r="CI458" s="25"/>
      <c r="CJ458" s="25"/>
      <c r="CK458" s="25"/>
      <c r="CL458" s="25"/>
      <c r="CM458" s="25"/>
      <c r="CN458" s="25"/>
      <c r="CO458" s="25"/>
      <c r="CP458" s="25"/>
      <c r="CQ458" s="25"/>
      <c r="CR458" s="25"/>
      <c r="CS458" s="25"/>
    </row>
    <row r="459" spans="2:97">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c r="AV459" s="25"/>
      <c r="AW459" s="25"/>
      <c r="AX459" s="25"/>
      <c r="AY459" s="25"/>
      <c r="AZ459" s="25"/>
      <c r="BA459" s="25"/>
      <c r="BB459" s="25"/>
      <c r="BC459" s="25"/>
      <c r="BD459" s="25"/>
      <c r="BE459" s="25"/>
      <c r="BF459" s="25"/>
      <c r="BG459" s="25"/>
      <c r="BH459" s="25"/>
      <c r="BI459" s="25"/>
      <c r="BJ459" s="25"/>
      <c r="BK459" s="25"/>
      <c r="BL459" s="25"/>
      <c r="BM459" s="25"/>
      <c r="BN459" s="25"/>
      <c r="BO459" s="25"/>
      <c r="BP459" s="25"/>
      <c r="BQ459" s="25"/>
      <c r="BR459" s="25"/>
      <c r="BS459" s="25"/>
      <c r="BT459" s="25"/>
      <c r="BU459" s="25"/>
      <c r="BV459" s="25"/>
      <c r="BW459" s="25"/>
      <c r="BX459" s="25"/>
      <c r="BY459" s="25"/>
      <c r="BZ459" s="25"/>
      <c r="CA459" s="25"/>
      <c r="CB459" s="25"/>
      <c r="CC459" s="25"/>
      <c r="CD459" s="25"/>
      <c r="CE459" s="25"/>
      <c r="CF459" s="25"/>
      <c r="CG459" s="25"/>
      <c r="CH459" s="25"/>
      <c r="CI459" s="25"/>
      <c r="CJ459" s="25"/>
      <c r="CK459" s="25"/>
      <c r="CL459" s="25"/>
      <c r="CM459" s="25"/>
      <c r="CN459" s="25"/>
      <c r="CO459" s="25"/>
      <c r="CP459" s="25"/>
      <c r="CQ459" s="25"/>
      <c r="CR459" s="25"/>
      <c r="CS459" s="25"/>
    </row>
    <row r="460" spans="2:97">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c r="AV460" s="25"/>
      <c r="AW460" s="25"/>
      <c r="AX460" s="25"/>
      <c r="AY460" s="25"/>
      <c r="AZ460" s="25"/>
      <c r="BA460" s="25"/>
      <c r="BB460" s="25"/>
      <c r="BC460" s="25"/>
      <c r="BD460" s="25"/>
      <c r="BE460" s="25"/>
      <c r="BF460" s="25"/>
      <c r="BG460" s="25"/>
      <c r="BH460" s="25"/>
      <c r="BI460" s="25"/>
      <c r="BJ460" s="25"/>
      <c r="BK460" s="25"/>
      <c r="BL460" s="25"/>
      <c r="BM460" s="25"/>
      <c r="BN460" s="25"/>
      <c r="BO460" s="25"/>
      <c r="BP460" s="25"/>
      <c r="BQ460" s="25"/>
      <c r="BR460" s="25"/>
      <c r="BS460" s="25"/>
      <c r="BT460" s="25"/>
      <c r="BU460" s="25"/>
      <c r="BV460" s="25"/>
      <c r="BW460" s="25"/>
      <c r="BX460" s="25"/>
      <c r="BY460" s="25"/>
      <c r="BZ460" s="25"/>
      <c r="CA460" s="25"/>
      <c r="CB460" s="25"/>
      <c r="CC460" s="25"/>
      <c r="CD460" s="25"/>
      <c r="CE460" s="25"/>
      <c r="CF460" s="25"/>
      <c r="CG460" s="25"/>
      <c r="CH460" s="25"/>
      <c r="CI460" s="25"/>
      <c r="CJ460" s="25"/>
      <c r="CK460" s="25"/>
      <c r="CL460" s="25"/>
      <c r="CM460" s="25"/>
      <c r="CN460" s="25"/>
      <c r="CO460" s="25"/>
      <c r="CP460" s="25"/>
      <c r="CQ460" s="25"/>
      <c r="CR460" s="25"/>
      <c r="CS460" s="25"/>
    </row>
    <row r="461" spans="2:97">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c r="AV461" s="25"/>
      <c r="AW461" s="25"/>
      <c r="AX461" s="25"/>
      <c r="AY461" s="25"/>
      <c r="AZ461" s="25"/>
      <c r="BA461" s="25"/>
      <c r="BB461" s="25"/>
      <c r="BC461" s="25"/>
      <c r="BD461" s="25"/>
      <c r="BE461" s="25"/>
      <c r="BF461" s="25"/>
      <c r="BG461" s="25"/>
      <c r="BH461" s="25"/>
      <c r="BI461" s="25"/>
      <c r="BJ461" s="25"/>
      <c r="BK461" s="25"/>
      <c r="BL461" s="25"/>
      <c r="BM461" s="25"/>
      <c r="BN461" s="25"/>
      <c r="BO461" s="25"/>
      <c r="BP461" s="25"/>
      <c r="BQ461" s="25"/>
      <c r="BR461" s="25"/>
      <c r="BS461" s="25"/>
      <c r="BT461" s="25"/>
      <c r="BU461" s="25"/>
      <c r="BV461" s="25"/>
      <c r="BW461" s="25"/>
      <c r="BX461" s="25"/>
      <c r="BY461" s="25"/>
      <c r="BZ461" s="25"/>
      <c r="CA461" s="25"/>
      <c r="CB461" s="25"/>
      <c r="CC461" s="25"/>
      <c r="CD461" s="25"/>
      <c r="CE461" s="25"/>
      <c r="CF461" s="25"/>
      <c r="CG461" s="25"/>
      <c r="CH461" s="25"/>
      <c r="CI461" s="25"/>
      <c r="CJ461" s="25"/>
      <c r="CK461" s="25"/>
      <c r="CL461" s="25"/>
      <c r="CM461" s="25"/>
      <c r="CN461" s="25"/>
      <c r="CO461" s="25"/>
      <c r="CP461" s="25"/>
      <c r="CQ461" s="25"/>
      <c r="CR461" s="25"/>
      <c r="CS461" s="25"/>
    </row>
    <row r="462" spans="2:97">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c r="AV462" s="25"/>
      <c r="AW462" s="25"/>
      <c r="AX462" s="25"/>
      <c r="AY462" s="25"/>
      <c r="AZ462" s="25"/>
      <c r="BA462" s="25"/>
      <c r="BB462" s="25"/>
      <c r="BC462" s="25"/>
      <c r="BD462" s="25"/>
      <c r="BE462" s="25"/>
      <c r="BF462" s="25"/>
      <c r="BG462" s="25"/>
      <c r="BH462" s="25"/>
      <c r="BI462" s="25"/>
      <c r="BJ462" s="25"/>
      <c r="BK462" s="25"/>
      <c r="BL462" s="25"/>
      <c r="BM462" s="25"/>
      <c r="BN462" s="25"/>
      <c r="BO462" s="25"/>
      <c r="BP462" s="25"/>
      <c r="BQ462" s="25"/>
      <c r="BR462" s="25"/>
      <c r="BS462" s="25"/>
      <c r="BT462" s="25"/>
      <c r="BU462" s="25"/>
      <c r="BV462" s="25"/>
      <c r="BW462" s="25"/>
      <c r="BX462" s="25"/>
      <c r="BY462" s="25"/>
      <c r="BZ462" s="25"/>
      <c r="CA462" s="25"/>
      <c r="CB462" s="25"/>
      <c r="CC462" s="25"/>
      <c r="CD462" s="25"/>
      <c r="CE462" s="25"/>
      <c r="CF462" s="25"/>
      <c r="CG462" s="25"/>
      <c r="CH462" s="25"/>
      <c r="CI462" s="25"/>
      <c r="CJ462" s="25"/>
      <c r="CK462" s="25"/>
      <c r="CL462" s="25"/>
      <c r="CM462" s="25"/>
      <c r="CN462" s="25"/>
      <c r="CO462" s="25"/>
      <c r="CP462" s="25"/>
      <c r="CQ462" s="25"/>
      <c r="CR462" s="25"/>
      <c r="CS462" s="25"/>
    </row>
    <row r="463" spans="2:97">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c r="AV463" s="25"/>
      <c r="AW463" s="25"/>
      <c r="AX463" s="25"/>
      <c r="AY463" s="25"/>
      <c r="AZ463" s="25"/>
      <c r="BA463" s="25"/>
      <c r="BB463" s="25"/>
      <c r="BC463" s="25"/>
      <c r="BD463" s="25"/>
      <c r="BE463" s="25"/>
      <c r="BF463" s="25"/>
      <c r="BG463" s="25"/>
      <c r="BH463" s="25"/>
      <c r="BI463" s="25"/>
      <c r="BJ463" s="25"/>
      <c r="BK463" s="25"/>
      <c r="BL463" s="25"/>
      <c r="BM463" s="25"/>
      <c r="BN463" s="25"/>
      <c r="BO463" s="25"/>
      <c r="BP463" s="25"/>
      <c r="BQ463" s="25"/>
      <c r="BR463" s="25"/>
      <c r="BS463" s="25"/>
      <c r="BT463" s="25"/>
      <c r="BU463" s="25"/>
      <c r="BV463" s="25"/>
      <c r="BW463" s="25"/>
      <c r="BX463" s="25"/>
      <c r="BY463" s="25"/>
      <c r="BZ463" s="25"/>
      <c r="CA463" s="25"/>
      <c r="CB463" s="25"/>
      <c r="CC463" s="25"/>
      <c r="CD463" s="25"/>
      <c r="CE463" s="25"/>
      <c r="CF463" s="25"/>
      <c r="CG463" s="25"/>
      <c r="CH463" s="25"/>
      <c r="CI463" s="25"/>
      <c r="CJ463" s="25"/>
      <c r="CK463" s="25"/>
      <c r="CL463" s="25"/>
      <c r="CM463" s="25"/>
      <c r="CN463" s="25"/>
      <c r="CO463" s="25"/>
      <c r="CP463" s="25"/>
      <c r="CQ463" s="25"/>
      <c r="CR463" s="25"/>
      <c r="CS463" s="25"/>
    </row>
    <row r="464" spans="2:97">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c r="AV464" s="25"/>
      <c r="AW464" s="25"/>
      <c r="AX464" s="25"/>
      <c r="AY464" s="25"/>
      <c r="AZ464" s="25"/>
      <c r="BA464" s="25"/>
      <c r="BB464" s="25"/>
      <c r="BC464" s="25"/>
      <c r="BD464" s="25"/>
      <c r="BE464" s="25"/>
      <c r="BF464" s="25"/>
      <c r="BG464" s="25"/>
      <c r="BH464" s="25"/>
      <c r="BI464" s="25"/>
      <c r="BJ464" s="25"/>
      <c r="BK464" s="25"/>
      <c r="BL464" s="25"/>
      <c r="BM464" s="25"/>
      <c r="BN464" s="25"/>
      <c r="BO464" s="25"/>
      <c r="BP464" s="25"/>
      <c r="BQ464" s="25"/>
      <c r="BR464" s="25"/>
      <c r="BS464" s="25"/>
      <c r="BT464" s="25"/>
      <c r="BU464" s="25"/>
      <c r="BV464" s="25"/>
      <c r="BW464" s="25"/>
      <c r="BX464" s="25"/>
      <c r="BY464" s="25"/>
      <c r="BZ464" s="25"/>
      <c r="CA464" s="25"/>
      <c r="CB464" s="25"/>
      <c r="CC464" s="25"/>
      <c r="CD464" s="25"/>
      <c r="CE464" s="25"/>
      <c r="CF464" s="25"/>
      <c r="CG464" s="25"/>
      <c r="CH464" s="25"/>
      <c r="CI464" s="25"/>
      <c r="CJ464" s="25"/>
      <c r="CK464" s="25"/>
      <c r="CL464" s="25"/>
      <c r="CM464" s="25"/>
      <c r="CN464" s="25"/>
      <c r="CO464" s="25"/>
      <c r="CP464" s="25"/>
      <c r="CQ464" s="25"/>
      <c r="CR464" s="25"/>
      <c r="CS464" s="25"/>
    </row>
    <row r="465" spans="2:97">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c r="AV465" s="25"/>
      <c r="AW465" s="25"/>
      <c r="AX465" s="25"/>
      <c r="AY465" s="25"/>
      <c r="AZ465" s="25"/>
      <c r="BA465" s="25"/>
      <c r="BB465" s="25"/>
      <c r="BC465" s="25"/>
      <c r="BD465" s="25"/>
      <c r="BE465" s="25"/>
      <c r="BF465" s="25"/>
      <c r="BG465" s="25"/>
      <c r="BH465" s="25"/>
      <c r="BI465" s="25"/>
      <c r="BJ465" s="25"/>
      <c r="BK465" s="25"/>
      <c r="BL465" s="25"/>
      <c r="BM465" s="25"/>
      <c r="BN465" s="25"/>
      <c r="BO465" s="25"/>
      <c r="BP465" s="25"/>
      <c r="BQ465" s="25"/>
      <c r="BR465" s="25"/>
      <c r="BS465" s="25"/>
      <c r="BT465" s="25"/>
      <c r="BU465" s="25"/>
      <c r="BV465" s="25"/>
      <c r="BW465" s="25"/>
      <c r="BX465" s="25"/>
      <c r="BY465" s="25"/>
      <c r="BZ465" s="25"/>
      <c r="CA465" s="25"/>
      <c r="CB465" s="25"/>
      <c r="CC465" s="25"/>
      <c r="CD465" s="25"/>
      <c r="CE465" s="25"/>
      <c r="CF465" s="25"/>
      <c r="CG465" s="25"/>
      <c r="CH465" s="25"/>
      <c r="CI465" s="25"/>
      <c r="CJ465" s="25"/>
      <c r="CK465" s="25"/>
      <c r="CL465" s="25"/>
      <c r="CM465" s="25"/>
      <c r="CN465" s="25"/>
      <c r="CO465" s="25"/>
      <c r="CP465" s="25"/>
      <c r="CQ465" s="25"/>
      <c r="CR465" s="25"/>
      <c r="CS465" s="25"/>
    </row>
    <row r="466" spans="2:97">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c r="AV466" s="25"/>
      <c r="AW466" s="25"/>
      <c r="AX466" s="25"/>
      <c r="AY466" s="25"/>
      <c r="AZ466" s="25"/>
      <c r="BA466" s="25"/>
      <c r="BB466" s="25"/>
      <c r="BC466" s="25"/>
      <c r="BD466" s="25"/>
      <c r="BE466" s="25"/>
      <c r="BF466" s="25"/>
      <c r="BG466" s="25"/>
      <c r="BH466" s="25"/>
      <c r="BI466" s="25"/>
      <c r="BJ466" s="25"/>
      <c r="BK466" s="25"/>
      <c r="BL466" s="25"/>
      <c r="BM466" s="25"/>
      <c r="BN466" s="25"/>
      <c r="BO466" s="25"/>
      <c r="BP466" s="25"/>
      <c r="BQ466" s="25"/>
      <c r="BR466" s="25"/>
      <c r="BS466" s="25"/>
      <c r="BT466" s="25"/>
      <c r="BU466" s="25"/>
      <c r="BV466" s="25"/>
      <c r="BW466" s="25"/>
      <c r="BX466" s="25"/>
      <c r="BY466" s="25"/>
      <c r="BZ466" s="25"/>
      <c r="CA466" s="25"/>
      <c r="CB466" s="25"/>
      <c r="CC466" s="25"/>
      <c r="CD466" s="25"/>
      <c r="CE466" s="25"/>
      <c r="CF466" s="25"/>
      <c r="CG466" s="25"/>
      <c r="CH466" s="25"/>
      <c r="CI466" s="25"/>
      <c r="CJ466" s="25"/>
      <c r="CK466" s="25"/>
      <c r="CL466" s="25"/>
      <c r="CM466" s="25"/>
      <c r="CN466" s="25"/>
      <c r="CO466" s="25"/>
      <c r="CP466" s="25"/>
      <c r="CQ466" s="25"/>
      <c r="CR466" s="25"/>
      <c r="CS466" s="25"/>
    </row>
    <row r="467" spans="2:97">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c r="AV467" s="25"/>
      <c r="AW467" s="25"/>
      <c r="AX467" s="25"/>
      <c r="AY467" s="25"/>
      <c r="AZ467" s="25"/>
      <c r="BA467" s="25"/>
      <c r="BB467" s="25"/>
      <c r="BC467" s="25"/>
      <c r="BD467" s="25"/>
      <c r="BE467" s="25"/>
      <c r="BF467" s="25"/>
      <c r="BG467" s="25"/>
      <c r="BH467" s="25"/>
      <c r="BI467" s="25"/>
      <c r="BJ467" s="25"/>
      <c r="BK467" s="25"/>
      <c r="BL467" s="25"/>
      <c r="BM467" s="25"/>
      <c r="BN467" s="25"/>
      <c r="BO467" s="25"/>
      <c r="BP467" s="25"/>
      <c r="BQ467" s="25"/>
      <c r="BR467" s="25"/>
      <c r="BS467" s="25"/>
      <c r="BT467" s="25"/>
      <c r="BU467" s="25"/>
      <c r="BV467" s="25"/>
      <c r="BW467" s="25"/>
      <c r="BX467" s="25"/>
      <c r="BY467" s="25"/>
      <c r="BZ467" s="25"/>
      <c r="CA467" s="25"/>
      <c r="CB467" s="25"/>
      <c r="CC467" s="25"/>
      <c r="CD467" s="25"/>
      <c r="CE467" s="25"/>
      <c r="CF467" s="25"/>
      <c r="CG467" s="25"/>
      <c r="CH467" s="25"/>
      <c r="CI467" s="25"/>
      <c r="CJ467" s="25"/>
      <c r="CK467" s="25"/>
      <c r="CL467" s="25"/>
      <c r="CM467" s="25"/>
      <c r="CN467" s="25"/>
      <c r="CO467" s="25"/>
      <c r="CP467" s="25"/>
      <c r="CQ467" s="25"/>
      <c r="CR467" s="25"/>
      <c r="CS467" s="25"/>
    </row>
    <row r="468" spans="2:97">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c r="AV468" s="25"/>
      <c r="AW468" s="25"/>
      <c r="AX468" s="25"/>
      <c r="AY468" s="25"/>
      <c r="AZ468" s="25"/>
      <c r="BA468" s="25"/>
      <c r="BB468" s="25"/>
      <c r="BC468" s="25"/>
      <c r="BD468" s="25"/>
      <c r="BE468" s="25"/>
      <c r="BF468" s="25"/>
      <c r="BG468" s="25"/>
      <c r="BH468" s="25"/>
      <c r="BI468" s="25"/>
      <c r="BJ468" s="25"/>
      <c r="BK468" s="25"/>
      <c r="BL468" s="25"/>
      <c r="BM468" s="25"/>
      <c r="BN468" s="25"/>
      <c r="BO468" s="25"/>
      <c r="BP468" s="25"/>
      <c r="BQ468" s="25"/>
      <c r="BR468" s="25"/>
      <c r="BS468" s="25"/>
      <c r="BT468" s="25"/>
      <c r="BU468" s="25"/>
      <c r="BV468" s="25"/>
      <c r="BW468" s="25"/>
      <c r="BX468" s="25"/>
      <c r="BY468" s="25"/>
      <c r="BZ468" s="25"/>
      <c r="CA468" s="25"/>
      <c r="CB468" s="25"/>
      <c r="CC468" s="25"/>
      <c r="CD468" s="25"/>
      <c r="CE468" s="25"/>
      <c r="CF468" s="25"/>
      <c r="CG468" s="25"/>
      <c r="CH468" s="25"/>
      <c r="CI468" s="25"/>
      <c r="CJ468" s="25"/>
      <c r="CK468" s="25"/>
      <c r="CL468" s="25"/>
      <c r="CM468" s="25"/>
      <c r="CN468" s="25"/>
      <c r="CO468" s="25"/>
      <c r="CP468" s="25"/>
      <c r="CQ468" s="25"/>
      <c r="CR468" s="25"/>
      <c r="CS468" s="25"/>
    </row>
    <row r="469" spans="2:97">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c r="AV469" s="25"/>
      <c r="AW469" s="25"/>
      <c r="AX469" s="25"/>
      <c r="AY469" s="25"/>
      <c r="AZ469" s="25"/>
      <c r="BA469" s="25"/>
      <c r="BB469" s="25"/>
      <c r="BC469" s="25"/>
      <c r="BD469" s="25"/>
      <c r="BE469" s="25"/>
      <c r="BF469" s="25"/>
      <c r="BG469" s="25"/>
      <c r="BH469" s="25"/>
      <c r="BI469" s="25"/>
      <c r="BJ469" s="25"/>
      <c r="BK469" s="25"/>
      <c r="BL469" s="25"/>
      <c r="BM469" s="25"/>
      <c r="BN469" s="25"/>
      <c r="BO469" s="25"/>
      <c r="BP469" s="25"/>
      <c r="BQ469" s="25"/>
      <c r="BR469" s="25"/>
      <c r="BS469" s="25"/>
      <c r="BT469" s="25"/>
      <c r="BU469" s="25"/>
      <c r="BV469" s="25"/>
      <c r="BW469" s="25"/>
      <c r="BX469" s="25"/>
      <c r="BY469" s="25"/>
      <c r="BZ469" s="25"/>
      <c r="CA469" s="25"/>
      <c r="CB469" s="25"/>
      <c r="CC469" s="25"/>
      <c r="CD469" s="25"/>
      <c r="CE469" s="25"/>
      <c r="CF469" s="25"/>
      <c r="CG469" s="25"/>
      <c r="CH469" s="25"/>
      <c r="CI469" s="25"/>
      <c r="CJ469" s="25"/>
      <c r="CK469" s="25"/>
      <c r="CL469" s="25"/>
      <c r="CM469" s="25"/>
      <c r="CN469" s="25"/>
      <c r="CO469" s="25"/>
      <c r="CP469" s="25"/>
      <c r="CQ469" s="25"/>
      <c r="CR469" s="25"/>
      <c r="CS469" s="25"/>
    </row>
    <row r="470" spans="2:97">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c r="AV470" s="25"/>
      <c r="AW470" s="25"/>
      <c r="AX470" s="25"/>
      <c r="AY470" s="25"/>
      <c r="AZ470" s="25"/>
      <c r="BA470" s="25"/>
      <c r="BB470" s="25"/>
      <c r="BC470" s="25"/>
      <c r="BD470" s="25"/>
      <c r="BE470" s="25"/>
      <c r="BF470" s="25"/>
      <c r="BG470" s="25"/>
      <c r="BH470" s="25"/>
      <c r="BI470" s="25"/>
      <c r="BJ470" s="25"/>
      <c r="BK470" s="25"/>
      <c r="BL470" s="25"/>
      <c r="BM470" s="25"/>
      <c r="BN470" s="25"/>
      <c r="BO470" s="25"/>
      <c r="BP470" s="25"/>
      <c r="BQ470" s="25"/>
      <c r="BR470" s="25"/>
      <c r="BS470" s="25"/>
      <c r="BT470" s="25"/>
      <c r="BU470" s="25"/>
      <c r="BV470" s="25"/>
      <c r="BW470" s="25"/>
      <c r="BX470" s="25"/>
      <c r="BY470" s="25"/>
      <c r="BZ470" s="25"/>
      <c r="CA470" s="25"/>
      <c r="CB470" s="25"/>
      <c r="CC470" s="25"/>
      <c r="CD470" s="25"/>
      <c r="CE470" s="25"/>
      <c r="CF470" s="25"/>
      <c r="CG470" s="25"/>
      <c r="CH470" s="25"/>
      <c r="CI470" s="25"/>
      <c r="CJ470" s="25"/>
      <c r="CK470" s="25"/>
      <c r="CL470" s="25"/>
      <c r="CM470" s="25"/>
      <c r="CN470" s="25"/>
      <c r="CO470" s="25"/>
      <c r="CP470" s="25"/>
      <c r="CQ470" s="25"/>
      <c r="CR470" s="25"/>
      <c r="CS470" s="25"/>
    </row>
    <row r="471" spans="2:97">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c r="AV471" s="25"/>
      <c r="AW471" s="25"/>
      <c r="AX471" s="25"/>
      <c r="AY471" s="25"/>
      <c r="AZ471" s="25"/>
      <c r="BA471" s="25"/>
      <c r="BB471" s="25"/>
      <c r="BC471" s="25"/>
      <c r="BD471" s="25"/>
      <c r="BE471" s="25"/>
      <c r="BF471" s="25"/>
      <c r="BG471" s="25"/>
      <c r="BH471" s="25"/>
      <c r="BI471" s="25"/>
      <c r="BJ471" s="25"/>
      <c r="BK471" s="25"/>
      <c r="BL471" s="25"/>
      <c r="BM471" s="25"/>
      <c r="BN471" s="25"/>
      <c r="BO471" s="25"/>
      <c r="BP471" s="25"/>
      <c r="BQ471" s="25"/>
      <c r="BR471" s="25"/>
      <c r="BS471" s="25"/>
      <c r="BT471" s="25"/>
      <c r="BU471" s="25"/>
      <c r="BV471" s="25"/>
      <c r="BW471" s="25"/>
      <c r="BX471" s="25"/>
      <c r="BY471" s="25"/>
      <c r="BZ471" s="25"/>
      <c r="CA471" s="25"/>
      <c r="CB471" s="25"/>
      <c r="CC471" s="25"/>
      <c r="CD471" s="25"/>
      <c r="CE471" s="25"/>
      <c r="CF471" s="25"/>
      <c r="CG471" s="25"/>
      <c r="CH471" s="25"/>
      <c r="CI471" s="25"/>
      <c r="CJ471" s="25"/>
      <c r="CK471" s="25"/>
      <c r="CL471" s="25"/>
      <c r="CM471" s="25"/>
      <c r="CN471" s="25"/>
      <c r="CO471" s="25"/>
      <c r="CP471" s="25"/>
      <c r="CQ471" s="25"/>
      <c r="CR471" s="25"/>
      <c r="CS471" s="25"/>
    </row>
    <row r="472" spans="2:97">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c r="AV472" s="25"/>
      <c r="AW472" s="25"/>
      <c r="AX472" s="25"/>
      <c r="AY472" s="25"/>
      <c r="AZ472" s="25"/>
      <c r="BA472" s="25"/>
      <c r="BB472" s="25"/>
      <c r="BC472" s="25"/>
      <c r="BD472" s="25"/>
      <c r="BE472" s="25"/>
      <c r="BF472" s="25"/>
      <c r="BG472" s="25"/>
      <c r="BH472" s="25"/>
      <c r="BI472" s="25"/>
      <c r="BJ472" s="25"/>
      <c r="BK472" s="25"/>
      <c r="BL472" s="25"/>
      <c r="BM472" s="25"/>
      <c r="BN472" s="25"/>
      <c r="BO472" s="25"/>
      <c r="BP472" s="25"/>
      <c r="BQ472" s="25"/>
      <c r="BR472" s="25"/>
      <c r="BS472" s="25"/>
      <c r="BT472" s="25"/>
      <c r="BU472" s="25"/>
      <c r="BV472" s="25"/>
      <c r="BW472" s="25"/>
      <c r="BX472" s="25"/>
      <c r="BY472" s="25"/>
      <c r="BZ472" s="25"/>
      <c r="CA472" s="25"/>
      <c r="CB472" s="25"/>
      <c r="CC472" s="25"/>
      <c r="CD472" s="25"/>
      <c r="CE472" s="25"/>
      <c r="CF472" s="25"/>
      <c r="CG472" s="25"/>
      <c r="CH472" s="25"/>
      <c r="CI472" s="25"/>
      <c r="CJ472" s="25"/>
      <c r="CK472" s="25"/>
      <c r="CL472" s="25"/>
      <c r="CM472" s="25"/>
      <c r="CN472" s="25"/>
      <c r="CO472" s="25"/>
      <c r="CP472" s="25"/>
      <c r="CQ472" s="25"/>
      <c r="CR472" s="25"/>
      <c r="CS472" s="25"/>
    </row>
    <row r="473" spans="2:97">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c r="AV473" s="25"/>
      <c r="AW473" s="25"/>
      <c r="AX473" s="25"/>
      <c r="AY473" s="25"/>
      <c r="AZ473" s="25"/>
      <c r="BA473" s="25"/>
      <c r="BB473" s="25"/>
      <c r="BC473" s="25"/>
      <c r="BD473" s="25"/>
      <c r="BE473" s="25"/>
      <c r="BF473" s="25"/>
      <c r="BG473" s="25"/>
      <c r="BH473" s="25"/>
      <c r="BI473" s="25"/>
      <c r="BJ473" s="25"/>
      <c r="BK473" s="25"/>
      <c r="BL473" s="25"/>
      <c r="BM473" s="25"/>
      <c r="BN473" s="25"/>
      <c r="BO473" s="25"/>
      <c r="BP473" s="25"/>
      <c r="BQ473" s="25"/>
      <c r="BR473" s="25"/>
      <c r="BS473" s="25"/>
      <c r="BT473" s="25"/>
      <c r="BU473" s="25"/>
      <c r="BV473" s="25"/>
      <c r="BW473" s="25"/>
      <c r="BX473" s="25"/>
      <c r="BY473" s="25"/>
      <c r="BZ473" s="25"/>
      <c r="CA473" s="25"/>
      <c r="CB473" s="25"/>
      <c r="CC473" s="25"/>
      <c r="CD473" s="25"/>
      <c r="CE473" s="25"/>
      <c r="CF473" s="25"/>
      <c r="CG473" s="25"/>
      <c r="CH473" s="25"/>
      <c r="CI473" s="25"/>
      <c r="CJ473" s="25"/>
      <c r="CK473" s="25"/>
      <c r="CL473" s="25"/>
      <c r="CM473" s="25"/>
      <c r="CN473" s="25"/>
      <c r="CO473" s="25"/>
      <c r="CP473" s="25"/>
      <c r="CQ473" s="25"/>
      <c r="CR473" s="25"/>
      <c r="CS473" s="25"/>
    </row>
    <row r="474" spans="2:97">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c r="AV474" s="25"/>
      <c r="AW474" s="25"/>
      <c r="AX474" s="25"/>
      <c r="AY474" s="25"/>
      <c r="AZ474" s="25"/>
      <c r="BA474" s="25"/>
      <c r="BB474" s="25"/>
      <c r="BC474" s="25"/>
      <c r="BD474" s="25"/>
      <c r="BE474" s="25"/>
      <c r="BF474" s="25"/>
      <c r="BG474" s="25"/>
      <c r="BH474" s="25"/>
      <c r="BI474" s="25"/>
      <c r="BJ474" s="25"/>
      <c r="BK474" s="25"/>
      <c r="BL474" s="25"/>
      <c r="BM474" s="25"/>
      <c r="BN474" s="25"/>
      <c r="BO474" s="25"/>
      <c r="BP474" s="25"/>
      <c r="BQ474" s="25"/>
      <c r="BR474" s="25"/>
      <c r="BS474" s="25"/>
      <c r="BT474" s="25"/>
      <c r="BU474" s="25"/>
      <c r="BV474" s="25"/>
      <c r="BW474" s="25"/>
      <c r="BX474" s="25"/>
      <c r="BY474" s="25"/>
      <c r="BZ474" s="25"/>
      <c r="CA474" s="25"/>
      <c r="CB474" s="25"/>
      <c r="CC474" s="25"/>
      <c r="CD474" s="25"/>
      <c r="CE474" s="25"/>
      <c r="CF474" s="25"/>
      <c r="CG474" s="25"/>
      <c r="CH474" s="25"/>
      <c r="CI474" s="25"/>
      <c r="CJ474" s="25"/>
      <c r="CK474" s="25"/>
      <c r="CL474" s="25"/>
      <c r="CM474" s="25"/>
      <c r="CN474" s="25"/>
      <c r="CO474" s="25"/>
      <c r="CP474" s="25"/>
      <c r="CQ474" s="25"/>
      <c r="CR474" s="25"/>
      <c r="CS474" s="25"/>
    </row>
    <row r="475" spans="2:97">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c r="AV475" s="25"/>
      <c r="AW475" s="25"/>
      <c r="AX475" s="25"/>
      <c r="AY475" s="25"/>
      <c r="AZ475" s="25"/>
      <c r="BA475" s="25"/>
      <c r="BB475" s="25"/>
      <c r="BC475" s="25"/>
      <c r="BD475" s="25"/>
      <c r="BE475" s="25"/>
      <c r="BF475" s="25"/>
      <c r="BG475" s="25"/>
      <c r="BH475" s="25"/>
      <c r="BI475" s="25"/>
      <c r="BJ475" s="25"/>
      <c r="BK475" s="25"/>
      <c r="BL475" s="25"/>
      <c r="BM475" s="25"/>
      <c r="BN475" s="25"/>
      <c r="BO475" s="25"/>
      <c r="BP475" s="25"/>
      <c r="BQ475" s="25"/>
      <c r="BR475" s="25"/>
      <c r="BS475" s="25"/>
      <c r="BT475" s="25"/>
      <c r="BU475" s="25"/>
      <c r="BV475" s="25"/>
      <c r="BW475" s="25"/>
      <c r="BX475" s="25"/>
      <c r="BY475" s="25"/>
      <c r="BZ475" s="25"/>
      <c r="CA475" s="25"/>
      <c r="CB475" s="25"/>
      <c r="CC475" s="25"/>
      <c r="CD475" s="25"/>
      <c r="CE475" s="25"/>
      <c r="CF475" s="25"/>
      <c r="CG475" s="25"/>
      <c r="CH475" s="25"/>
      <c r="CI475" s="25"/>
      <c r="CJ475" s="25"/>
      <c r="CK475" s="25"/>
      <c r="CL475" s="25"/>
      <c r="CM475" s="25"/>
      <c r="CN475" s="25"/>
      <c r="CO475" s="25"/>
      <c r="CP475" s="25"/>
      <c r="CQ475" s="25"/>
      <c r="CR475" s="25"/>
      <c r="CS475" s="25"/>
    </row>
    <row r="476" spans="2:97">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c r="AV476" s="25"/>
      <c r="AW476" s="25"/>
      <c r="AX476" s="25"/>
      <c r="AY476" s="25"/>
      <c r="AZ476" s="25"/>
      <c r="BA476" s="25"/>
      <c r="BB476" s="25"/>
      <c r="BC476" s="25"/>
      <c r="BD476" s="25"/>
      <c r="BE476" s="25"/>
      <c r="BF476" s="25"/>
      <c r="BG476" s="25"/>
      <c r="BH476" s="25"/>
      <c r="BI476" s="25"/>
      <c r="BJ476" s="25"/>
      <c r="BK476" s="25"/>
      <c r="BL476" s="25"/>
      <c r="BM476" s="25"/>
      <c r="BN476" s="25"/>
      <c r="BO476" s="25"/>
      <c r="BP476" s="25"/>
      <c r="BQ476" s="25"/>
      <c r="BR476" s="25"/>
      <c r="BS476" s="25"/>
      <c r="BT476" s="25"/>
      <c r="BU476" s="25"/>
      <c r="BV476" s="25"/>
      <c r="BW476" s="25"/>
      <c r="BX476" s="25"/>
      <c r="BY476" s="25"/>
      <c r="BZ476" s="25"/>
      <c r="CA476" s="25"/>
      <c r="CB476" s="25"/>
      <c r="CC476" s="25"/>
      <c r="CD476" s="25"/>
      <c r="CE476" s="25"/>
      <c r="CF476" s="25"/>
      <c r="CG476" s="25"/>
      <c r="CH476" s="25"/>
      <c r="CI476" s="25"/>
      <c r="CJ476" s="25"/>
      <c r="CK476" s="25"/>
      <c r="CL476" s="25"/>
      <c r="CM476" s="25"/>
      <c r="CN476" s="25"/>
      <c r="CO476" s="25"/>
      <c r="CP476" s="25"/>
      <c r="CQ476" s="25"/>
      <c r="CR476" s="25"/>
      <c r="CS476" s="25"/>
    </row>
    <row r="477" spans="2:97">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c r="AV477" s="25"/>
      <c r="AW477" s="25"/>
      <c r="AX477" s="25"/>
      <c r="AY477" s="25"/>
      <c r="AZ477" s="25"/>
      <c r="BA477" s="25"/>
      <c r="BB477" s="25"/>
      <c r="BC477" s="25"/>
      <c r="BD477" s="25"/>
      <c r="BE477" s="25"/>
      <c r="BF477" s="25"/>
      <c r="BG477" s="25"/>
      <c r="BH477" s="25"/>
      <c r="BI477" s="25"/>
      <c r="BJ477" s="25"/>
      <c r="BK477" s="25"/>
      <c r="BL477" s="25"/>
      <c r="BM477" s="25"/>
      <c r="BN477" s="25"/>
      <c r="BO477" s="25"/>
      <c r="BP477" s="25"/>
      <c r="BQ477" s="25"/>
      <c r="BR477" s="25"/>
      <c r="BS477" s="25"/>
      <c r="BT477" s="25"/>
      <c r="BU477" s="25"/>
      <c r="BV477" s="25"/>
      <c r="BW477" s="25"/>
      <c r="BX477" s="25"/>
      <c r="BY477" s="25"/>
      <c r="BZ477" s="25"/>
      <c r="CA477" s="25"/>
      <c r="CB477" s="25"/>
      <c r="CC477" s="25"/>
      <c r="CD477" s="25"/>
      <c r="CE477" s="25"/>
      <c r="CF477" s="25"/>
      <c r="CG477" s="25"/>
      <c r="CH477" s="25"/>
      <c r="CI477" s="25"/>
      <c r="CJ477" s="25"/>
      <c r="CK477" s="25"/>
      <c r="CL477" s="25"/>
      <c r="CM477" s="25"/>
      <c r="CN477" s="25"/>
      <c r="CO477" s="25"/>
      <c r="CP477" s="25"/>
      <c r="CQ477" s="25"/>
      <c r="CR477" s="25"/>
      <c r="CS477" s="25"/>
    </row>
    <row r="478" spans="2:97">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c r="AV478" s="25"/>
      <c r="AW478" s="25"/>
      <c r="AX478" s="25"/>
      <c r="AY478" s="25"/>
      <c r="AZ478" s="25"/>
      <c r="BA478" s="25"/>
      <c r="BB478" s="25"/>
      <c r="BC478" s="25"/>
      <c r="BD478" s="25"/>
      <c r="BE478" s="25"/>
      <c r="BF478" s="25"/>
      <c r="BG478" s="25"/>
      <c r="BH478" s="25"/>
      <c r="BI478" s="25"/>
      <c r="BJ478" s="25"/>
      <c r="BK478" s="25"/>
      <c r="BL478" s="25"/>
      <c r="BM478" s="25"/>
      <c r="BN478" s="25"/>
      <c r="BO478" s="25"/>
      <c r="BP478" s="25"/>
      <c r="BQ478" s="25"/>
      <c r="BR478" s="25"/>
      <c r="BS478" s="25"/>
      <c r="BT478" s="25"/>
      <c r="BU478" s="25"/>
      <c r="BV478" s="25"/>
      <c r="BW478" s="25"/>
      <c r="BX478" s="25"/>
      <c r="BY478" s="25"/>
      <c r="BZ478" s="25"/>
      <c r="CA478" s="25"/>
      <c r="CB478" s="25"/>
      <c r="CC478" s="25"/>
      <c r="CD478" s="25"/>
      <c r="CE478" s="25"/>
      <c r="CF478" s="25"/>
      <c r="CG478" s="25"/>
      <c r="CH478" s="25"/>
      <c r="CI478" s="25"/>
      <c r="CJ478" s="25"/>
      <c r="CK478" s="25"/>
      <c r="CL478" s="25"/>
      <c r="CM478" s="25"/>
      <c r="CN478" s="25"/>
      <c r="CO478" s="25"/>
      <c r="CP478" s="25"/>
      <c r="CQ478" s="25"/>
      <c r="CR478" s="25"/>
      <c r="CS478" s="25"/>
    </row>
    <row r="479" spans="2:97">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c r="AV479" s="25"/>
      <c r="AW479" s="25"/>
      <c r="AX479" s="25"/>
      <c r="AY479" s="25"/>
      <c r="AZ479" s="25"/>
      <c r="BA479" s="25"/>
      <c r="BB479" s="25"/>
      <c r="BC479" s="25"/>
      <c r="BD479" s="25"/>
      <c r="BE479" s="25"/>
      <c r="BF479" s="25"/>
      <c r="BG479" s="25"/>
      <c r="BH479" s="25"/>
      <c r="BI479" s="25"/>
      <c r="BJ479" s="25"/>
      <c r="BK479" s="25"/>
      <c r="BL479" s="25"/>
      <c r="BM479" s="25"/>
      <c r="BN479" s="25"/>
      <c r="BO479" s="25"/>
      <c r="BP479" s="25"/>
      <c r="BQ479" s="25"/>
      <c r="BR479" s="25"/>
      <c r="BS479" s="25"/>
      <c r="BT479" s="25"/>
      <c r="BU479" s="25"/>
      <c r="BV479" s="25"/>
      <c r="BW479" s="25"/>
      <c r="BX479" s="25"/>
      <c r="BY479" s="25"/>
      <c r="BZ479" s="25"/>
      <c r="CA479" s="25"/>
      <c r="CB479" s="25"/>
      <c r="CC479" s="25"/>
      <c r="CD479" s="25"/>
      <c r="CE479" s="25"/>
      <c r="CF479" s="25"/>
      <c r="CG479" s="25"/>
      <c r="CH479" s="25"/>
      <c r="CI479" s="25"/>
      <c r="CJ479" s="25"/>
      <c r="CK479" s="25"/>
      <c r="CL479" s="25"/>
      <c r="CM479" s="25"/>
      <c r="CN479" s="25"/>
      <c r="CO479" s="25"/>
      <c r="CP479" s="25"/>
      <c r="CQ479" s="25"/>
      <c r="CR479" s="25"/>
      <c r="CS479" s="25"/>
    </row>
    <row r="480" spans="2:97">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c r="AV480" s="25"/>
      <c r="AW480" s="25"/>
      <c r="AX480" s="25"/>
      <c r="AY480" s="25"/>
      <c r="AZ480" s="25"/>
      <c r="BA480" s="25"/>
      <c r="BB480" s="25"/>
      <c r="BC480" s="25"/>
      <c r="BD480" s="25"/>
      <c r="BE480" s="25"/>
      <c r="BF480" s="25"/>
      <c r="BG480" s="25"/>
      <c r="BH480" s="25"/>
      <c r="BI480" s="25"/>
      <c r="BJ480" s="25"/>
      <c r="BK480" s="25"/>
      <c r="BL480" s="25"/>
      <c r="BM480" s="25"/>
      <c r="BN480" s="25"/>
      <c r="BO480" s="25"/>
      <c r="BP480" s="25"/>
      <c r="BQ480" s="25"/>
      <c r="BR480" s="25"/>
      <c r="BS480" s="25"/>
      <c r="BT480" s="25"/>
      <c r="BU480" s="25"/>
      <c r="BV480" s="25"/>
      <c r="BW480" s="25"/>
      <c r="BX480" s="25"/>
      <c r="BY480" s="25"/>
      <c r="BZ480" s="25"/>
      <c r="CA480" s="25"/>
      <c r="CB480" s="25"/>
      <c r="CC480" s="25"/>
      <c r="CD480" s="25"/>
      <c r="CE480" s="25"/>
      <c r="CF480" s="25"/>
      <c r="CG480" s="25"/>
      <c r="CH480" s="25"/>
      <c r="CI480" s="25"/>
      <c r="CJ480" s="25"/>
      <c r="CK480" s="25"/>
      <c r="CL480" s="25"/>
      <c r="CM480" s="25"/>
      <c r="CN480" s="25"/>
      <c r="CO480" s="25"/>
      <c r="CP480" s="25"/>
      <c r="CQ480" s="25"/>
      <c r="CR480" s="25"/>
      <c r="CS480" s="25"/>
    </row>
    <row r="481" spans="2:97">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c r="AV481" s="25"/>
      <c r="AW481" s="25"/>
      <c r="AX481" s="25"/>
      <c r="AY481" s="25"/>
      <c r="AZ481" s="25"/>
      <c r="BA481" s="25"/>
      <c r="BB481" s="25"/>
      <c r="BC481" s="25"/>
      <c r="BD481" s="25"/>
      <c r="BE481" s="25"/>
      <c r="BF481" s="25"/>
      <c r="BG481" s="25"/>
      <c r="BH481" s="25"/>
      <c r="BI481" s="25"/>
      <c r="BJ481" s="25"/>
      <c r="BK481" s="25"/>
      <c r="BL481" s="25"/>
      <c r="BM481" s="25"/>
      <c r="BN481" s="25"/>
      <c r="BO481" s="25"/>
      <c r="BP481" s="25"/>
      <c r="BQ481" s="25"/>
      <c r="BR481" s="25"/>
      <c r="BS481" s="25"/>
      <c r="BT481" s="25"/>
      <c r="BU481" s="25"/>
      <c r="BV481" s="25"/>
      <c r="BW481" s="25"/>
      <c r="BX481" s="25"/>
      <c r="BY481" s="25"/>
      <c r="BZ481" s="25"/>
      <c r="CA481" s="25"/>
      <c r="CB481" s="25"/>
      <c r="CC481" s="25"/>
      <c r="CD481" s="25"/>
      <c r="CE481" s="25"/>
      <c r="CF481" s="25"/>
      <c r="CG481" s="25"/>
      <c r="CH481" s="25"/>
      <c r="CI481" s="25"/>
      <c r="CJ481" s="25"/>
      <c r="CK481" s="25"/>
      <c r="CL481" s="25"/>
      <c r="CM481" s="25"/>
      <c r="CN481" s="25"/>
      <c r="CO481" s="25"/>
      <c r="CP481" s="25"/>
      <c r="CQ481" s="25"/>
      <c r="CR481" s="25"/>
      <c r="CS481" s="25"/>
    </row>
    <row r="482" spans="2:97">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c r="AV482" s="25"/>
      <c r="AW482" s="25"/>
      <c r="AX482" s="25"/>
      <c r="AY482" s="25"/>
      <c r="AZ482" s="25"/>
      <c r="BA482" s="25"/>
      <c r="BB482" s="25"/>
      <c r="BC482" s="25"/>
      <c r="BD482" s="25"/>
      <c r="BE482" s="25"/>
      <c r="BF482" s="25"/>
      <c r="BG482" s="25"/>
      <c r="BH482" s="25"/>
      <c r="BI482" s="25"/>
      <c r="BJ482" s="25"/>
      <c r="BK482" s="25"/>
      <c r="BL482" s="25"/>
      <c r="BM482" s="25"/>
      <c r="BN482" s="25"/>
      <c r="BO482" s="25"/>
      <c r="BP482" s="25"/>
      <c r="BQ482" s="25"/>
      <c r="BR482" s="25"/>
      <c r="BS482" s="25"/>
      <c r="BT482" s="25"/>
      <c r="BU482" s="25"/>
      <c r="BV482" s="25"/>
      <c r="BW482" s="25"/>
      <c r="BX482" s="25"/>
      <c r="BY482" s="25"/>
      <c r="BZ482" s="25"/>
      <c r="CA482" s="25"/>
      <c r="CB482" s="25"/>
      <c r="CC482" s="25"/>
      <c r="CD482" s="25"/>
      <c r="CE482" s="25"/>
      <c r="CF482" s="25"/>
      <c r="CG482" s="25"/>
      <c r="CH482" s="25"/>
      <c r="CI482" s="25"/>
      <c r="CJ482" s="25"/>
      <c r="CK482" s="25"/>
      <c r="CL482" s="25"/>
      <c r="CM482" s="25"/>
      <c r="CN482" s="25"/>
      <c r="CO482" s="25"/>
      <c r="CP482" s="25"/>
      <c r="CQ482" s="25"/>
      <c r="CR482" s="25"/>
      <c r="CS482" s="25"/>
    </row>
    <row r="483" spans="2:97">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c r="AV483" s="25"/>
      <c r="AW483" s="25"/>
      <c r="AX483" s="25"/>
      <c r="AY483" s="25"/>
      <c r="AZ483" s="25"/>
      <c r="BA483" s="25"/>
      <c r="BB483" s="25"/>
      <c r="BC483" s="25"/>
      <c r="BD483" s="25"/>
      <c r="BE483" s="25"/>
      <c r="BF483" s="25"/>
      <c r="BG483" s="25"/>
      <c r="BH483" s="25"/>
      <c r="BI483" s="25"/>
      <c r="BJ483" s="25"/>
      <c r="BK483" s="25"/>
      <c r="BL483" s="25"/>
      <c r="BM483" s="25"/>
      <c r="BN483" s="25"/>
      <c r="BO483" s="25"/>
      <c r="BP483" s="25"/>
      <c r="BQ483" s="25"/>
      <c r="BR483" s="25"/>
      <c r="BS483" s="25"/>
      <c r="BT483" s="25"/>
      <c r="BU483" s="25"/>
      <c r="BV483" s="25"/>
      <c r="BW483" s="25"/>
      <c r="BX483" s="25"/>
      <c r="BY483" s="25"/>
      <c r="BZ483" s="25"/>
      <c r="CA483" s="25"/>
      <c r="CB483" s="25"/>
      <c r="CC483" s="25"/>
      <c r="CD483" s="25"/>
      <c r="CE483" s="25"/>
      <c r="CF483" s="25"/>
      <c r="CG483" s="25"/>
      <c r="CH483" s="25"/>
      <c r="CI483" s="25"/>
      <c r="CJ483" s="25"/>
      <c r="CK483" s="25"/>
      <c r="CL483" s="25"/>
      <c r="CM483" s="25"/>
      <c r="CN483" s="25"/>
      <c r="CO483" s="25"/>
      <c r="CP483" s="25"/>
      <c r="CQ483" s="25"/>
      <c r="CR483" s="25"/>
      <c r="CS483" s="25"/>
    </row>
    <row r="484" spans="2:97">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c r="AV484" s="25"/>
      <c r="AW484" s="25"/>
      <c r="AX484" s="25"/>
      <c r="AY484" s="25"/>
      <c r="AZ484" s="25"/>
      <c r="BA484" s="25"/>
      <c r="BB484" s="25"/>
      <c r="BC484" s="25"/>
      <c r="BD484" s="25"/>
      <c r="BE484" s="25"/>
      <c r="BF484" s="25"/>
      <c r="BG484" s="25"/>
      <c r="BH484" s="25"/>
      <c r="BI484" s="25"/>
      <c r="BJ484" s="25"/>
      <c r="BK484" s="25"/>
      <c r="BL484" s="25"/>
      <c r="BM484" s="25"/>
      <c r="BN484" s="25"/>
      <c r="BO484" s="25"/>
      <c r="BP484" s="25"/>
      <c r="BQ484" s="25"/>
      <c r="BR484" s="25"/>
      <c r="BS484" s="25"/>
      <c r="BT484" s="25"/>
      <c r="BU484" s="25"/>
      <c r="BV484" s="25"/>
      <c r="BW484" s="25"/>
      <c r="BX484" s="25"/>
      <c r="BY484" s="25"/>
      <c r="BZ484" s="25"/>
      <c r="CA484" s="25"/>
      <c r="CB484" s="25"/>
      <c r="CC484" s="25"/>
      <c r="CD484" s="25"/>
      <c r="CE484" s="25"/>
      <c r="CF484" s="25"/>
      <c r="CG484" s="25"/>
      <c r="CH484" s="25"/>
      <c r="CI484" s="25"/>
      <c r="CJ484" s="25"/>
      <c r="CK484" s="25"/>
      <c r="CL484" s="25"/>
      <c r="CM484" s="25"/>
      <c r="CN484" s="25"/>
      <c r="CO484" s="25"/>
      <c r="CP484" s="25"/>
      <c r="CQ484" s="25"/>
      <c r="CR484" s="25"/>
      <c r="CS484" s="25"/>
    </row>
    <row r="485" spans="2:97">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5"/>
      <c r="AV485" s="25"/>
      <c r="AW485" s="25"/>
      <c r="AX485" s="25"/>
      <c r="AY485" s="25"/>
      <c r="AZ485" s="25"/>
      <c r="BA485" s="25"/>
      <c r="BB485" s="25"/>
      <c r="BC485" s="25"/>
      <c r="BD485" s="25"/>
      <c r="BE485" s="25"/>
      <c r="BF485" s="25"/>
      <c r="BG485" s="25"/>
      <c r="BH485" s="25"/>
      <c r="BI485" s="25"/>
      <c r="BJ485" s="25"/>
      <c r="BK485" s="25"/>
      <c r="BL485" s="25"/>
      <c r="BM485" s="25"/>
      <c r="BN485" s="25"/>
      <c r="BO485" s="25"/>
      <c r="BP485" s="25"/>
      <c r="BQ485" s="25"/>
      <c r="BR485" s="25"/>
      <c r="BS485" s="25"/>
      <c r="BT485" s="25"/>
      <c r="BU485" s="25"/>
      <c r="BV485" s="25"/>
      <c r="BW485" s="25"/>
      <c r="BX485" s="25"/>
      <c r="BY485" s="25"/>
      <c r="BZ485" s="25"/>
      <c r="CA485" s="25"/>
      <c r="CB485" s="25"/>
      <c r="CC485" s="25"/>
      <c r="CD485" s="25"/>
      <c r="CE485" s="25"/>
      <c r="CF485" s="25"/>
      <c r="CG485" s="25"/>
      <c r="CH485" s="25"/>
      <c r="CI485" s="25"/>
      <c r="CJ485" s="25"/>
      <c r="CK485" s="25"/>
      <c r="CL485" s="25"/>
      <c r="CM485" s="25"/>
      <c r="CN485" s="25"/>
      <c r="CO485" s="25"/>
      <c r="CP485" s="25"/>
      <c r="CQ485" s="25"/>
      <c r="CR485" s="25"/>
      <c r="CS485" s="25"/>
    </row>
    <row r="486" spans="2:97">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c r="AV486" s="25"/>
      <c r="AW486" s="25"/>
      <c r="AX486" s="25"/>
      <c r="AY486" s="25"/>
      <c r="AZ486" s="25"/>
      <c r="BA486" s="25"/>
      <c r="BB486" s="25"/>
      <c r="BC486" s="25"/>
      <c r="BD486" s="25"/>
      <c r="BE486" s="25"/>
      <c r="BF486" s="25"/>
      <c r="BG486" s="25"/>
      <c r="BH486" s="25"/>
      <c r="BI486" s="25"/>
      <c r="BJ486" s="25"/>
      <c r="BK486" s="25"/>
      <c r="BL486" s="25"/>
      <c r="BM486" s="25"/>
      <c r="BN486" s="25"/>
      <c r="BO486" s="25"/>
      <c r="BP486" s="25"/>
      <c r="BQ486" s="25"/>
      <c r="BR486" s="25"/>
      <c r="BS486" s="25"/>
      <c r="BT486" s="25"/>
      <c r="BU486" s="25"/>
      <c r="BV486" s="25"/>
      <c r="BW486" s="25"/>
      <c r="BX486" s="25"/>
      <c r="BY486" s="25"/>
      <c r="BZ486" s="25"/>
      <c r="CA486" s="25"/>
      <c r="CB486" s="25"/>
      <c r="CC486" s="25"/>
      <c r="CD486" s="25"/>
      <c r="CE486" s="25"/>
      <c r="CF486" s="25"/>
      <c r="CG486" s="25"/>
      <c r="CH486" s="25"/>
      <c r="CI486" s="25"/>
      <c r="CJ486" s="25"/>
      <c r="CK486" s="25"/>
      <c r="CL486" s="25"/>
      <c r="CM486" s="25"/>
      <c r="CN486" s="25"/>
      <c r="CO486" s="25"/>
      <c r="CP486" s="25"/>
      <c r="CQ486" s="25"/>
      <c r="CR486" s="25"/>
      <c r="CS486" s="25"/>
    </row>
    <row r="487" spans="2:97">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5"/>
      <c r="AV487" s="25"/>
      <c r="AW487" s="25"/>
      <c r="AX487" s="25"/>
      <c r="AY487" s="25"/>
      <c r="AZ487" s="25"/>
      <c r="BA487" s="25"/>
      <c r="BB487" s="25"/>
      <c r="BC487" s="25"/>
      <c r="BD487" s="25"/>
      <c r="BE487" s="25"/>
      <c r="BF487" s="25"/>
      <c r="BG487" s="25"/>
      <c r="BH487" s="25"/>
      <c r="BI487" s="25"/>
      <c r="BJ487" s="25"/>
      <c r="BK487" s="25"/>
      <c r="BL487" s="25"/>
      <c r="BM487" s="25"/>
      <c r="BN487" s="25"/>
      <c r="BO487" s="25"/>
      <c r="BP487" s="25"/>
      <c r="BQ487" s="25"/>
      <c r="BR487" s="25"/>
      <c r="BS487" s="25"/>
      <c r="BT487" s="25"/>
      <c r="BU487" s="25"/>
      <c r="BV487" s="25"/>
      <c r="BW487" s="25"/>
      <c r="BX487" s="25"/>
      <c r="BY487" s="25"/>
      <c r="BZ487" s="25"/>
      <c r="CA487" s="25"/>
      <c r="CB487" s="25"/>
      <c r="CC487" s="25"/>
      <c r="CD487" s="25"/>
      <c r="CE487" s="25"/>
      <c r="CF487" s="25"/>
      <c r="CG487" s="25"/>
      <c r="CH487" s="25"/>
      <c r="CI487" s="25"/>
      <c r="CJ487" s="25"/>
      <c r="CK487" s="25"/>
      <c r="CL487" s="25"/>
      <c r="CM487" s="25"/>
      <c r="CN487" s="25"/>
      <c r="CO487" s="25"/>
      <c r="CP487" s="25"/>
      <c r="CQ487" s="25"/>
      <c r="CR487" s="25"/>
      <c r="CS487" s="25"/>
    </row>
    <row r="488" spans="2:97">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c r="AT488" s="25"/>
      <c r="AU488" s="25"/>
      <c r="AV488" s="25"/>
      <c r="AW488" s="25"/>
      <c r="AX488" s="25"/>
      <c r="AY488" s="25"/>
      <c r="AZ488" s="25"/>
      <c r="BA488" s="25"/>
      <c r="BB488" s="25"/>
      <c r="BC488" s="25"/>
      <c r="BD488" s="25"/>
      <c r="BE488" s="25"/>
      <c r="BF488" s="25"/>
      <c r="BG488" s="25"/>
      <c r="BH488" s="25"/>
      <c r="BI488" s="25"/>
      <c r="BJ488" s="25"/>
      <c r="BK488" s="25"/>
      <c r="BL488" s="25"/>
      <c r="BM488" s="25"/>
      <c r="BN488" s="25"/>
      <c r="BO488" s="25"/>
      <c r="BP488" s="25"/>
      <c r="BQ488" s="25"/>
      <c r="BR488" s="25"/>
      <c r="BS488" s="25"/>
      <c r="BT488" s="25"/>
      <c r="BU488" s="25"/>
      <c r="BV488" s="25"/>
      <c r="BW488" s="25"/>
      <c r="BX488" s="25"/>
      <c r="BY488" s="25"/>
      <c r="BZ488" s="25"/>
      <c r="CA488" s="25"/>
      <c r="CB488" s="25"/>
      <c r="CC488" s="25"/>
      <c r="CD488" s="25"/>
      <c r="CE488" s="25"/>
      <c r="CF488" s="25"/>
      <c r="CG488" s="25"/>
      <c r="CH488" s="25"/>
      <c r="CI488" s="25"/>
      <c r="CJ488" s="25"/>
      <c r="CK488" s="25"/>
      <c r="CL488" s="25"/>
      <c r="CM488" s="25"/>
      <c r="CN488" s="25"/>
      <c r="CO488" s="25"/>
      <c r="CP488" s="25"/>
      <c r="CQ488" s="25"/>
      <c r="CR488" s="25"/>
      <c r="CS488" s="25"/>
    </row>
    <row r="489" spans="2:97">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c r="AT489" s="25"/>
      <c r="AU489" s="25"/>
      <c r="AV489" s="25"/>
      <c r="AW489" s="25"/>
      <c r="AX489" s="25"/>
      <c r="AY489" s="25"/>
      <c r="AZ489" s="25"/>
      <c r="BA489" s="25"/>
      <c r="BB489" s="25"/>
      <c r="BC489" s="25"/>
      <c r="BD489" s="25"/>
      <c r="BE489" s="25"/>
      <c r="BF489" s="25"/>
      <c r="BG489" s="25"/>
      <c r="BH489" s="25"/>
      <c r="BI489" s="25"/>
      <c r="BJ489" s="25"/>
      <c r="BK489" s="25"/>
      <c r="BL489" s="25"/>
      <c r="BM489" s="25"/>
      <c r="BN489" s="25"/>
      <c r="BO489" s="25"/>
      <c r="BP489" s="25"/>
      <c r="BQ489" s="25"/>
      <c r="BR489" s="25"/>
      <c r="BS489" s="25"/>
      <c r="BT489" s="25"/>
      <c r="BU489" s="25"/>
      <c r="BV489" s="25"/>
      <c r="BW489" s="25"/>
      <c r="BX489" s="25"/>
      <c r="BY489" s="25"/>
      <c r="BZ489" s="25"/>
      <c r="CA489" s="25"/>
      <c r="CB489" s="25"/>
      <c r="CC489" s="25"/>
      <c r="CD489" s="25"/>
      <c r="CE489" s="25"/>
      <c r="CF489" s="25"/>
      <c r="CG489" s="25"/>
      <c r="CH489" s="25"/>
      <c r="CI489" s="25"/>
      <c r="CJ489" s="25"/>
      <c r="CK489" s="25"/>
      <c r="CL489" s="25"/>
      <c r="CM489" s="25"/>
      <c r="CN489" s="25"/>
      <c r="CO489" s="25"/>
      <c r="CP489" s="25"/>
      <c r="CQ489" s="25"/>
      <c r="CR489" s="25"/>
      <c r="CS489" s="25"/>
    </row>
    <row r="490" spans="2:97">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c r="AT490" s="25"/>
      <c r="AU490" s="25"/>
      <c r="AV490" s="25"/>
      <c r="AW490" s="25"/>
      <c r="AX490" s="25"/>
      <c r="AY490" s="25"/>
      <c r="AZ490" s="25"/>
      <c r="BA490" s="25"/>
      <c r="BB490" s="25"/>
      <c r="BC490" s="25"/>
      <c r="BD490" s="25"/>
      <c r="BE490" s="25"/>
      <c r="BF490" s="25"/>
      <c r="BG490" s="25"/>
      <c r="BH490" s="25"/>
      <c r="BI490" s="25"/>
      <c r="BJ490" s="25"/>
      <c r="BK490" s="25"/>
      <c r="BL490" s="25"/>
      <c r="BM490" s="25"/>
      <c r="BN490" s="25"/>
      <c r="BO490" s="25"/>
      <c r="BP490" s="25"/>
      <c r="BQ490" s="25"/>
      <c r="BR490" s="25"/>
      <c r="BS490" s="25"/>
      <c r="BT490" s="25"/>
      <c r="BU490" s="25"/>
      <c r="BV490" s="25"/>
      <c r="BW490" s="25"/>
      <c r="BX490" s="25"/>
      <c r="BY490" s="25"/>
      <c r="BZ490" s="25"/>
      <c r="CA490" s="25"/>
      <c r="CB490" s="25"/>
      <c r="CC490" s="25"/>
      <c r="CD490" s="25"/>
      <c r="CE490" s="25"/>
      <c r="CF490" s="25"/>
      <c r="CG490" s="25"/>
      <c r="CH490" s="25"/>
      <c r="CI490" s="25"/>
      <c r="CJ490" s="25"/>
      <c r="CK490" s="25"/>
      <c r="CL490" s="25"/>
      <c r="CM490" s="25"/>
      <c r="CN490" s="25"/>
      <c r="CO490" s="25"/>
      <c r="CP490" s="25"/>
      <c r="CQ490" s="25"/>
      <c r="CR490" s="25"/>
      <c r="CS490" s="25"/>
    </row>
    <row r="491" spans="2:97">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c r="AT491" s="25"/>
      <c r="AU491" s="25"/>
      <c r="AV491" s="25"/>
      <c r="AW491" s="25"/>
      <c r="AX491" s="25"/>
      <c r="AY491" s="25"/>
      <c r="AZ491" s="25"/>
      <c r="BA491" s="25"/>
      <c r="BB491" s="25"/>
      <c r="BC491" s="25"/>
      <c r="BD491" s="25"/>
      <c r="BE491" s="25"/>
      <c r="BF491" s="25"/>
      <c r="BG491" s="25"/>
      <c r="BH491" s="25"/>
      <c r="BI491" s="25"/>
      <c r="BJ491" s="25"/>
      <c r="BK491" s="25"/>
      <c r="BL491" s="25"/>
      <c r="BM491" s="25"/>
      <c r="BN491" s="25"/>
      <c r="BO491" s="25"/>
      <c r="BP491" s="25"/>
      <c r="BQ491" s="25"/>
      <c r="BR491" s="25"/>
      <c r="BS491" s="25"/>
      <c r="BT491" s="25"/>
      <c r="BU491" s="25"/>
      <c r="BV491" s="25"/>
      <c r="BW491" s="25"/>
      <c r="BX491" s="25"/>
      <c r="BY491" s="25"/>
      <c r="BZ491" s="25"/>
      <c r="CA491" s="25"/>
      <c r="CB491" s="25"/>
      <c r="CC491" s="25"/>
      <c r="CD491" s="25"/>
      <c r="CE491" s="25"/>
      <c r="CF491" s="25"/>
      <c r="CG491" s="25"/>
      <c r="CH491" s="25"/>
      <c r="CI491" s="25"/>
      <c r="CJ491" s="25"/>
      <c r="CK491" s="25"/>
      <c r="CL491" s="25"/>
      <c r="CM491" s="25"/>
      <c r="CN491" s="25"/>
      <c r="CO491" s="25"/>
      <c r="CP491" s="25"/>
      <c r="CQ491" s="25"/>
      <c r="CR491" s="25"/>
      <c r="CS491" s="25"/>
    </row>
    <row r="492" spans="2:97">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c r="AS492" s="25"/>
      <c r="AT492" s="25"/>
      <c r="AU492" s="25"/>
      <c r="AV492" s="25"/>
      <c r="AW492" s="25"/>
      <c r="AX492" s="25"/>
      <c r="AY492" s="25"/>
      <c r="AZ492" s="25"/>
      <c r="BA492" s="25"/>
      <c r="BB492" s="25"/>
      <c r="BC492" s="25"/>
      <c r="BD492" s="25"/>
      <c r="BE492" s="25"/>
      <c r="BF492" s="25"/>
      <c r="BG492" s="25"/>
      <c r="BH492" s="25"/>
      <c r="BI492" s="25"/>
      <c r="BJ492" s="25"/>
      <c r="BK492" s="25"/>
      <c r="BL492" s="25"/>
      <c r="BM492" s="25"/>
      <c r="BN492" s="25"/>
      <c r="BO492" s="25"/>
      <c r="BP492" s="25"/>
      <c r="BQ492" s="25"/>
      <c r="BR492" s="25"/>
      <c r="BS492" s="25"/>
      <c r="BT492" s="25"/>
      <c r="BU492" s="25"/>
      <c r="BV492" s="25"/>
      <c r="BW492" s="25"/>
      <c r="BX492" s="25"/>
      <c r="BY492" s="25"/>
      <c r="BZ492" s="25"/>
      <c r="CA492" s="25"/>
      <c r="CB492" s="25"/>
      <c r="CC492" s="25"/>
      <c r="CD492" s="25"/>
      <c r="CE492" s="25"/>
      <c r="CF492" s="25"/>
      <c r="CG492" s="25"/>
      <c r="CH492" s="25"/>
      <c r="CI492" s="25"/>
      <c r="CJ492" s="25"/>
      <c r="CK492" s="25"/>
      <c r="CL492" s="25"/>
      <c r="CM492" s="25"/>
      <c r="CN492" s="25"/>
      <c r="CO492" s="25"/>
      <c r="CP492" s="25"/>
      <c r="CQ492" s="25"/>
      <c r="CR492" s="25"/>
      <c r="CS492" s="25"/>
    </row>
    <row r="493" spans="2:97">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c r="AS493" s="25"/>
      <c r="AT493" s="25"/>
      <c r="AU493" s="25"/>
      <c r="AV493" s="25"/>
      <c r="AW493" s="25"/>
      <c r="AX493" s="25"/>
      <c r="AY493" s="25"/>
      <c r="AZ493" s="25"/>
      <c r="BA493" s="25"/>
      <c r="BB493" s="25"/>
      <c r="BC493" s="25"/>
      <c r="BD493" s="25"/>
      <c r="BE493" s="25"/>
      <c r="BF493" s="25"/>
      <c r="BG493" s="25"/>
      <c r="BH493" s="25"/>
      <c r="BI493" s="25"/>
      <c r="BJ493" s="25"/>
      <c r="BK493" s="25"/>
      <c r="BL493" s="25"/>
      <c r="BM493" s="25"/>
      <c r="BN493" s="25"/>
      <c r="BO493" s="25"/>
      <c r="BP493" s="25"/>
      <c r="BQ493" s="25"/>
      <c r="BR493" s="25"/>
      <c r="BS493" s="25"/>
      <c r="BT493" s="25"/>
      <c r="BU493" s="25"/>
      <c r="BV493" s="25"/>
      <c r="BW493" s="25"/>
      <c r="BX493" s="25"/>
      <c r="BY493" s="25"/>
      <c r="BZ493" s="25"/>
      <c r="CA493" s="25"/>
      <c r="CB493" s="25"/>
      <c r="CC493" s="25"/>
      <c r="CD493" s="25"/>
      <c r="CE493" s="25"/>
      <c r="CF493" s="25"/>
      <c r="CG493" s="25"/>
      <c r="CH493" s="25"/>
      <c r="CI493" s="25"/>
      <c r="CJ493" s="25"/>
      <c r="CK493" s="25"/>
      <c r="CL493" s="25"/>
      <c r="CM493" s="25"/>
      <c r="CN493" s="25"/>
      <c r="CO493" s="25"/>
      <c r="CP493" s="25"/>
      <c r="CQ493" s="25"/>
      <c r="CR493" s="25"/>
      <c r="CS493" s="25"/>
    </row>
    <row r="494" spans="2:97">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c r="AS494" s="25"/>
      <c r="AT494" s="25"/>
      <c r="AU494" s="25"/>
      <c r="AV494" s="25"/>
      <c r="AW494" s="25"/>
      <c r="AX494" s="25"/>
      <c r="AY494" s="25"/>
      <c r="AZ494" s="25"/>
      <c r="BA494" s="25"/>
      <c r="BB494" s="25"/>
      <c r="BC494" s="25"/>
      <c r="BD494" s="25"/>
      <c r="BE494" s="25"/>
      <c r="BF494" s="25"/>
      <c r="BG494" s="25"/>
      <c r="BH494" s="25"/>
      <c r="BI494" s="25"/>
      <c r="BJ494" s="25"/>
      <c r="BK494" s="25"/>
      <c r="BL494" s="25"/>
      <c r="BM494" s="25"/>
      <c r="BN494" s="25"/>
      <c r="BO494" s="25"/>
      <c r="BP494" s="25"/>
      <c r="BQ494" s="25"/>
      <c r="BR494" s="25"/>
      <c r="BS494" s="25"/>
      <c r="BT494" s="25"/>
      <c r="BU494" s="25"/>
      <c r="BV494" s="25"/>
      <c r="BW494" s="25"/>
      <c r="BX494" s="25"/>
      <c r="BY494" s="25"/>
      <c r="BZ494" s="25"/>
      <c r="CA494" s="25"/>
      <c r="CB494" s="25"/>
      <c r="CC494" s="25"/>
      <c r="CD494" s="25"/>
      <c r="CE494" s="25"/>
      <c r="CF494" s="25"/>
      <c r="CG494" s="25"/>
      <c r="CH494" s="25"/>
      <c r="CI494" s="25"/>
      <c r="CJ494" s="25"/>
      <c r="CK494" s="25"/>
      <c r="CL494" s="25"/>
      <c r="CM494" s="25"/>
      <c r="CN494" s="25"/>
      <c r="CO494" s="25"/>
      <c r="CP494" s="25"/>
      <c r="CQ494" s="25"/>
      <c r="CR494" s="25"/>
      <c r="CS494" s="25"/>
    </row>
    <row r="495" spans="2:97">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c r="AS495" s="25"/>
      <c r="AT495" s="25"/>
      <c r="AU495" s="25"/>
      <c r="AV495" s="25"/>
      <c r="AW495" s="25"/>
      <c r="AX495" s="25"/>
      <c r="AY495" s="25"/>
      <c r="AZ495" s="25"/>
      <c r="BA495" s="25"/>
      <c r="BB495" s="25"/>
      <c r="BC495" s="25"/>
      <c r="BD495" s="25"/>
      <c r="BE495" s="25"/>
      <c r="BF495" s="25"/>
      <c r="BG495" s="25"/>
      <c r="BH495" s="25"/>
      <c r="BI495" s="25"/>
      <c r="BJ495" s="25"/>
      <c r="BK495" s="25"/>
      <c r="BL495" s="25"/>
      <c r="BM495" s="25"/>
      <c r="BN495" s="25"/>
      <c r="BO495" s="25"/>
      <c r="BP495" s="25"/>
      <c r="BQ495" s="25"/>
      <c r="BR495" s="25"/>
      <c r="BS495" s="25"/>
      <c r="BT495" s="25"/>
      <c r="BU495" s="25"/>
      <c r="BV495" s="25"/>
      <c r="BW495" s="25"/>
      <c r="BX495" s="25"/>
      <c r="BY495" s="25"/>
      <c r="BZ495" s="25"/>
      <c r="CA495" s="25"/>
      <c r="CB495" s="25"/>
      <c r="CC495" s="25"/>
      <c r="CD495" s="25"/>
      <c r="CE495" s="25"/>
      <c r="CF495" s="25"/>
      <c r="CG495" s="25"/>
      <c r="CH495" s="25"/>
      <c r="CI495" s="25"/>
      <c r="CJ495" s="25"/>
      <c r="CK495" s="25"/>
      <c r="CL495" s="25"/>
      <c r="CM495" s="25"/>
      <c r="CN495" s="25"/>
      <c r="CO495" s="25"/>
      <c r="CP495" s="25"/>
      <c r="CQ495" s="25"/>
      <c r="CR495" s="25"/>
      <c r="CS495" s="25"/>
    </row>
    <row r="496" spans="2:97">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c r="AS496" s="25"/>
      <c r="AT496" s="25"/>
      <c r="AU496" s="25"/>
      <c r="AV496" s="25"/>
      <c r="AW496" s="25"/>
      <c r="AX496" s="25"/>
      <c r="AY496" s="25"/>
      <c r="AZ496" s="25"/>
      <c r="BA496" s="25"/>
      <c r="BB496" s="25"/>
      <c r="BC496" s="25"/>
      <c r="BD496" s="25"/>
      <c r="BE496" s="25"/>
      <c r="BF496" s="25"/>
      <c r="BG496" s="25"/>
      <c r="BH496" s="25"/>
      <c r="BI496" s="25"/>
      <c r="BJ496" s="25"/>
      <c r="BK496" s="25"/>
      <c r="BL496" s="25"/>
      <c r="BM496" s="25"/>
      <c r="BN496" s="25"/>
      <c r="BO496" s="25"/>
      <c r="BP496" s="25"/>
      <c r="BQ496" s="25"/>
      <c r="BR496" s="25"/>
      <c r="BS496" s="25"/>
      <c r="BT496" s="25"/>
      <c r="BU496" s="25"/>
      <c r="BV496" s="25"/>
      <c r="BW496" s="25"/>
      <c r="BX496" s="25"/>
      <c r="BY496" s="25"/>
      <c r="BZ496" s="25"/>
      <c r="CA496" s="25"/>
      <c r="CB496" s="25"/>
      <c r="CC496" s="25"/>
      <c r="CD496" s="25"/>
      <c r="CE496" s="25"/>
      <c r="CF496" s="25"/>
      <c r="CG496" s="25"/>
      <c r="CH496" s="25"/>
      <c r="CI496" s="25"/>
      <c r="CJ496" s="25"/>
      <c r="CK496" s="25"/>
      <c r="CL496" s="25"/>
      <c r="CM496" s="25"/>
      <c r="CN496" s="25"/>
      <c r="CO496" s="25"/>
      <c r="CP496" s="25"/>
      <c r="CQ496" s="25"/>
      <c r="CR496" s="25"/>
      <c r="CS496" s="25"/>
    </row>
    <row r="497" spans="2:97">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c r="AS497" s="25"/>
      <c r="AT497" s="25"/>
      <c r="AU497" s="25"/>
      <c r="AV497" s="25"/>
      <c r="AW497" s="25"/>
      <c r="AX497" s="25"/>
      <c r="AY497" s="25"/>
      <c r="AZ497" s="25"/>
      <c r="BA497" s="25"/>
      <c r="BB497" s="25"/>
      <c r="BC497" s="25"/>
      <c r="BD497" s="25"/>
      <c r="BE497" s="25"/>
      <c r="BF497" s="25"/>
      <c r="BG497" s="25"/>
      <c r="BH497" s="25"/>
      <c r="BI497" s="25"/>
      <c r="BJ497" s="25"/>
      <c r="BK497" s="25"/>
      <c r="BL497" s="25"/>
      <c r="BM497" s="25"/>
      <c r="BN497" s="25"/>
      <c r="BO497" s="25"/>
      <c r="BP497" s="25"/>
      <c r="BQ497" s="25"/>
      <c r="BR497" s="25"/>
      <c r="BS497" s="25"/>
      <c r="BT497" s="25"/>
      <c r="BU497" s="25"/>
      <c r="BV497" s="25"/>
      <c r="BW497" s="25"/>
      <c r="BX497" s="25"/>
      <c r="BY497" s="25"/>
      <c r="BZ497" s="25"/>
      <c r="CA497" s="25"/>
      <c r="CB497" s="25"/>
      <c r="CC497" s="25"/>
      <c r="CD497" s="25"/>
      <c r="CE497" s="25"/>
      <c r="CF497" s="25"/>
      <c r="CG497" s="25"/>
      <c r="CH497" s="25"/>
      <c r="CI497" s="25"/>
      <c r="CJ497" s="25"/>
      <c r="CK497" s="25"/>
      <c r="CL497" s="25"/>
      <c r="CM497" s="25"/>
      <c r="CN497" s="25"/>
      <c r="CO497" s="25"/>
      <c r="CP497" s="25"/>
      <c r="CQ497" s="25"/>
      <c r="CR497" s="25"/>
      <c r="CS497" s="25"/>
    </row>
    <row r="498" spans="2:97">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c r="AS498" s="25"/>
      <c r="AT498" s="25"/>
      <c r="AU498" s="25"/>
      <c r="AV498" s="25"/>
      <c r="AW498" s="25"/>
      <c r="AX498" s="25"/>
      <c r="AY498" s="25"/>
      <c r="AZ498" s="25"/>
      <c r="BA498" s="25"/>
      <c r="BB498" s="25"/>
      <c r="BC498" s="25"/>
      <c r="BD498" s="25"/>
      <c r="BE498" s="25"/>
      <c r="BF498" s="25"/>
      <c r="BG498" s="25"/>
      <c r="BH498" s="25"/>
      <c r="BI498" s="25"/>
      <c r="BJ498" s="25"/>
      <c r="BK498" s="25"/>
      <c r="BL498" s="25"/>
      <c r="BM498" s="25"/>
      <c r="BN498" s="25"/>
      <c r="BO498" s="25"/>
      <c r="BP498" s="25"/>
      <c r="BQ498" s="25"/>
      <c r="BR498" s="25"/>
      <c r="BS498" s="25"/>
      <c r="BT498" s="25"/>
      <c r="BU498" s="25"/>
      <c r="BV498" s="25"/>
      <c r="BW498" s="25"/>
      <c r="BX498" s="25"/>
      <c r="BY498" s="25"/>
      <c r="BZ498" s="25"/>
      <c r="CA498" s="25"/>
      <c r="CB498" s="25"/>
      <c r="CC498" s="25"/>
      <c r="CD498" s="25"/>
      <c r="CE498" s="25"/>
      <c r="CF498" s="25"/>
      <c r="CG498" s="25"/>
      <c r="CH498" s="25"/>
      <c r="CI498" s="25"/>
      <c r="CJ498" s="25"/>
      <c r="CK498" s="25"/>
      <c r="CL498" s="25"/>
      <c r="CM498" s="25"/>
      <c r="CN498" s="25"/>
      <c r="CO498" s="25"/>
      <c r="CP498" s="25"/>
      <c r="CQ498" s="25"/>
      <c r="CR498" s="25"/>
      <c r="CS498" s="25"/>
    </row>
    <row r="499" spans="2:97">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c r="AS499" s="25"/>
      <c r="AT499" s="25"/>
      <c r="AU499" s="25"/>
      <c r="AV499" s="25"/>
      <c r="AW499" s="25"/>
      <c r="AX499" s="25"/>
      <c r="AY499" s="25"/>
      <c r="AZ499" s="25"/>
      <c r="BA499" s="25"/>
      <c r="BB499" s="25"/>
      <c r="BC499" s="25"/>
      <c r="BD499" s="25"/>
      <c r="BE499" s="25"/>
      <c r="BF499" s="25"/>
      <c r="BG499" s="25"/>
      <c r="BH499" s="25"/>
      <c r="BI499" s="25"/>
      <c r="BJ499" s="25"/>
      <c r="BK499" s="25"/>
      <c r="BL499" s="25"/>
      <c r="BM499" s="25"/>
      <c r="BN499" s="25"/>
      <c r="BO499" s="25"/>
      <c r="BP499" s="25"/>
      <c r="BQ499" s="25"/>
      <c r="BR499" s="25"/>
      <c r="BS499" s="25"/>
      <c r="BT499" s="25"/>
      <c r="BU499" s="25"/>
      <c r="BV499" s="25"/>
      <c r="BW499" s="25"/>
      <c r="BX499" s="25"/>
      <c r="BY499" s="25"/>
      <c r="BZ499" s="25"/>
      <c r="CA499" s="25"/>
      <c r="CB499" s="25"/>
      <c r="CC499" s="25"/>
      <c r="CD499" s="25"/>
      <c r="CE499" s="25"/>
      <c r="CF499" s="25"/>
      <c r="CG499" s="25"/>
      <c r="CH499" s="25"/>
      <c r="CI499" s="25"/>
      <c r="CJ499" s="25"/>
      <c r="CK499" s="25"/>
      <c r="CL499" s="25"/>
      <c r="CM499" s="25"/>
      <c r="CN499" s="25"/>
      <c r="CO499" s="25"/>
      <c r="CP499" s="25"/>
      <c r="CQ499" s="25"/>
      <c r="CR499" s="25"/>
      <c r="CS499" s="25"/>
    </row>
    <row r="500" spans="2:97">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c r="AS500" s="25"/>
      <c r="AT500" s="25"/>
      <c r="AU500" s="25"/>
      <c r="AV500" s="25"/>
      <c r="AW500" s="25"/>
      <c r="AX500" s="25"/>
      <c r="AY500" s="25"/>
      <c r="AZ500" s="25"/>
      <c r="BA500" s="25"/>
      <c r="BB500" s="25"/>
      <c r="BC500" s="25"/>
      <c r="BD500" s="25"/>
      <c r="BE500" s="25"/>
      <c r="BF500" s="25"/>
      <c r="BG500" s="25"/>
      <c r="BH500" s="25"/>
      <c r="BI500" s="25"/>
      <c r="BJ500" s="25"/>
      <c r="BK500" s="25"/>
      <c r="BL500" s="25"/>
      <c r="BM500" s="25"/>
      <c r="BN500" s="25"/>
      <c r="BO500" s="25"/>
      <c r="BP500" s="25"/>
      <c r="BQ500" s="25"/>
      <c r="BR500" s="25"/>
      <c r="BS500" s="25"/>
      <c r="BT500" s="25"/>
      <c r="BU500" s="25"/>
      <c r="BV500" s="25"/>
      <c r="BW500" s="25"/>
      <c r="BX500" s="25"/>
      <c r="BY500" s="25"/>
      <c r="BZ500" s="25"/>
      <c r="CA500" s="25"/>
      <c r="CB500" s="25"/>
      <c r="CC500" s="25"/>
      <c r="CD500" s="25"/>
      <c r="CE500" s="25"/>
      <c r="CF500" s="25"/>
      <c r="CG500" s="25"/>
      <c r="CH500" s="25"/>
      <c r="CI500" s="25"/>
      <c r="CJ500" s="25"/>
      <c r="CK500" s="25"/>
      <c r="CL500" s="25"/>
      <c r="CM500" s="25"/>
      <c r="CN500" s="25"/>
      <c r="CO500" s="25"/>
      <c r="CP500" s="25"/>
      <c r="CQ500" s="25"/>
      <c r="CR500" s="25"/>
      <c r="CS500" s="25"/>
    </row>
    <row r="501" spans="2:97">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c r="AS501" s="25"/>
      <c r="AT501" s="25"/>
      <c r="AU501" s="25"/>
      <c r="AV501" s="25"/>
      <c r="AW501" s="25"/>
      <c r="AX501" s="25"/>
      <c r="AY501" s="25"/>
      <c r="AZ501" s="25"/>
      <c r="BA501" s="25"/>
      <c r="BB501" s="25"/>
      <c r="BC501" s="25"/>
      <c r="BD501" s="25"/>
      <c r="BE501" s="25"/>
      <c r="BF501" s="25"/>
      <c r="BG501" s="25"/>
      <c r="BH501" s="25"/>
      <c r="BI501" s="25"/>
      <c r="BJ501" s="25"/>
      <c r="BK501" s="25"/>
      <c r="BL501" s="25"/>
      <c r="BM501" s="25"/>
      <c r="BN501" s="25"/>
      <c r="BO501" s="25"/>
      <c r="BP501" s="25"/>
      <c r="BQ501" s="25"/>
      <c r="BR501" s="25"/>
      <c r="BS501" s="25"/>
      <c r="BT501" s="25"/>
      <c r="BU501" s="25"/>
      <c r="BV501" s="25"/>
      <c r="BW501" s="25"/>
      <c r="BX501" s="25"/>
      <c r="BY501" s="25"/>
      <c r="BZ501" s="25"/>
      <c r="CA501" s="25"/>
      <c r="CB501" s="25"/>
      <c r="CC501" s="25"/>
      <c r="CD501" s="25"/>
      <c r="CE501" s="25"/>
      <c r="CF501" s="25"/>
      <c r="CG501" s="25"/>
      <c r="CH501" s="25"/>
      <c r="CI501" s="25"/>
      <c r="CJ501" s="25"/>
      <c r="CK501" s="25"/>
      <c r="CL501" s="25"/>
      <c r="CM501" s="25"/>
      <c r="CN501" s="25"/>
      <c r="CO501" s="25"/>
      <c r="CP501" s="25"/>
      <c r="CQ501" s="25"/>
      <c r="CR501" s="25"/>
      <c r="CS501" s="25"/>
    </row>
    <row r="502" spans="2:97">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c r="AS502" s="25"/>
      <c r="AT502" s="25"/>
      <c r="AU502" s="25"/>
      <c r="AV502" s="25"/>
      <c r="AW502" s="25"/>
      <c r="AX502" s="25"/>
      <c r="AY502" s="25"/>
      <c r="AZ502" s="25"/>
      <c r="BA502" s="25"/>
      <c r="BB502" s="25"/>
      <c r="BC502" s="25"/>
      <c r="BD502" s="25"/>
      <c r="BE502" s="25"/>
      <c r="BF502" s="25"/>
      <c r="BG502" s="25"/>
      <c r="BH502" s="25"/>
      <c r="BI502" s="25"/>
      <c r="BJ502" s="25"/>
      <c r="BK502" s="25"/>
      <c r="BL502" s="25"/>
      <c r="BM502" s="25"/>
      <c r="BN502" s="25"/>
      <c r="BO502" s="25"/>
      <c r="BP502" s="25"/>
      <c r="BQ502" s="25"/>
      <c r="BR502" s="25"/>
      <c r="BS502" s="25"/>
      <c r="BT502" s="25"/>
      <c r="BU502" s="25"/>
      <c r="BV502" s="25"/>
      <c r="BW502" s="25"/>
      <c r="BX502" s="25"/>
      <c r="BY502" s="25"/>
      <c r="BZ502" s="25"/>
      <c r="CA502" s="25"/>
      <c r="CB502" s="25"/>
      <c r="CC502" s="25"/>
      <c r="CD502" s="25"/>
      <c r="CE502" s="25"/>
      <c r="CF502" s="25"/>
      <c r="CG502" s="25"/>
      <c r="CH502" s="25"/>
      <c r="CI502" s="25"/>
      <c r="CJ502" s="25"/>
      <c r="CK502" s="25"/>
      <c r="CL502" s="25"/>
      <c r="CM502" s="25"/>
      <c r="CN502" s="25"/>
      <c r="CO502" s="25"/>
      <c r="CP502" s="25"/>
      <c r="CQ502" s="25"/>
      <c r="CR502" s="25"/>
      <c r="CS502" s="25"/>
    </row>
    <row r="503" spans="2:97">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c r="AS503" s="25"/>
      <c r="AT503" s="25"/>
      <c r="AU503" s="25"/>
      <c r="AV503" s="25"/>
      <c r="AW503" s="25"/>
      <c r="AX503" s="25"/>
      <c r="AY503" s="25"/>
      <c r="AZ503" s="25"/>
      <c r="BA503" s="25"/>
      <c r="BB503" s="25"/>
      <c r="BC503" s="25"/>
      <c r="BD503" s="25"/>
      <c r="BE503" s="25"/>
      <c r="BF503" s="25"/>
      <c r="BG503" s="25"/>
      <c r="BH503" s="25"/>
      <c r="BI503" s="25"/>
      <c r="BJ503" s="25"/>
      <c r="BK503" s="25"/>
      <c r="BL503" s="25"/>
      <c r="BM503" s="25"/>
      <c r="BN503" s="25"/>
      <c r="BO503" s="25"/>
      <c r="BP503" s="25"/>
      <c r="BQ503" s="25"/>
      <c r="BR503" s="25"/>
      <c r="BS503" s="25"/>
      <c r="BT503" s="25"/>
      <c r="BU503" s="25"/>
      <c r="BV503" s="25"/>
      <c r="BW503" s="25"/>
      <c r="BX503" s="25"/>
      <c r="BY503" s="25"/>
      <c r="BZ503" s="25"/>
      <c r="CA503" s="25"/>
      <c r="CB503" s="25"/>
      <c r="CC503" s="25"/>
      <c r="CD503" s="25"/>
      <c r="CE503" s="25"/>
      <c r="CF503" s="25"/>
      <c r="CG503" s="25"/>
      <c r="CH503" s="25"/>
      <c r="CI503" s="25"/>
      <c r="CJ503" s="25"/>
      <c r="CK503" s="25"/>
      <c r="CL503" s="25"/>
      <c r="CM503" s="25"/>
      <c r="CN503" s="25"/>
      <c r="CO503" s="25"/>
      <c r="CP503" s="25"/>
      <c r="CQ503" s="25"/>
      <c r="CR503" s="25"/>
      <c r="CS503" s="25"/>
    </row>
    <row r="504" spans="2:97">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c r="AS504" s="25"/>
      <c r="AT504" s="25"/>
      <c r="AU504" s="25"/>
      <c r="AV504" s="25"/>
      <c r="AW504" s="25"/>
      <c r="AX504" s="25"/>
      <c r="AY504" s="25"/>
      <c r="AZ504" s="25"/>
      <c r="BA504" s="25"/>
      <c r="BB504" s="25"/>
      <c r="BC504" s="25"/>
      <c r="BD504" s="25"/>
      <c r="BE504" s="25"/>
      <c r="BF504" s="25"/>
      <c r="BG504" s="25"/>
      <c r="BH504" s="25"/>
      <c r="BI504" s="25"/>
      <c r="BJ504" s="25"/>
      <c r="BK504" s="25"/>
      <c r="BL504" s="25"/>
      <c r="BM504" s="25"/>
      <c r="BN504" s="25"/>
      <c r="BO504" s="25"/>
      <c r="BP504" s="25"/>
      <c r="BQ504" s="25"/>
      <c r="BR504" s="25"/>
      <c r="BS504" s="25"/>
      <c r="BT504" s="25"/>
      <c r="BU504" s="25"/>
      <c r="BV504" s="25"/>
      <c r="BW504" s="25"/>
      <c r="BX504" s="25"/>
      <c r="BY504" s="25"/>
      <c r="BZ504" s="25"/>
      <c r="CA504" s="25"/>
      <c r="CB504" s="25"/>
      <c r="CC504" s="25"/>
      <c r="CD504" s="25"/>
      <c r="CE504" s="25"/>
      <c r="CF504" s="25"/>
      <c r="CG504" s="25"/>
      <c r="CH504" s="25"/>
      <c r="CI504" s="25"/>
      <c r="CJ504" s="25"/>
      <c r="CK504" s="25"/>
      <c r="CL504" s="25"/>
      <c r="CM504" s="25"/>
      <c r="CN504" s="25"/>
      <c r="CO504" s="25"/>
      <c r="CP504" s="25"/>
      <c r="CQ504" s="25"/>
      <c r="CR504" s="25"/>
      <c r="CS504" s="25"/>
    </row>
    <row r="505" spans="2:97">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c r="AN505" s="25"/>
      <c r="AO505" s="25"/>
      <c r="AP505" s="25"/>
      <c r="AQ505" s="25"/>
      <c r="AR505" s="25"/>
      <c r="AS505" s="25"/>
      <c r="AT505" s="25"/>
      <c r="AU505" s="25"/>
      <c r="AV505" s="25"/>
      <c r="AW505" s="25"/>
      <c r="AX505" s="25"/>
      <c r="AY505" s="25"/>
      <c r="AZ505" s="25"/>
      <c r="BA505" s="25"/>
      <c r="BB505" s="25"/>
      <c r="BC505" s="25"/>
      <c r="BD505" s="25"/>
      <c r="BE505" s="25"/>
      <c r="BF505" s="25"/>
      <c r="BG505" s="25"/>
      <c r="BH505" s="25"/>
      <c r="BI505" s="25"/>
      <c r="BJ505" s="25"/>
      <c r="BK505" s="25"/>
      <c r="BL505" s="25"/>
      <c r="BM505" s="25"/>
      <c r="BN505" s="25"/>
      <c r="BO505" s="25"/>
      <c r="BP505" s="25"/>
      <c r="BQ505" s="25"/>
      <c r="BR505" s="25"/>
      <c r="BS505" s="25"/>
      <c r="BT505" s="25"/>
      <c r="BU505" s="25"/>
      <c r="BV505" s="25"/>
      <c r="BW505" s="25"/>
      <c r="BX505" s="25"/>
      <c r="BY505" s="25"/>
      <c r="BZ505" s="25"/>
      <c r="CA505" s="25"/>
      <c r="CB505" s="25"/>
      <c r="CC505" s="25"/>
      <c r="CD505" s="25"/>
      <c r="CE505" s="25"/>
      <c r="CF505" s="25"/>
      <c r="CG505" s="25"/>
      <c r="CH505" s="25"/>
      <c r="CI505" s="25"/>
      <c r="CJ505" s="25"/>
      <c r="CK505" s="25"/>
      <c r="CL505" s="25"/>
      <c r="CM505" s="25"/>
      <c r="CN505" s="25"/>
      <c r="CO505" s="25"/>
      <c r="CP505" s="25"/>
      <c r="CQ505" s="25"/>
      <c r="CR505" s="25"/>
      <c r="CS505" s="25"/>
    </row>
    <row r="506" spans="2:97">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c r="AS506" s="25"/>
      <c r="AT506" s="25"/>
      <c r="AU506" s="25"/>
      <c r="AV506" s="25"/>
      <c r="AW506" s="25"/>
      <c r="AX506" s="25"/>
      <c r="AY506" s="25"/>
      <c r="AZ506" s="25"/>
      <c r="BA506" s="25"/>
      <c r="BB506" s="25"/>
      <c r="BC506" s="25"/>
      <c r="BD506" s="25"/>
      <c r="BE506" s="25"/>
      <c r="BF506" s="25"/>
      <c r="BG506" s="25"/>
      <c r="BH506" s="25"/>
      <c r="BI506" s="25"/>
      <c r="BJ506" s="25"/>
      <c r="BK506" s="25"/>
      <c r="BL506" s="25"/>
      <c r="BM506" s="25"/>
      <c r="BN506" s="25"/>
      <c r="BO506" s="25"/>
      <c r="BP506" s="25"/>
      <c r="BQ506" s="25"/>
      <c r="BR506" s="25"/>
      <c r="BS506" s="25"/>
      <c r="BT506" s="25"/>
      <c r="BU506" s="25"/>
      <c r="BV506" s="25"/>
      <c r="BW506" s="25"/>
      <c r="BX506" s="25"/>
      <c r="BY506" s="25"/>
      <c r="BZ506" s="25"/>
      <c r="CA506" s="25"/>
      <c r="CB506" s="25"/>
      <c r="CC506" s="25"/>
      <c r="CD506" s="25"/>
      <c r="CE506" s="25"/>
      <c r="CF506" s="25"/>
      <c r="CG506" s="25"/>
      <c r="CH506" s="25"/>
      <c r="CI506" s="25"/>
      <c r="CJ506" s="25"/>
      <c r="CK506" s="25"/>
      <c r="CL506" s="25"/>
      <c r="CM506" s="25"/>
      <c r="CN506" s="25"/>
      <c r="CO506" s="25"/>
      <c r="CP506" s="25"/>
      <c r="CQ506" s="25"/>
      <c r="CR506" s="25"/>
      <c r="CS506" s="25"/>
    </row>
    <row r="507" spans="2:97">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c r="AN507" s="25"/>
      <c r="AO507" s="25"/>
      <c r="AP507" s="25"/>
      <c r="AQ507" s="25"/>
      <c r="AR507" s="25"/>
      <c r="AS507" s="25"/>
      <c r="AT507" s="25"/>
      <c r="AU507" s="25"/>
      <c r="AV507" s="25"/>
      <c r="AW507" s="25"/>
      <c r="AX507" s="25"/>
      <c r="AY507" s="25"/>
      <c r="AZ507" s="25"/>
      <c r="BA507" s="25"/>
      <c r="BB507" s="25"/>
      <c r="BC507" s="25"/>
      <c r="BD507" s="25"/>
      <c r="BE507" s="25"/>
      <c r="BF507" s="25"/>
      <c r="BG507" s="25"/>
      <c r="BH507" s="25"/>
      <c r="BI507" s="25"/>
      <c r="BJ507" s="25"/>
      <c r="BK507" s="25"/>
      <c r="BL507" s="25"/>
      <c r="BM507" s="25"/>
      <c r="BN507" s="25"/>
      <c r="BO507" s="25"/>
      <c r="BP507" s="25"/>
      <c r="BQ507" s="25"/>
      <c r="BR507" s="25"/>
      <c r="BS507" s="25"/>
      <c r="BT507" s="25"/>
      <c r="BU507" s="25"/>
      <c r="BV507" s="25"/>
      <c r="BW507" s="25"/>
      <c r="BX507" s="25"/>
      <c r="BY507" s="25"/>
      <c r="BZ507" s="25"/>
      <c r="CA507" s="25"/>
      <c r="CB507" s="25"/>
      <c r="CC507" s="25"/>
      <c r="CD507" s="25"/>
      <c r="CE507" s="25"/>
      <c r="CF507" s="25"/>
      <c r="CG507" s="25"/>
      <c r="CH507" s="25"/>
      <c r="CI507" s="25"/>
      <c r="CJ507" s="25"/>
      <c r="CK507" s="25"/>
      <c r="CL507" s="25"/>
      <c r="CM507" s="25"/>
      <c r="CN507" s="25"/>
      <c r="CO507" s="25"/>
      <c r="CP507" s="25"/>
      <c r="CQ507" s="25"/>
      <c r="CR507" s="25"/>
      <c r="CS507" s="25"/>
    </row>
    <row r="508" spans="2:97">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c r="AN508" s="25"/>
      <c r="AO508" s="25"/>
      <c r="AP508" s="25"/>
      <c r="AQ508" s="25"/>
      <c r="AR508" s="25"/>
      <c r="AS508" s="25"/>
      <c r="AT508" s="25"/>
      <c r="AU508" s="25"/>
      <c r="AV508" s="25"/>
      <c r="AW508" s="25"/>
      <c r="AX508" s="25"/>
      <c r="AY508" s="25"/>
      <c r="AZ508" s="25"/>
      <c r="BA508" s="25"/>
      <c r="BB508" s="25"/>
      <c r="BC508" s="25"/>
      <c r="BD508" s="25"/>
      <c r="BE508" s="25"/>
      <c r="BF508" s="25"/>
      <c r="BG508" s="25"/>
      <c r="BH508" s="25"/>
      <c r="BI508" s="25"/>
      <c r="BJ508" s="25"/>
      <c r="BK508" s="25"/>
      <c r="BL508" s="25"/>
      <c r="BM508" s="25"/>
      <c r="BN508" s="25"/>
      <c r="BO508" s="25"/>
      <c r="BP508" s="25"/>
      <c r="BQ508" s="25"/>
      <c r="BR508" s="25"/>
      <c r="BS508" s="25"/>
      <c r="BT508" s="25"/>
      <c r="BU508" s="25"/>
      <c r="BV508" s="25"/>
      <c r="BW508" s="25"/>
      <c r="BX508" s="25"/>
      <c r="BY508" s="25"/>
      <c r="BZ508" s="25"/>
      <c r="CA508" s="25"/>
      <c r="CB508" s="25"/>
      <c r="CC508" s="25"/>
      <c r="CD508" s="25"/>
      <c r="CE508" s="25"/>
      <c r="CF508" s="25"/>
      <c r="CG508" s="25"/>
      <c r="CH508" s="25"/>
      <c r="CI508" s="25"/>
      <c r="CJ508" s="25"/>
      <c r="CK508" s="25"/>
      <c r="CL508" s="25"/>
      <c r="CM508" s="25"/>
      <c r="CN508" s="25"/>
      <c r="CO508" s="25"/>
      <c r="CP508" s="25"/>
      <c r="CQ508" s="25"/>
      <c r="CR508" s="25"/>
      <c r="CS508" s="25"/>
    </row>
    <row r="509" spans="2:97">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c r="AR509" s="25"/>
      <c r="AS509" s="25"/>
      <c r="AT509" s="25"/>
      <c r="AU509" s="25"/>
      <c r="AV509" s="25"/>
      <c r="AW509" s="25"/>
      <c r="AX509" s="25"/>
      <c r="AY509" s="25"/>
      <c r="AZ509" s="25"/>
      <c r="BA509" s="25"/>
      <c r="BB509" s="25"/>
      <c r="BC509" s="25"/>
      <c r="BD509" s="25"/>
      <c r="BE509" s="25"/>
      <c r="BF509" s="25"/>
      <c r="BG509" s="25"/>
      <c r="BH509" s="25"/>
      <c r="BI509" s="25"/>
      <c r="BJ509" s="25"/>
      <c r="BK509" s="25"/>
      <c r="BL509" s="25"/>
      <c r="BM509" s="25"/>
      <c r="BN509" s="25"/>
      <c r="BO509" s="25"/>
      <c r="BP509" s="25"/>
      <c r="BQ509" s="25"/>
      <c r="BR509" s="25"/>
      <c r="BS509" s="25"/>
      <c r="BT509" s="25"/>
      <c r="BU509" s="25"/>
      <c r="BV509" s="25"/>
      <c r="BW509" s="25"/>
      <c r="BX509" s="25"/>
      <c r="BY509" s="25"/>
      <c r="BZ509" s="25"/>
      <c r="CA509" s="25"/>
      <c r="CB509" s="25"/>
      <c r="CC509" s="25"/>
      <c r="CD509" s="25"/>
      <c r="CE509" s="25"/>
      <c r="CF509" s="25"/>
      <c r="CG509" s="25"/>
      <c r="CH509" s="25"/>
      <c r="CI509" s="25"/>
      <c r="CJ509" s="25"/>
      <c r="CK509" s="25"/>
      <c r="CL509" s="25"/>
      <c r="CM509" s="25"/>
      <c r="CN509" s="25"/>
      <c r="CO509" s="25"/>
      <c r="CP509" s="25"/>
      <c r="CQ509" s="25"/>
      <c r="CR509" s="25"/>
      <c r="CS509" s="25"/>
    </row>
    <row r="510" spans="2:97">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c r="AN510" s="25"/>
      <c r="AO510" s="25"/>
      <c r="AP510" s="25"/>
      <c r="AQ510" s="25"/>
      <c r="AR510" s="25"/>
      <c r="AS510" s="25"/>
      <c r="AT510" s="25"/>
      <c r="AU510" s="25"/>
      <c r="AV510" s="25"/>
      <c r="AW510" s="25"/>
      <c r="AX510" s="25"/>
      <c r="AY510" s="25"/>
      <c r="AZ510" s="25"/>
      <c r="BA510" s="25"/>
      <c r="BB510" s="25"/>
      <c r="BC510" s="25"/>
      <c r="BD510" s="25"/>
      <c r="BE510" s="25"/>
      <c r="BF510" s="25"/>
      <c r="BG510" s="25"/>
      <c r="BH510" s="25"/>
      <c r="BI510" s="25"/>
      <c r="BJ510" s="25"/>
      <c r="BK510" s="25"/>
      <c r="BL510" s="25"/>
      <c r="BM510" s="25"/>
      <c r="BN510" s="25"/>
      <c r="BO510" s="25"/>
      <c r="BP510" s="25"/>
      <c r="BQ510" s="25"/>
      <c r="BR510" s="25"/>
      <c r="BS510" s="25"/>
      <c r="BT510" s="25"/>
      <c r="BU510" s="25"/>
      <c r="BV510" s="25"/>
      <c r="BW510" s="25"/>
      <c r="BX510" s="25"/>
      <c r="BY510" s="25"/>
      <c r="BZ510" s="25"/>
      <c r="CA510" s="25"/>
      <c r="CB510" s="25"/>
      <c r="CC510" s="25"/>
      <c r="CD510" s="25"/>
      <c r="CE510" s="25"/>
      <c r="CF510" s="25"/>
      <c r="CG510" s="25"/>
      <c r="CH510" s="25"/>
      <c r="CI510" s="25"/>
      <c r="CJ510" s="25"/>
      <c r="CK510" s="25"/>
      <c r="CL510" s="25"/>
      <c r="CM510" s="25"/>
      <c r="CN510" s="25"/>
      <c r="CO510" s="25"/>
      <c r="CP510" s="25"/>
      <c r="CQ510" s="25"/>
      <c r="CR510" s="25"/>
      <c r="CS510" s="25"/>
    </row>
    <row r="511" spans="2:97">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c r="AN511" s="25"/>
      <c r="AO511" s="25"/>
      <c r="AP511" s="25"/>
      <c r="AQ511" s="25"/>
      <c r="AR511" s="25"/>
      <c r="AS511" s="25"/>
      <c r="AT511" s="25"/>
      <c r="AU511" s="25"/>
      <c r="AV511" s="25"/>
      <c r="AW511" s="25"/>
      <c r="AX511" s="25"/>
      <c r="AY511" s="25"/>
      <c r="AZ511" s="25"/>
      <c r="BA511" s="25"/>
      <c r="BB511" s="25"/>
      <c r="BC511" s="25"/>
      <c r="BD511" s="25"/>
      <c r="BE511" s="25"/>
      <c r="BF511" s="25"/>
      <c r="BG511" s="25"/>
      <c r="BH511" s="25"/>
      <c r="BI511" s="25"/>
      <c r="BJ511" s="25"/>
      <c r="BK511" s="25"/>
      <c r="BL511" s="25"/>
      <c r="BM511" s="25"/>
      <c r="BN511" s="25"/>
      <c r="BO511" s="25"/>
      <c r="BP511" s="25"/>
      <c r="BQ511" s="25"/>
      <c r="BR511" s="25"/>
      <c r="BS511" s="25"/>
      <c r="BT511" s="25"/>
      <c r="BU511" s="25"/>
      <c r="BV511" s="25"/>
      <c r="BW511" s="25"/>
      <c r="BX511" s="25"/>
      <c r="BY511" s="25"/>
      <c r="BZ511" s="25"/>
      <c r="CA511" s="25"/>
      <c r="CB511" s="25"/>
      <c r="CC511" s="25"/>
      <c r="CD511" s="25"/>
      <c r="CE511" s="25"/>
      <c r="CF511" s="25"/>
      <c r="CG511" s="25"/>
      <c r="CH511" s="25"/>
      <c r="CI511" s="25"/>
      <c r="CJ511" s="25"/>
      <c r="CK511" s="25"/>
      <c r="CL511" s="25"/>
      <c r="CM511" s="25"/>
      <c r="CN511" s="25"/>
      <c r="CO511" s="25"/>
      <c r="CP511" s="25"/>
      <c r="CQ511" s="25"/>
      <c r="CR511" s="25"/>
      <c r="CS511" s="25"/>
    </row>
    <row r="512" spans="2:97">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c r="AN512" s="25"/>
      <c r="AO512" s="25"/>
      <c r="AP512" s="25"/>
      <c r="AQ512" s="25"/>
      <c r="AR512" s="25"/>
      <c r="AS512" s="25"/>
      <c r="AT512" s="25"/>
      <c r="AU512" s="25"/>
      <c r="AV512" s="25"/>
      <c r="AW512" s="25"/>
      <c r="AX512" s="25"/>
      <c r="AY512" s="25"/>
      <c r="AZ512" s="25"/>
      <c r="BA512" s="25"/>
      <c r="BB512" s="25"/>
      <c r="BC512" s="25"/>
      <c r="BD512" s="25"/>
      <c r="BE512" s="25"/>
      <c r="BF512" s="25"/>
      <c r="BG512" s="25"/>
      <c r="BH512" s="25"/>
      <c r="BI512" s="25"/>
      <c r="BJ512" s="25"/>
      <c r="BK512" s="25"/>
      <c r="BL512" s="25"/>
      <c r="BM512" s="25"/>
      <c r="BN512" s="25"/>
      <c r="BO512" s="25"/>
      <c r="BP512" s="25"/>
      <c r="BQ512" s="25"/>
      <c r="BR512" s="25"/>
      <c r="BS512" s="25"/>
      <c r="BT512" s="25"/>
      <c r="BU512" s="25"/>
      <c r="BV512" s="25"/>
      <c r="BW512" s="25"/>
      <c r="BX512" s="25"/>
      <c r="BY512" s="25"/>
      <c r="BZ512" s="25"/>
      <c r="CA512" s="25"/>
      <c r="CB512" s="25"/>
      <c r="CC512" s="25"/>
      <c r="CD512" s="25"/>
      <c r="CE512" s="25"/>
      <c r="CF512" s="25"/>
      <c r="CG512" s="25"/>
      <c r="CH512" s="25"/>
      <c r="CI512" s="25"/>
      <c r="CJ512" s="25"/>
      <c r="CK512" s="25"/>
      <c r="CL512" s="25"/>
      <c r="CM512" s="25"/>
      <c r="CN512" s="25"/>
      <c r="CO512" s="25"/>
      <c r="CP512" s="25"/>
      <c r="CQ512" s="25"/>
      <c r="CR512" s="25"/>
      <c r="CS512" s="25"/>
    </row>
    <row r="513" spans="2:97">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c r="AN513" s="25"/>
      <c r="AO513" s="25"/>
      <c r="AP513" s="25"/>
      <c r="AQ513" s="25"/>
      <c r="AR513" s="25"/>
      <c r="AS513" s="25"/>
      <c r="AT513" s="25"/>
      <c r="AU513" s="25"/>
      <c r="AV513" s="25"/>
      <c r="AW513" s="25"/>
      <c r="AX513" s="25"/>
      <c r="AY513" s="25"/>
      <c r="AZ513" s="25"/>
      <c r="BA513" s="25"/>
      <c r="BB513" s="25"/>
      <c r="BC513" s="25"/>
      <c r="BD513" s="25"/>
      <c r="BE513" s="25"/>
      <c r="BF513" s="25"/>
      <c r="BG513" s="25"/>
      <c r="BH513" s="25"/>
      <c r="BI513" s="25"/>
      <c r="BJ513" s="25"/>
      <c r="BK513" s="25"/>
      <c r="BL513" s="25"/>
      <c r="BM513" s="25"/>
      <c r="BN513" s="25"/>
      <c r="BO513" s="25"/>
      <c r="BP513" s="25"/>
      <c r="BQ513" s="25"/>
      <c r="BR513" s="25"/>
      <c r="BS513" s="25"/>
      <c r="BT513" s="25"/>
      <c r="BU513" s="25"/>
      <c r="BV513" s="25"/>
      <c r="BW513" s="25"/>
      <c r="BX513" s="25"/>
      <c r="BY513" s="25"/>
      <c r="BZ513" s="25"/>
      <c r="CA513" s="25"/>
      <c r="CB513" s="25"/>
      <c r="CC513" s="25"/>
      <c r="CD513" s="25"/>
      <c r="CE513" s="25"/>
      <c r="CF513" s="25"/>
      <c r="CG513" s="25"/>
      <c r="CH513" s="25"/>
      <c r="CI513" s="25"/>
      <c r="CJ513" s="25"/>
      <c r="CK513" s="25"/>
      <c r="CL513" s="25"/>
      <c r="CM513" s="25"/>
      <c r="CN513" s="25"/>
      <c r="CO513" s="25"/>
      <c r="CP513" s="25"/>
      <c r="CQ513" s="25"/>
      <c r="CR513" s="25"/>
      <c r="CS513" s="25"/>
    </row>
    <row r="514" spans="2:97">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c r="AN514" s="25"/>
      <c r="AO514" s="25"/>
      <c r="AP514" s="25"/>
      <c r="AQ514" s="25"/>
      <c r="AR514" s="25"/>
      <c r="AS514" s="25"/>
      <c r="AT514" s="25"/>
      <c r="AU514" s="25"/>
      <c r="AV514" s="25"/>
      <c r="AW514" s="25"/>
      <c r="AX514" s="25"/>
      <c r="AY514" s="25"/>
      <c r="AZ514" s="25"/>
      <c r="BA514" s="25"/>
      <c r="BB514" s="25"/>
      <c r="BC514" s="25"/>
      <c r="BD514" s="25"/>
      <c r="BE514" s="25"/>
      <c r="BF514" s="25"/>
      <c r="BG514" s="25"/>
      <c r="BH514" s="25"/>
      <c r="BI514" s="25"/>
      <c r="BJ514" s="25"/>
      <c r="BK514" s="25"/>
      <c r="BL514" s="25"/>
      <c r="BM514" s="25"/>
      <c r="BN514" s="25"/>
      <c r="BO514" s="25"/>
      <c r="BP514" s="25"/>
      <c r="BQ514" s="25"/>
      <c r="BR514" s="25"/>
      <c r="BS514" s="25"/>
      <c r="BT514" s="25"/>
      <c r="BU514" s="25"/>
      <c r="BV514" s="25"/>
      <c r="BW514" s="25"/>
      <c r="BX514" s="25"/>
      <c r="BY514" s="25"/>
      <c r="BZ514" s="25"/>
      <c r="CA514" s="25"/>
      <c r="CB514" s="25"/>
      <c r="CC514" s="25"/>
      <c r="CD514" s="25"/>
      <c r="CE514" s="25"/>
      <c r="CF514" s="25"/>
      <c r="CG514" s="25"/>
      <c r="CH514" s="25"/>
      <c r="CI514" s="25"/>
      <c r="CJ514" s="25"/>
      <c r="CK514" s="25"/>
      <c r="CL514" s="25"/>
      <c r="CM514" s="25"/>
      <c r="CN514" s="25"/>
      <c r="CO514" s="25"/>
      <c r="CP514" s="25"/>
      <c r="CQ514" s="25"/>
      <c r="CR514" s="25"/>
      <c r="CS514" s="25"/>
    </row>
    <row r="515" spans="2:97">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c r="AN515" s="25"/>
      <c r="AO515" s="25"/>
      <c r="AP515" s="25"/>
      <c r="AQ515" s="25"/>
      <c r="AR515" s="25"/>
      <c r="AS515" s="25"/>
      <c r="AT515" s="25"/>
      <c r="AU515" s="25"/>
      <c r="AV515" s="25"/>
      <c r="AW515" s="25"/>
      <c r="AX515" s="25"/>
      <c r="AY515" s="25"/>
      <c r="AZ515" s="25"/>
      <c r="BA515" s="25"/>
      <c r="BB515" s="25"/>
      <c r="BC515" s="25"/>
      <c r="BD515" s="25"/>
      <c r="BE515" s="25"/>
      <c r="BF515" s="25"/>
      <c r="BG515" s="25"/>
      <c r="BH515" s="25"/>
      <c r="BI515" s="25"/>
      <c r="BJ515" s="25"/>
      <c r="BK515" s="25"/>
      <c r="BL515" s="25"/>
      <c r="BM515" s="25"/>
      <c r="BN515" s="25"/>
      <c r="BO515" s="25"/>
      <c r="BP515" s="25"/>
      <c r="BQ515" s="25"/>
      <c r="BR515" s="25"/>
      <c r="BS515" s="25"/>
      <c r="BT515" s="25"/>
      <c r="BU515" s="25"/>
      <c r="BV515" s="25"/>
      <c r="BW515" s="25"/>
      <c r="BX515" s="25"/>
      <c r="BY515" s="25"/>
      <c r="BZ515" s="25"/>
      <c r="CA515" s="25"/>
      <c r="CB515" s="25"/>
      <c r="CC515" s="25"/>
      <c r="CD515" s="25"/>
      <c r="CE515" s="25"/>
      <c r="CF515" s="25"/>
      <c r="CG515" s="25"/>
      <c r="CH515" s="25"/>
      <c r="CI515" s="25"/>
      <c r="CJ515" s="25"/>
      <c r="CK515" s="25"/>
      <c r="CL515" s="25"/>
      <c r="CM515" s="25"/>
      <c r="CN515" s="25"/>
      <c r="CO515" s="25"/>
      <c r="CP515" s="25"/>
      <c r="CQ515" s="25"/>
      <c r="CR515" s="25"/>
      <c r="CS515" s="25"/>
    </row>
    <row r="516" spans="2:97">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c r="AN516" s="25"/>
      <c r="AO516" s="25"/>
      <c r="AP516" s="25"/>
      <c r="AQ516" s="25"/>
      <c r="AR516" s="25"/>
      <c r="AS516" s="25"/>
      <c r="AT516" s="25"/>
      <c r="AU516" s="25"/>
      <c r="AV516" s="25"/>
      <c r="AW516" s="25"/>
      <c r="AX516" s="25"/>
      <c r="AY516" s="25"/>
      <c r="AZ516" s="25"/>
      <c r="BA516" s="25"/>
      <c r="BB516" s="25"/>
      <c r="BC516" s="25"/>
      <c r="BD516" s="25"/>
      <c r="BE516" s="25"/>
      <c r="BF516" s="25"/>
      <c r="BG516" s="25"/>
      <c r="BH516" s="25"/>
      <c r="BI516" s="25"/>
      <c r="BJ516" s="25"/>
      <c r="BK516" s="25"/>
      <c r="BL516" s="25"/>
      <c r="BM516" s="25"/>
      <c r="BN516" s="25"/>
      <c r="BO516" s="25"/>
      <c r="BP516" s="25"/>
      <c r="BQ516" s="25"/>
      <c r="BR516" s="25"/>
      <c r="BS516" s="25"/>
      <c r="BT516" s="25"/>
      <c r="BU516" s="25"/>
      <c r="BV516" s="25"/>
      <c r="BW516" s="25"/>
      <c r="BX516" s="25"/>
      <c r="BY516" s="25"/>
      <c r="BZ516" s="25"/>
      <c r="CA516" s="25"/>
      <c r="CB516" s="25"/>
      <c r="CC516" s="25"/>
      <c r="CD516" s="25"/>
      <c r="CE516" s="25"/>
      <c r="CF516" s="25"/>
      <c r="CG516" s="25"/>
      <c r="CH516" s="25"/>
      <c r="CI516" s="25"/>
      <c r="CJ516" s="25"/>
      <c r="CK516" s="25"/>
      <c r="CL516" s="25"/>
      <c r="CM516" s="25"/>
      <c r="CN516" s="25"/>
      <c r="CO516" s="25"/>
      <c r="CP516" s="25"/>
      <c r="CQ516" s="25"/>
      <c r="CR516" s="25"/>
      <c r="CS516" s="25"/>
    </row>
    <row r="517" spans="2:97">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c r="AN517" s="25"/>
      <c r="AO517" s="25"/>
      <c r="AP517" s="25"/>
      <c r="AQ517" s="25"/>
      <c r="AR517" s="25"/>
      <c r="AS517" s="25"/>
      <c r="AT517" s="25"/>
      <c r="AU517" s="25"/>
      <c r="AV517" s="25"/>
      <c r="AW517" s="25"/>
      <c r="AX517" s="25"/>
      <c r="AY517" s="25"/>
      <c r="AZ517" s="25"/>
      <c r="BA517" s="25"/>
      <c r="BB517" s="25"/>
      <c r="BC517" s="25"/>
      <c r="BD517" s="25"/>
      <c r="BE517" s="25"/>
      <c r="BF517" s="25"/>
      <c r="BG517" s="25"/>
      <c r="BH517" s="25"/>
      <c r="BI517" s="25"/>
      <c r="BJ517" s="25"/>
      <c r="BK517" s="25"/>
      <c r="BL517" s="25"/>
      <c r="BM517" s="25"/>
      <c r="BN517" s="25"/>
      <c r="BO517" s="25"/>
      <c r="BP517" s="25"/>
      <c r="BQ517" s="25"/>
      <c r="BR517" s="25"/>
      <c r="BS517" s="25"/>
      <c r="BT517" s="25"/>
      <c r="BU517" s="25"/>
      <c r="BV517" s="25"/>
      <c r="BW517" s="25"/>
      <c r="BX517" s="25"/>
      <c r="BY517" s="25"/>
      <c r="BZ517" s="25"/>
      <c r="CA517" s="25"/>
      <c r="CB517" s="25"/>
      <c r="CC517" s="25"/>
      <c r="CD517" s="25"/>
      <c r="CE517" s="25"/>
      <c r="CF517" s="25"/>
      <c r="CG517" s="25"/>
      <c r="CH517" s="25"/>
      <c r="CI517" s="25"/>
      <c r="CJ517" s="25"/>
      <c r="CK517" s="25"/>
      <c r="CL517" s="25"/>
      <c r="CM517" s="25"/>
      <c r="CN517" s="25"/>
      <c r="CO517" s="25"/>
      <c r="CP517" s="25"/>
      <c r="CQ517" s="25"/>
      <c r="CR517" s="25"/>
      <c r="CS517" s="25"/>
    </row>
    <row r="518" spans="2:97">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c r="AN518" s="25"/>
      <c r="AO518" s="25"/>
      <c r="AP518" s="25"/>
      <c r="AQ518" s="25"/>
      <c r="AR518" s="25"/>
      <c r="AS518" s="25"/>
      <c r="AT518" s="25"/>
      <c r="AU518" s="25"/>
      <c r="AV518" s="25"/>
      <c r="AW518" s="25"/>
      <c r="AX518" s="25"/>
      <c r="AY518" s="25"/>
      <c r="AZ518" s="25"/>
      <c r="BA518" s="25"/>
      <c r="BB518" s="25"/>
      <c r="BC518" s="25"/>
      <c r="BD518" s="25"/>
      <c r="BE518" s="25"/>
      <c r="BF518" s="25"/>
      <c r="BG518" s="25"/>
      <c r="BH518" s="25"/>
      <c r="BI518" s="25"/>
      <c r="BJ518" s="25"/>
      <c r="BK518" s="25"/>
      <c r="BL518" s="25"/>
      <c r="BM518" s="25"/>
      <c r="BN518" s="25"/>
      <c r="BO518" s="25"/>
      <c r="BP518" s="25"/>
      <c r="BQ518" s="25"/>
      <c r="BR518" s="25"/>
      <c r="BS518" s="25"/>
      <c r="BT518" s="25"/>
      <c r="BU518" s="25"/>
      <c r="BV518" s="25"/>
      <c r="BW518" s="25"/>
      <c r="BX518" s="25"/>
      <c r="BY518" s="25"/>
      <c r="BZ518" s="25"/>
      <c r="CA518" s="25"/>
      <c r="CB518" s="25"/>
      <c r="CC518" s="25"/>
      <c r="CD518" s="25"/>
      <c r="CE518" s="25"/>
      <c r="CF518" s="25"/>
      <c r="CG518" s="25"/>
      <c r="CH518" s="25"/>
      <c r="CI518" s="25"/>
      <c r="CJ518" s="25"/>
      <c r="CK518" s="25"/>
      <c r="CL518" s="25"/>
      <c r="CM518" s="25"/>
      <c r="CN518" s="25"/>
      <c r="CO518" s="25"/>
      <c r="CP518" s="25"/>
      <c r="CQ518" s="25"/>
      <c r="CR518" s="25"/>
      <c r="CS518" s="25"/>
    </row>
    <row r="519" spans="2:97">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c r="AN519" s="25"/>
      <c r="AO519" s="25"/>
      <c r="AP519" s="25"/>
      <c r="AQ519" s="25"/>
      <c r="AR519" s="25"/>
      <c r="AS519" s="25"/>
      <c r="AT519" s="25"/>
      <c r="AU519" s="25"/>
      <c r="AV519" s="25"/>
      <c r="AW519" s="25"/>
      <c r="AX519" s="25"/>
      <c r="AY519" s="25"/>
      <c r="AZ519" s="25"/>
      <c r="BA519" s="25"/>
      <c r="BB519" s="25"/>
      <c r="BC519" s="25"/>
      <c r="BD519" s="25"/>
      <c r="BE519" s="25"/>
      <c r="BF519" s="25"/>
      <c r="BG519" s="25"/>
      <c r="BH519" s="25"/>
      <c r="BI519" s="25"/>
      <c r="BJ519" s="25"/>
      <c r="BK519" s="25"/>
      <c r="BL519" s="25"/>
      <c r="BM519" s="25"/>
      <c r="BN519" s="25"/>
      <c r="BO519" s="25"/>
      <c r="BP519" s="25"/>
      <c r="BQ519" s="25"/>
      <c r="BR519" s="25"/>
      <c r="BS519" s="25"/>
      <c r="BT519" s="25"/>
      <c r="BU519" s="25"/>
      <c r="BV519" s="25"/>
      <c r="BW519" s="25"/>
      <c r="BX519" s="25"/>
      <c r="BY519" s="25"/>
      <c r="BZ519" s="25"/>
      <c r="CA519" s="25"/>
      <c r="CB519" s="25"/>
      <c r="CC519" s="25"/>
      <c r="CD519" s="25"/>
      <c r="CE519" s="25"/>
      <c r="CF519" s="25"/>
      <c r="CG519" s="25"/>
      <c r="CH519" s="25"/>
      <c r="CI519" s="25"/>
      <c r="CJ519" s="25"/>
      <c r="CK519" s="25"/>
      <c r="CL519" s="25"/>
      <c r="CM519" s="25"/>
      <c r="CN519" s="25"/>
      <c r="CO519" s="25"/>
      <c r="CP519" s="25"/>
      <c r="CQ519" s="25"/>
      <c r="CR519" s="25"/>
      <c r="CS519" s="25"/>
    </row>
    <row r="520" spans="2:97">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c r="AN520" s="25"/>
      <c r="AO520" s="25"/>
      <c r="AP520" s="25"/>
      <c r="AQ520" s="25"/>
      <c r="AR520" s="25"/>
      <c r="AS520" s="25"/>
      <c r="AT520" s="25"/>
      <c r="AU520" s="25"/>
      <c r="AV520" s="25"/>
      <c r="AW520" s="25"/>
      <c r="AX520" s="25"/>
      <c r="AY520" s="25"/>
      <c r="AZ520" s="25"/>
      <c r="BA520" s="25"/>
      <c r="BB520" s="25"/>
      <c r="BC520" s="25"/>
      <c r="BD520" s="25"/>
      <c r="BE520" s="25"/>
      <c r="BF520" s="25"/>
      <c r="BG520" s="25"/>
      <c r="BH520" s="25"/>
      <c r="BI520" s="25"/>
      <c r="BJ520" s="25"/>
      <c r="BK520" s="25"/>
      <c r="BL520" s="25"/>
      <c r="BM520" s="25"/>
      <c r="BN520" s="25"/>
      <c r="BO520" s="25"/>
      <c r="BP520" s="25"/>
      <c r="BQ520" s="25"/>
      <c r="BR520" s="25"/>
      <c r="BS520" s="25"/>
      <c r="BT520" s="25"/>
      <c r="BU520" s="25"/>
      <c r="BV520" s="25"/>
      <c r="BW520" s="25"/>
      <c r="BX520" s="25"/>
      <c r="BY520" s="25"/>
      <c r="BZ520" s="25"/>
      <c r="CA520" s="25"/>
      <c r="CB520" s="25"/>
      <c r="CC520" s="25"/>
      <c r="CD520" s="25"/>
      <c r="CE520" s="25"/>
      <c r="CF520" s="25"/>
      <c r="CG520" s="25"/>
      <c r="CH520" s="25"/>
      <c r="CI520" s="25"/>
      <c r="CJ520" s="25"/>
      <c r="CK520" s="25"/>
      <c r="CL520" s="25"/>
      <c r="CM520" s="25"/>
      <c r="CN520" s="25"/>
      <c r="CO520" s="25"/>
      <c r="CP520" s="25"/>
      <c r="CQ520" s="25"/>
      <c r="CR520" s="25"/>
      <c r="CS520" s="25"/>
    </row>
    <row r="521" spans="2:97">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c r="AN521" s="25"/>
      <c r="AO521" s="25"/>
      <c r="AP521" s="25"/>
      <c r="AQ521" s="25"/>
      <c r="AR521" s="25"/>
      <c r="AS521" s="25"/>
      <c r="AT521" s="25"/>
      <c r="AU521" s="25"/>
      <c r="AV521" s="25"/>
      <c r="AW521" s="25"/>
      <c r="AX521" s="25"/>
      <c r="AY521" s="25"/>
      <c r="AZ521" s="25"/>
      <c r="BA521" s="25"/>
      <c r="BB521" s="25"/>
      <c r="BC521" s="25"/>
      <c r="BD521" s="25"/>
      <c r="BE521" s="25"/>
      <c r="BF521" s="25"/>
      <c r="BG521" s="25"/>
      <c r="BH521" s="25"/>
      <c r="BI521" s="25"/>
      <c r="BJ521" s="25"/>
      <c r="BK521" s="25"/>
      <c r="BL521" s="25"/>
      <c r="BM521" s="25"/>
      <c r="BN521" s="25"/>
      <c r="BO521" s="25"/>
      <c r="BP521" s="25"/>
      <c r="BQ521" s="25"/>
      <c r="BR521" s="25"/>
      <c r="BS521" s="25"/>
      <c r="BT521" s="25"/>
      <c r="BU521" s="25"/>
      <c r="BV521" s="25"/>
      <c r="BW521" s="25"/>
      <c r="BX521" s="25"/>
      <c r="BY521" s="25"/>
      <c r="BZ521" s="25"/>
      <c r="CA521" s="25"/>
      <c r="CB521" s="25"/>
      <c r="CC521" s="25"/>
      <c r="CD521" s="25"/>
      <c r="CE521" s="25"/>
      <c r="CF521" s="25"/>
      <c r="CG521" s="25"/>
      <c r="CH521" s="25"/>
      <c r="CI521" s="25"/>
      <c r="CJ521" s="25"/>
      <c r="CK521" s="25"/>
      <c r="CL521" s="25"/>
      <c r="CM521" s="25"/>
      <c r="CN521" s="25"/>
      <c r="CO521" s="25"/>
      <c r="CP521" s="25"/>
      <c r="CQ521" s="25"/>
      <c r="CR521" s="25"/>
      <c r="CS521" s="25"/>
    </row>
    <row r="522" spans="2:97">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c r="AN522" s="25"/>
      <c r="AO522" s="25"/>
      <c r="AP522" s="25"/>
      <c r="AQ522" s="25"/>
      <c r="AR522" s="25"/>
      <c r="AS522" s="25"/>
      <c r="AT522" s="25"/>
      <c r="AU522" s="25"/>
      <c r="AV522" s="25"/>
      <c r="AW522" s="25"/>
      <c r="AX522" s="25"/>
      <c r="AY522" s="25"/>
      <c r="AZ522" s="25"/>
      <c r="BA522" s="25"/>
      <c r="BB522" s="25"/>
      <c r="BC522" s="25"/>
      <c r="BD522" s="25"/>
      <c r="BE522" s="25"/>
      <c r="BF522" s="25"/>
      <c r="BG522" s="25"/>
      <c r="BH522" s="25"/>
      <c r="BI522" s="25"/>
      <c r="BJ522" s="25"/>
      <c r="BK522" s="25"/>
      <c r="BL522" s="25"/>
      <c r="BM522" s="25"/>
      <c r="BN522" s="25"/>
      <c r="BO522" s="25"/>
      <c r="BP522" s="25"/>
      <c r="BQ522" s="25"/>
      <c r="BR522" s="25"/>
      <c r="BS522" s="25"/>
      <c r="BT522" s="25"/>
      <c r="BU522" s="25"/>
      <c r="BV522" s="25"/>
      <c r="BW522" s="25"/>
      <c r="BX522" s="25"/>
      <c r="BY522" s="25"/>
      <c r="BZ522" s="25"/>
      <c r="CA522" s="25"/>
      <c r="CB522" s="25"/>
      <c r="CC522" s="25"/>
      <c r="CD522" s="25"/>
      <c r="CE522" s="25"/>
      <c r="CF522" s="25"/>
      <c r="CG522" s="25"/>
      <c r="CH522" s="25"/>
      <c r="CI522" s="25"/>
      <c r="CJ522" s="25"/>
      <c r="CK522" s="25"/>
      <c r="CL522" s="25"/>
      <c r="CM522" s="25"/>
      <c r="CN522" s="25"/>
      <c r="CO522" s="25"/>
      <c r="CP522" s="25"/>
      <c r="CQ522" s="25"/>
      <c r="CR522" s="25"/>
      <c r="CS522" s="25"/>
    </row>
    <row r="523" spans="2:97">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c r="AN523" s="25"/>
      <c r="AO523" s="25"/>
      <c r="AP523" s="25"/>
      <c r="AQ523" s="25"/>
      <c r="AR523" s="25"/>
      <c r="AS523" s="25"/>
      <c r="AT523" s="25"/>
      <c r="AU523" s="25"/>
      <c r="AV523" s="25"/>
      <c r="AW523" s="25"/>
      <c r="AX523" s="25"/>
      <c r="AY523" s="25"/>
      <c r="AZ523" s="25"/>
      <c r="BA523" s="25"/>
      <c r="BB523" s="25"/>
      <c r="BC523" s="25"/>
      <c r="BD523" s="25"/>
      <c r="BE523" s="25"/>
      <c r="BF523" s="25"/>
      <c r="BG523" s="25"/>
      <c r="BH523" s="25"/>
      <c r="BI523" s="25"/>
      <c r="BJ523" s="25"/>
      <c r="BK523" s="25"/>
      <c r="BL523" s="25"/>
      <c r="BM523" s="25"/>
      <c r="BN523" s="25"/>
      <c r="BO523" s="25"/>
      <c r="BP523" s="25"/>
      <c r="BQ523" s="25"/>
      <c r="BR523" s="25"/>
      <c r="BS523" s="25"/>
      <c r="BT523" s="25"/>
      <c r="BU523" s="25"/>
      <c r="BV523" s="25"/>
      <c r="BW523" s="25"/>
      <c r="BX523" s="25"/>
      <c r="BY523" s="25"/>
      <c r="BZ523" s="25"/>
      <c r="CA523" s="25"/>
      <c r="CB523" s="25"/>
      <c r="CC523" s="25"/>
      <c r="CD523" s="25"/>
      <c r="CE523" s="25"/>
      <c r="CF523" s="25"/>
      <c r="CG523" s="25"/>
      <c r="CH523" s="25"/>
      <c r="CI523" s="25"/>
      <c r="CJ523" s="25"/>
      <c r="CK523" s="25"/>
      <c r="CL523" s="25"/>
      <c r="CM523" s="25"/>
      <c r="CN523" s="25"/>
      <c r="CO523" s="25"/>
      <c r="CP523" s="25"/>
      <c r="CQ523" s="25"/>
      <c r="CR523" s="25"/>
      <c r="CS523" s="25"/>
    </row>
  </sheetData>
  <mergeCells count="18">
    <mergeCell ref="F2:F3"/>
    <mergeCell ref="A2:A3"/>
    <mergeCell ref="B2:B3"/>
    <mergeCell ref="C2:C3"/>
    <mergeCell ref="D2:D3"/>
    <mergeCell ref="E2:E3"/>
    <mergeCell ref="CS2:CS3"/>
    <mergeCell ref="G2:G3"/>
    <mergeCell ref="H2:H3"/>
    <mergeCell ref="I2:I3"/>
    <mergeCell ref="J2:J3"/>
    <mergeCell ref="K2:K3"/>
    <mergeCell ref="L2:L3"/>
    <mergeCell ref="M2:M3"/>
    <mergeCell ref="N2:N3"/>
    <mergeCell ref="CP2:CP3"/>
    <mergeCell ref="CQ2:CQ3"/>
    <mergeCell ref="CR2:CR3"/>
  </mergeCells>
  <hyperlinks>
    <hyperlink ref="CR11" r:id="rId1" xr:uid="{15DE4927-AF03-462F-939D-44AB559A33E2}"/>
    <hyperlink ref="CR9" r:id="rId2" xr:uid="{4D4F7150-9F21-4B58-B3FC-3CEDE0709D5A}"/>
    <hyperlink ref="CR25" r:id="rId3" location="1" xr:uid="{44F7B0B0-3396-4BC6-8B26-CD43D6D598C0}"/>
    <hyperlink ref="CR21" r:id="rId4" xr:uid="{FAEC5B66-03F8-46D9-A538-737F19A711D7}"/>
    <hyperlink ref="CR23" r:id="rId5" xr:uid="{1D6F7D13-5616-4AFE-A3B2-EBF21EE1BF74}"/>
    <hyperlink ref="CR6" r:id="rId6" xr:uid="{E24C5DD3-9E43-4FEA-8012-A991FCDCC021}"/>
    <hyperlink ref="CR14" r:id="rId7" xr:uid="{A7C8154E-C526-4CE6-B384-758E066DF177}"/>
    <hyperlink ref="CR18" r:id="rId8" location="page_scan_tab_contents" display="https://www.jstor.org/stable/43595383?read-now=1&amp;seq=1 - page_scan_tab_contents" xr:uid="{45849338-8C5A-4001-96D8-5A6C4A169061}"/>
    <hyperlink ref="CR17" r:id="rId9" location="page_scan_tab_contents" display="https://www.jstor.org/stable/43595383?read-now=1&amp;seq=1 - page_scan_tab_contents" xr:uid="{BC026347-0735-4F3C-87E8-831611C67031}"/>
    <hyperlink ref="CR20" r:id="rId10" location="page_scan_tab_contents" display="https://www.jstor.org/stable/43595383?read-now=1&amp;seq=1 - page_scan_tab_contents" xr:uid="{4C747C30-D4A7-44A8-A061-A9A6CD88A83C}"/>
    <hyperlink ref="CR66" r:id="rId11" xr:uid="{0A2FC41D-B76F-42F8-BECB-4E761924C8AB}"/>
    <hyperlink ref="CR65" r:id="rId12" xr:uid="{D7634DC4-ECBC-429E-A9E3-0CFA840DBA6A}"/>
    <hyperlink ref="CR67" r:id="rId13" xr:uid="{C2FD37CC-890A-4252-BD53-CDC7210C8D7C}"/>
    <hyperlink ref="CR19" r:id="rId14" location="page_scan_tab_contents" display="https://www.jstor.org/stable/43595383?read-now=1&amp;seq=1 - page_scan_tab_contents" xr:uid="{A8F04C7C-B4E4-4812-A8A8-03593065B3CB}"/>
    <hyperlink ref="CR12" r:id="rId15" xr:uid="{FCB2CCB9-6FAF-4FD6-8289-5D44BD15F5EC}"/>
    <hyperlink ref="CR13" r:id="rId16" xr:uid="{F0472648-FA21-4741-845D-1A8DB4D6848E}"/>
    <hyperlink ref="CR24" r:id="rId17" xr:uid="{90B8F1D1-A82A-40E1-BE78-3D9D39006ADA}"/>
    <hyperlink ref="CR22" r:id="rId18" xr:uid="{1D1B3EF0-AB1E-419F-AEF9-93DE58C6ABA1}"/>
    <hyperlink ref="CR10" r:id="rId19" xr:uid="{350ED083-FEDC-471E-A4A8-8E402B0408A7}"/>
    <hyperlink ref="CR8" r:id="rId20" xr:uid="{A1642EAA-91BB-405D-9DF6-0B8D8AB91466}"/>
    <hyperlink ref="CR16" r:id="rId21" xr:uid="{3C8D2D23-AF8D-4F5F-91EE-B0344941D621}"/>
    <hyperlink ref="CR30" r:id="rId22" xr:uid="{FC5CAC18-4143-4507-AA50-3EBC1BE282B7}"/>
    <hyperlink ref="CR31" r:id="rId23" xr:uid="{1F6668F8-18FE-430D-843A-9347F8D7E01E}"/>
    <hyperlink ref="CR15" r:id="rId24" xr:uid="{26D80443-84F6-41DF-A42B-82507573E6BE}"/>
    <hyperlink ref="CR37" r:id="rId25" xr:uid="{9A91EA3B-B86B-4D8E-83D8-4B3FDF7AA624}"/>
    <hyperlink ref="CR58" r:id="rId26" xr:uid="{0F425B9E-872E-4DB7-A351-8AA67BD23D56}"/>
    <hyperlink ref="CR39" r:id="rId27" xr:uid="{A6E88171-9CCF-4657-BCB5-BC45626AE5FD}"/>
    <hyperlink ref="CR62" r:id="rId28" xr:uid="{C4D06433-32F8-4B02-B979-FB150B7D870F}"/>
    <hyperlink ref="CR35" r:id="rId29" xr:uid="{6CFFF071-9CB2-4FD5-94F6-31926E9D72EE}"/>
    <hyperlink ref="CR36" r:id="rId30" xr:uid="{F2435975-9F57-4519-8E7D-6475592FA532}"/>
    <hyperlink ref="CR64" r:id="rId31" display="https://www.jstage.jst.go.jp/article/jjfe/57/1/57_KJ00009983906/_pdf/-char/ja" xr:uid="{21A8FAA9-28BA-457A-8A0C-4F52193C73F3}"/>
    <hyperlink ref="CR48" r:id="rId32" xr:uid="{ECD1B2B2-4EED-46AE-BC5D-B9C1467EBDA1}"/>
    <hyperlink ref="CR53" r:id="rId33" xr:uid="{FB261B03-E342-46EB-9549-A1D524D3BE30}"/>
    <hyperlink ref="CR56" r:id="rId34" xr:uid="{81D583FF-C3E9-4720-91FA-5CEF1A1A4CC6}"/>
    <hyperlink ref="CR54" r:id="rId35" xr:uid="{B4E5F5DA-1C25-4640-B6EE-27F803248280}"/>
    <hyperlink ref="CR49" r:id="rId36" xr:uid="{2CD573E5-495D-49A3-86D0-14CEEC266A72}"/>
    <hyperlink ref="CR55" r:id="rId37" xr:uid="{B6C83F66-7B46-4CF9-94D4-62B81BE0723B}"/>
    <hyperlink ref="CR57" r:id="rId38" xr:uid="{2BB02C10-2F26-49DB-8020-0548134B85E7}"/>
    <hyperlink ref="CR61" r:id="rId39" xr:uid="{40B5ACDD-1CC8-48F4-9F3A-386E8C434D7D}"/>
    <hyperlink ref="CR60" r:id="rId40" xr:uid="{0D646FA0-96FA-48B6-BD5A-7705FF347C0D}"/>
    <hyperlink ref="CR59" r:id="rId41" xr:uid="{5E07FE5D-38ED-457E-A754-A4E27844CC12}"/>
    <hyperlink ref="CR47" r:id="rId42" xr:uid="{36DBC5B9-EAF8-423A-AAEC-773063E60651}"/>
    <hyperlink ref="CR45" r:id="rId43" xr:uid="{A98BC2FF-C76E-4F3D-92B8-7A36D9B8F29E}"/>
    <hyperlink ref="CR43" r:id="rId44" xr:uid="{D69D46FF-D82E-4F92-A5D7-8BE0D99A93D8}"/>
    <hyperlink ref="CR44" r:id="rId45" xr:uid="{16FD6DFA-4A09-432B-80DA-CD6A1EF7FB6D}"/>
    <hyperlink ref="CR46" r:id="rId46" xr:uid="{8E38F087-12BA-41D1-829D-471D457EC2B8}"/>
    <hyperlink ref="CR40" r:id="rId47" xr:uid="{07BC88A8-56B0-4961-9380-66AF81D0B965}"/>
    <hyperlink ref="CR32" r:id="rId48" xr:uid="{CF01C330-A6D1-472D-AFD6-EA7C11ED2349}"/>
    <hyperlink ref="CR34" r:id="rId49" xr:uid="{CAFCD6FD-1B51-4F4F-BE1D-70878973490C}"/>
    <hyperlink ref="CR33" r:id="rId50" xr:uid="{63634F8C-9E0F-44D1-926A-A74437457065}"/>
    <hyperlink ref="CR50" r:id="rId51" xr:uid="{EAA41B00-ECC3-42EC-95C7-9F1BBA1DE894}"/>
    <hyperlink ref="CR41" r:id="rId52" xr:uid="{D5A54406-A42C-4652-89F0-31B7EE1CF60E}"/>
    <hyperlink ref="CR42" r:id="rId53" xr:uid="{3B53F0A2-53FA-44B9-A68F-EF6B57F11E8A}"/>
    <hyperlink ref="CR70" r:id="rId54" xr:uid="{E8F5B206-6F24-434E-8DEA-9A2C4CA9991F}"/>
    <hyperlink ref="CR71" r:id="rId55" xr:uid="{A52C06E8-0CE1-4D6F-AF6B-2F594A45A481}"/>
    <hyperlink ref="CR69" r:id="rId56" xr:uid="{0E5B5D6F-653B-439F-AA08-F0162B658D32}"/>
    <hyperlink ref="CR80" r:id="rId57" xr:uid="{BD07DDCC-9E8B-48E9-BD8A-9F689FAE25DB}"/>
    <hyperlink ref="CR75" r:id="rId58" xr:uid="{CFE60E73-ECAF-4F60-82C3-8821AF26A2D7}"/>
    <hyperlink ref="CR76" r:id="rId59" xr:uid="{AA4CC38D-005D-404B-A1C8-C0CB9180F3C0}"/>
    <hyperlink ref="CR77" r:id="rId60" xr:uid="{3D21A642-DDB4-443F-B812-3A19C9D262C3}"/>
    <hyperlink ref="CR72" r:id="rId61" xr:uid="{CAFA1BBF-BA60-4347-857E-43514A4F6EA4}"/>
    <hyperlink ref="CR78" r:id="rId62" xr:uid="{153DEC63-FA7C-40DA-B1A3-5ACAD84A8272}"/>
    <hyperlink ref="CR74" r:id="rId63" xr:uid="{F97FFC46-DB44-4DB5-91B2-C3896B43BC07}"/>
    <hyperlink ref="CR68" r:id="rId64" xr:uid="{A6660AAC-A2EF-4C93-A355-0B92E831E62D}"/>
    <hyperlink ref="CR73" r:id="rId65" xr:uid="{69CF8CCD-6D72-4661-BC0A-CA2131B6D18A}"/>
    <hyperlink ref="CR84" r:id="rId66" xr:uid="{E0A6D34E-D61A-4213-AB07-559E1F701691}"/>
    <hyperlink ref="CR79" r:id="rId67" xr:uid="{D449DF63-7AB3-45AD-8B85-31A35930E816}"/>
    <hyperlink ref="CR26" r:id="rId68" xr:uid="{286471FA-95C7-4048-B84A-B1E8E2871EF5}"/>
    <hyperlink ref="CR28" r:id="rId69" display="https://advances.sciencemag.org/content/6/12/eaaw5790" xr:uid="{A717FF18-22FF-4D91-8DA0-A97E0B0FB379}"/>
    <hyperlink ref="CR29" r:id="rId70" display="https://advances.sciencemag.org/content/6/12/eaaw5790" xr:uid="{3CB42BDE-3544-4D96-B63B-FCF4FEB79DB2}"/>
    <hyperlink ref="CR27" r:id="rId71" display="https://advances.sciencemag.org/content/6/12/eaaw5790" xr:uid="{27558988-9F0B-452D-B992-C17B1679098C}"/>
    <hyperlink ref="CR81" r:id="rId72" xr:uid="{604A1B46-301E-4303-8D3A-15A92E756AA1}"/>
    <hyperlink ref="CR82" r:id="rId73" xr:uid="{43867845-D69B-4134-A329-3E7128A2CDE2}"/>
    <hyperlink ref="CR83" r:id="rId74" xr:uid="{97601A99-8BFC-4B28-B226-53968ACB9650}"/>
    <hyperlink ref="CR108" r:id="rId75" xr:uid="{3FBAD696-81D0-403A-8F80-EF4296FC3CED}"/>
    <hyperlink ref="CR105" r:id="rId76" xr:uid="{82418017-8B67-4E22-A24D-650E0CB23562}"/>
    <hyperlink ref="CR106" r:id="rId77" xr:uid="{548EC742-DF94-40A1-A007-8C28DA96E127}"/>
    <hyperlink ref="CR91" r:id="rId78" xr:uid="{5F9FB292-A855-44B4-BBEE-8C4A54201C90}"/>
    <hyperlink ref="CR92" r:id="rId79" xr:uid="{4272A320-9B25-4CE3-8AF4-D8F9D47F6A08}"/>
    <hyperlink ref="CR94" r:id="rId80" xr:uid="{F00EBA4C-857E-4C9A-949C-06EF39001FA6}"/>
    <hyperlink ref="CR107" r:id="rId81" xr:uid="{6B002FAC-5F6F-446B-9544-A1DDA910F396}"/>
    <hyperlink ref="CR99" r:id="rId82" xr:uid="{9332FA09-F48D-4ADF-9C47-BB16194BEADF}"/>
    <hyperlink ref="CR100" r:id="rId83" xr:uid="{40CADD27-F3BA-474B-92D4-BDBC8395BB4D}"/>
    <hyperlink ref="CR101" r:id="rId84" xr:uid="{EFAEF6DF-6F78-4D9D-809C-19A0C91CF6A2}"/>
    <hyperlink ref="CR95" r:id="rId85" xr:uid="{D3707A5C-F91F-48F7-85FA-C5F1B0D191EB}"/>
    <hyperlink ref="CR96" r:id="rId86" xr:uid="{07587AEB-E465-48F9-9097-140ACA74DAA2}"/>
    <hyperlink ref="CR97" r:id="rId87" xr:uid="{81A330A0-1CD1-4849-BBF3-D9888EBD8E36}"/>
    <hyperlink ref="CR98" r:id="rId88" xr:uid="{B2E7D94F-601E-4016-8133-A62887959B90}"/>
    <hyperlink ref="CR90" r:id="rId89" xr:uid="{A3C3424A-061B-4095-B36B-12396909113D}"/>
    <hyperlink ref="CR89" r:id="rId90" xr:uid="{06A3AD1E-7EB9-48C6-9141-1DF05DD4A339}"/>
    <hyperlink ref="CR4" r:id="rId91" xr:uid="{A2329C1D-D6AD-46C1-9E2A-1B58C06084E4}"/>
    <hyperlink ref="CR5" r:id="rId92" xr:uid="{2849E680-8A57-43F5-92F3-75F75F25AC9F}"/>
    <hyperlink ref="CR93" r:id="rId93" xr:uid="{6438D800-EB32-4C2D-8011-45C4FCEFCC60}"/>
    <hyperlink ref="CR85" r:id="rId94" xr:uid="{54154430-0E5F-45D8-81D2-912E9741EA5C}"/>
    <hyperlink ref="CR86" r:id="rId95" xr:uid="{97CFC6E0-EEB7-49D5-8477-4A1FE68E3FCB}"/>
    <hyperlink ref="CR87" r:id="rId96" xr:uid="{AF134588-F4F9-4EA0-8D85-8B6F31BB182E}"/>
    <hyperlink ref="CR88" r:id="rId97" xr:uid="{3112217A-BB1A-454B-ABEA-7B9764BEE55B}"/>
  </hyperlinks>
  <pageMargins left="0.7" right="0.7" top="0.75" bottom="0.75" header="0.3" footer="0.3"/>
  <pageSetup paperSize="9" scale="10" orientation="portrait" r:id="rId98"/>
  <drawing r:id="rId9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FB1AD-D314-46A1-9B0E-E795BEE11243}">
  <dimension ref="A1:B520"/>
  <sheetViews>
    <sheetView topLeftCell="A79" workbookViewId="0">
      <selection activeCell="CN20" sqref="CN20"/>
    </sheetView>
  </sheetViews>
  <sheetFormatPr defaultRowHeight="15"/>
  <cols>
    <col min="1" max="1" width="24" style="28" bestFit="1" customWidth="1"/>
    <col min="2" max="2" width="15.85546875" style="28" bestFit="1" customWidth="1"/>
    <col min="3" max="16384" width="9.140625" style="29"/>
  </cols>
  <sheetData>
    <row r="1" spans="1:2" ht="15.75" thickBot="1">
      <c r="A1" s="1"/>
      <c r="B1" s="1"/>
    </row>
    <row r="2" spans="1:2">
      <c r="A2" s="3" t="s">
        <v>146</v>
      </c>
      <c r="B2" s="3" t="s">
        <v>220</v>
      </c>
    </row>
    <row r="3" spans="1:2">
      <c r="A3" s="6">
        <v>19.3</v>
      </c>
      <c r="B3" s="6"/>
    </row>
    <row r="4" spans="1:2">
      <c r="A4" s="4">
        <v>19.3</v>
      </c>
      <c r="B4" s="4"/>
    </row>
    <row r="5" spans="1:2">
      <c r="A5" s="4">
        <v>12.8</v>
      </c>
      <c r="B5" s="4"/>
    </row>
    <row r="6" spans="1:2">
      <c r="A6" s="4">
        <v>19.3</v>
      </c>
      <c r="B6" s="4"/>
    </row>
    <row r="7" spans="1:2">
      <c r="A7" s="4">
        <v>23</v>
      </c>
      <c r="B7" s="4"/>
    </row>
    <row r="8" spans="1:2">
      <c r="A8" s="4">
        <v>23</v>
      </c>
      <c r="B8" s="4"/>
    </row>
    <row r="9" spans="1:2">
      <c r="A9" s="4">
        <v>23</v>
      </c>
      <c r="B9" s="4"/>
    </row>
    <row r="10" spans="1:2">
      <c r="A10" s="4">
        <v>23</v>
      </c>
      <c r="B10" s="4"/>
    </row>
    <row r="11" spans="1:2">
      <c r="A11" s="4">
        <v>16.899999999999999</v>
      </c>
      <c r="B11" s="4"/>
    </row>
    <row r="12" spans="1:2">
      <c r="A12" s="4">
        <v>16.899999999999999</v>
      </c>
      <c r="B12" s="4"/>
    </row>
    <row r="13" spans="1:2">
      <c r="A13" s="4">
        <v>16.899999999999999</v>
      </c>
      <c r="B13" s="4"/>
    </row>
    <row r="14" spans="1:2">
      <c r="A14" s="4">
        <v>16.5</v>
      </c>
      <c r="B14" s="4">
        <v>9.256636363636364</v>
      </c>
    </row>
    <row r="15" spans="1:2">
      <c r="A15" s="4">
        <v>16.75</v>
      </c>
      <c r="B15" s="4"/>
    </row>
    <row r="16" spans="1:2">
      <c r="A16" s="4">
        <v>16.809999999999999</v>
      </c>
      <c r="B16" s="4"/>
    </row>
    <row r="17" spans="1:2">
      <c r="A17" s="4">
        <v>15.2</v>
      </c>
      <c r="B17" s="4"/>
    </row>
    <row r="18" spans="1:2">
      <c r="A18" s="4">
        <v>18.649999999999999</v>
      </c>
      <c r="B18" s="4"/>
    </row>
    <row r="19" spans="1:2">
      <c r="A19" s="4">
        <v>23</v>
      </c>
      <c r="B19" s="4"/>
    </row>
    <row r="20" spans="1:2">
      <c r="A20" s="4">
        <v>16.600000000000001</v>
      </c>
      <c r="B20" s="4"/>
    </row>
    <row r="21" spans="1:2">
      <c r="A21" s="4">
        <v>15.6</v>
      </c>
      <c r="B21" s="4"/>
    </row>
    <row r="22" spans="1:2">
      <c r="A22" s="4">
        <v>15.6</v>
      </c>
      <c r="B22" s="4"/>
    </row>
    <row r="23" spans="1:2">
      <c r="A23" s="4">
        <v>15.6</v>
      </c>
      <c r="B23" s="4"/>
    </row>
    <row r="24" spans="1:2">
      <c r="A24" s="4">
        <v>15.9</v>
      </c>
      <c r="B24" s="4"/>
    </row>
    <row r="25" spans="1:2">
      <c r="A25" s="4">
        <v>15.6</v>
      </c>
      <c r="B25" s="4"/>
    </row>
    <row r="26" spans="1:2">
      <c r="A26" s="4">
        <v>15.6</v>
      </c>
      <c r="B26" s="4"/>
    </row>
    <row r="27" spans="1:2">
      <c r="A27" s="4">
        <v>15.6</v>
      </c>
      <c r="B27" s="4"/>
    </row>
    <row r="28" spans="1:2">
      <c r="A28" s="4">
        <v>15.6</v>
      </c>
      <c r="B28" s="4"/>
    </row>
    <row r="29" spans="1:2">
      <c r="A29" s="4">
        <v>16</v>
      </c>
      <c r="B29" s="4"/>
    </row>
    <row r="30" spans="1:2">
      <c r="A30" s="4">
        <v>16</v>
      </c>
      <c r="B30" s="4"/>
    </row>
    <row r="31" spans="1:2">
      <c r="A31" s="4">
        <v>14.8</v>
      </c>
      <c r="B31" s="4"/>
    </row>
    <row r="32" spans="1:2">
      <c r="A32" s="4">
        <v>14.8</v>
      </c>
      <c r="B32" s="4"/>
    </row>
    <row r="33" spans="1:2">
      <c r="A33" s="4">
        <v>14.8</v>
      </c>
      <c r="B33" s="4"/>
    </row>
    <row r="34" spans="1:2">
      <c r="A34" s="4">
        <v>16.087499999999999</v>
      </c>
      <c r="B34" s="4"/>
    </row>
    <row r="35" spans="1:2">
      <c r="A35" s="4">
        <v>11.3</v>
      </c>
      <c r="B35" s="4"/>
    </row>
    <row r="36" spans="1:2">
      <c r="A36" s="4">
        <v>16.177083333333332</v>
      </c>
      <c r="B36" s="4"/>
    </row>
    <row r="37" spans="1:2">
      <c r="A37" s="4">
        <v>16.177083333333332</v>
      </c>
      <c r="B37" s="4"/>
    </row>
    <row r="38" spans="1:2">
      <c r="A38" s="4">
        <v>13.062499999999995</v>
      </c>
      <c r="B38" s="4"/>
    </row>
    <row r="39" spans="1:2">
      <c r="A39" s="4">
        <v>17.5</v>
      </c>
      <c r="B39" s="4"/>
    </row>
    <row r="40" spans="1:2">
      <c r="A40" s="4">
        <v>16.75</v>
      </c>
      <c r="B40" s="4"/>
    </row>
    <row r="41" spans="1:2">
      <c r="A41" s="4">
        <v>16.75</v>
      </c>
      <c r="B41" s="4"/>
    </row>
    <row r="42" spans="1:2">
      <c r="A42" s="4">
        <v>16.258333333333336</v>
      </c>
      <c r="B42" s="4"/>
    </row>
    <row r="43" spans="1:2">
      <c r="A43" s="4">
        <v>18.108333333333331</v>
      </c>
      <c r="B43" s="4"/>
    </row>
    <row r="44" spans="1:2">
      <c r="A44" s="4">
        <v>17.633333333333333</v>
      </c>
      <c r="B44" s="4"/>
    </row>
    <row r="45" spans="1:2">
      <c r="A45" s="4">
        <v>15.9</v>
      </c>
      <c r="B45" s="4"/>
    </row>
    <row r="46" spans="1:2">
      <c r="A46" s="4">
        <v>15.9</v>
      </c>
      <c r="B46" s="4"/>
    </row>
    <row r="47" spans="1:2">
      <c r="A47" s="4">
        <v>15.375</v>
      </c>
      <c r="B47" s="4"/>
    </row>
    <row r="48" spans="1:2">
      <c r="A48" s="4">
        <v>15.304169999999999</v>
      </c>
      <c r="B48" s="4"/>
    </row>
    <row r="49" spans="1:2">
      <c r="A49" s="4">
        <v>16.100000000000001</v>
      </c>
      <c r="B49" s="4"/>
    </row>
    <row r="50" spans="1:2">
      <c r="A50" s="4">
        <v>16.91</v>
      </c>
      <c r="B50" s="4"/>
    </row>
    <row r="51" spans="1:2">
      <c r="A51" s="4">
        <v>15</v>
      </c>
      <c r="B51" s="4"/>
    </row>
    <row r="52" spans="1:2">
      <c r="A52" s="4">
        <v>15.375</v>
      </c>
      <c r="B52" s="4"/>
    </row>
    <row r="53" spans="1:2">
      <c r="A53" s="4">
        <v>15.304169999999999</v>
      </c>
      <c r="B53" s="4"/>
    </row>
    <row r="54" spans="1:2">
      <c r="A54" s="4">
        <v>15.304169999999999</v>
      </c>
      <c r="B54" s="4"/>
    </row>
    <row r="55" spans="1:2">
      <c r="A55" s="4">
        <v>15.39167</v>
      </c>
      <c r="B55" s="4"/>
    </row>
    <row r="56" spans="1:2">
      <c r="A56" s="4">
        <v>15.375</v>
      </c>
      <c r="B56" s="4"/>
    </row>
    <row r="57" spans="1:2">
      <c r="A57" s="4">
        <v>16.058330000000002</v>
      </c>
      <c r="B57" s="4"/>
    </row>
    <row r="58" spans="1:2">
      <c r="A58" s="4">
        <v>16.175000000000001</v>
      </c>
      <c r="B58" s="4"/>
    </row>
    <row r="59" spans="1:2">
      <c r="A59" s="4">
        <v>16.516670000000001</v>
      </c>
      <c r="B59" s="4"/>
    </row>
    <row r="60" spans="1:2">
      <c r="A60" s="4">
        <v>16.033329999999999</v>
      </c>
      <c r="B60" s="4"/>
    </row>
    <row r="61" spans="1:2">
      <c r="A61" s="4">
        <v>15.3</v>
      </c>
      <c r="B61" s="4"/>
    </row>
    <row r="62" spans="1:2">
      <c r="A62" s="4">
        <v>15.446149999999999</v>
      </c>
      <c r="B62" s="4"/>
    </row>
    <row r="63" spans="1:2">
      <c r="A63" s="4">
        <v>13.15</v>
      </c>
      <c r="B63" s="4"/>
    </row>
    <row r="64" spans="1:2">
      <c r="A64" s="4">
        <v>13.15</v>
      </c>
      <c r="B64" s="4"/>
    </row>
    <row r="65" spans="1:2">
      <c r="A65" s="4">
        <v>10</v>
      </c>
      <c r="B65" s="4"/>
    </row>
    <row r="66" spans="1:2">
      <c r="A66" s="4">
        <v>15.3</v>
      </c>
      <c r="B66" s="4"/>
    </row>
    <row r="67" spans="1:2">
      <c r="A67" s="4">
        <v>23</v>
      </c>
      <c r="B67" s="4"/>
    </row>
    <row r="68" spans="1:2">
      <c r="A68" s="4">
        <v>23</v>
      </c>
      <c r="B68" s="4"/>
    </row>
    <row r="69" spans="1:2">
      <c r="A69" s="4">
        <v>23</v>
      </c>
      <c r="B69" s="4"/>
    </row>
    <row r="70" spans="1:2">
      <c r="A70" s="4">
        <v>16.5</v>
      </c>
      <c r="B70" s="4"/>
    </row>
    <row r="71" spans="1:2">
      <c r="A71" s="4">
        <v>20.3</v>
      </c>
      <c r="B71" s="4"/>
    </row>
    <row r="72" spans="1:2">
      <c r="A72" s="4">
        <v>20.3</v>
      </c>
      <c r="B72" s="4"/>
    </row>
    <row r="73" spans="1:2">
      <c r="A73" s="4">
        <v>20.3</v>
      </c>
      <c r="B73" s="4"/>
    </row>
    <row r="74" spans="1:2">
      <c r="A74" s="4">
        <v>20.3</v>
      </c>
      <c r="B74" s="4"/>
    </row>
    <row r="75" spans="1:2">
      <c r="A75" s="4">
        <v>16.5</v>
      </c>
      <c r="B75" s="4"/>
    </row>
    <row r="76" spans="1:2">
      <c r="A76" s="4">
        <v>16.5</v>
      </c>
      <c r="B76" s="4"/>
    </row>
    <row r="77" spans="1:2">
      <c r="A77" s="4">
        <v>23</v>
      </c>
      <c r="B77" s="4"/>
    </row>
    <row r="78" spans="1:2">
      <c r="A78" s="4">
        <v>23</v>
      </c>
      <c r="B78" s="4"/>
    </row>
    <row r="79" spans="1:2">
      <c r="A79" s="4">
        <v>15.3</v>
      </c>
      <c r="B79" s="4"/>
    </row>
    <row r="80" spans="1:2">
      <c r="A80" s="4">
        <v>15.3</v>
      </c>
      <c r="B80" s="4"/>
    </row>
    <row r="81" spans="1:2">
      <c r="A81" s="4">
        <v>17.2</v>
      </c>
      <c r="B81" s="4">
        <v>11.21</v>
      </c>
    </row>
    <row r="82" spans="1:2">
      <c r="A82" s="16">
        <v>18.600000000000001</v>
      </c>
      <c r="B82" s="16">
        <v>11.41</v>
      </c>
    </row>
    <row r="83" spans="1:2">
      <c r="A83" s="4">
        <v>16</v>
      </c>
      <c r="B83" s="4"/>
    </row>
    <row r="84" spans="1:2">
      <c r="A84" s="4">
        <v>16</v>
      </c>
      <c r="B84" s="4"/>
    </row>
    <row r="85" spans="1:2">
      <c r="A85" s="4">
        <v>16</v>
      </c>
      <c r="B85" s="4"/>
    </row>
    <row r="86" spans="1:2">
      <c r="A86" s="4">
        <v>16</v>
      </c>
      <c r="B86" s="4"/>
    </row>
    <row r="87" spans="1:2">
      <c r="A87" s="4">
        <v>21.2</v>
      </c>
      <c r="B87" s="4"/>
    </row>
    <row r="88" spans="1:2">
      <c r="A88" s="4">
        <v>16.600000000000001</v>
      </c>
      <c r="B88" s="4"/>
    </row>
    <row r="89" spans="1:2">
      <c r="A89" s="4">
        <v>15.8</v>
      </c>
      <c r="B89" s="4">
        <v>8.6345454545454547</v>
      </c>
    </row>
    <row r="90" spans="1:2">
      <c r="A90" s="4">
        <v>15.8</v>
      </c>
      <c r="B90" s="4">
        <v>8.8145454545454545</v>
      </c>
    </row>
    <row r="91" spans="1:2">
      <c r="A91" s="4">
        <v>15.8</v>
      </c>
      <c r="B91" s="4">
        <v>10.268181818181818</v>
      </c>
    </row>
    <row r="92" spans="1:2">
      <c r="A92" s="4">
        <v>15.8</v>
      </c>
      <c r="B92" s="4">
        <v>9.9627272727272729</v>
      </c>
    </row>
    <row r="93" spans="1:2">
      <c r="A93" s="4">
        <v>16.399999999999999</v>
      </c>
      <c r="B93" s="4"/>
    </row>
    <row r="94" spans="1:2">
      <c r="A94" s="4">
        <v>17.100000000000001</v>
      </c>
      <c r="B94" s="4"/>
    </row>
    <row r="95" spans="1:2">
      <c r="A95" s="4">
        <v>19.3</v>
      </c>
      <c r="B95" s="4"/>
    </row>
    <row r="96" spans="1:2">
      <c r="A96" s="4">
        <v>21</v>
      </c>
      <c r="B96" s="4"/>
    </row>
    <row r="97" spans="1:2">
      <c r="A97" s="4">
        <v>15.6</v>
      </c>
      <c r="B97" s="4">
        <v>9.1151781818181821</v>
      </c>
    </row>
    <row r="98" spans="1:2">
      <c r="A98" s="4">
        <v>15.6</v>
      </c>
      <c r="B98" s="4">
        <v>9.7876372727272738</v>
      </c>
    </row>
    <row r="99" spans="1:2">
      <c r="A99" s="4">
        <v>16.55833333333333</v>
      </c>
      <c r="B99" s="4"/>
    </row>
    <row r="100" spans="1:2">
      <c r="A100" s="4">
        <v>16.158333333333335</v>
      </c>
      <c r="B100" s="4"/>
    </row>
    <row r="101" spans="1:2">
      <c r="A101" s="4">
        <v>14.699999999999998</v>
      </c>
      <c r="B101" s="4"/>
    </row>
    <row r="102" spans="1:2">
      <c r="A102" s="4">
        <v>13.1</v>
      </c>
      <c r="B102" s="4"/>
    </row>
    <row r="103" spans="1:2">
      <c r="A103" s="4">
        <v>13.1</v>
      </c>
      <c r="B103" s="4"/>
    </row>
    <row r="104" spans="1:2">
      <c r="A104" s="2">
        <v>20.12</v>
      </c>
      <c r="B104" s="4"/>
    </row>
    <row r="105" spans="1:2" ht="15.75" thickBot="1">
      <c r="A105" s="21">
        <v>16.5</v>
      </c>
      <c r="B105" s="21"/>
    </row>
    <row r="106" spans="1:2" ht="15.75">
      <c r="A106" s="25"/>
      <c r="B106" s="25"/>
    </row>
    <row r="107" spans="1:2" ht="15.75">
      <c r="A107" s="25"/>
      <c r="B107" s="25"/>
    </row>
    <row r="108" spans="1:2" ht="15.75">
      <c r="A108" s="25"/>
      <c r="B108" s="25"/>
    </row>
    <row r="109" spans="1:2" ht="15.75">
      <c r="A109" s="25"/>
      <c r="B109" s="25"/>
    </row>
    <row r="110" spans="1:2" ht="15.75">
      <c r="A110" s="25"/>
      <c r="B110" s="25"/>
    </row>
    <row r="111" spans="1:2" ht="15.75">
      <c r="A111" s="25"/>
      <c r="B111" s="25"/>
    </row>
    <row r="112" spans="1:2" ht="15.75">
      <c r="A112" s="25"/>
      <c r="B112" s="25"/>
    </row>
    <row r="113" spans="1:2" ht="15.75">
      <c r="A113" s="25"/>
      <c r="B113" s="25"/>
    </row>
    <row r="114" spans="1:2" ht="15.75">
      <c r="A114" s="25"/>
      <c r="B114" s="25"/>
    </row>
    <row r="115" spans="1:2" ht="15.75">
      <c r="A115" s="25"/>
      <c r="B115" s="25"/>
    </row>
    <row r="116" spans="1:2" ht="15.75">
      <c r="A116" s="25"/>
      <c r="B116" s="25"/>
    </row>
    <row r="117" spans="1:2" ht="15.75">
      <c r="A117" s="25"/>
      <c r="B117" s="25"/>
    </row>
    <row r="118" spans="1:2" ht="15.75">
      <c r="A118" s="25"/>
      <c r="B118" s="25"/>
    </row>
    <row r="119" spans="1:2" ht="15.75">
      <c r="A119" s="25"/>
      <c r="B119" s="25"/>
    </row>
    <row r="120" spans="1:2" ht="15.75">
      <c r="A120" s="25"/>
      <c r="B120" s="25"/>
    </row>
    <row r="121" spans="1:2" ht="15.75">
      <c r="A121" s="25"/>
      <c r="B121" s="25"/>
    </row>
    <row r="122" spans="1:2" ht="15.75">
      <c r="A122" s="25"/>
      <c r="B122" s="25"/>
    </row>
    <row r="123" spans="1:2" ht="15.75">
      <c r="A123" s="25"/>
      <c r="B123" s="25"/>
    </row>
    <row r="124" spans="1:2" ht="15.75">
      <c r="A124" s="25"/>
      <c r="B124" s="25"/>
    </row>
    <row r="125" spans="1:2" ht="15.75">
      <c r="A125" s="25"/>
      <c r="B125" s="25"/>
    </row>
    <row r="126" spans="1:2" ht="15.75">
      <c r="A126" s="25"/>
      <c r="B126" s="25"/>
    </row>
    <row r="127" spans="1:2" ht="15.75">
      <c r="A127" s="25"/>
      <c r="B127" s="25"/>
    </row>
    <row r="128" spans="1:2" ht="15.75">
      <c r="A128" s="25"/>
      <c r="B128" s="25"/>
    </row>
    <row r="129" spans="1:2" ht="15.75">
      <c r="A129" s="25"/>
      <c r="B129" s="25"/>
    </row>
    <row r="130" spans="1:2" ht="15.75">
      <c r="A130" s="25"/>
      <c r="B130" s="25"/>
    </row>
    <row r="131" spans="1:2" ht="15.75">
      <c r="A131" s="25"/>
      <c r="B131" s="25"/>
    </row>
    <row r="132" spans="1:2" ht="15.75">
      <c r="A132" s="25"/>
      <c r="B132" s="25"/>
    </row>
    <row r="133" spans="1:2" ht="15.75">
      <c r="A133" s="25"/>
      <c r="B133" s="25"/>
    </row>
    <row r="134" spans="1:2" ht="15.75">
      <c r="A134" s="25"/>
      <c r="B134" s="25"/>
    </row>
    <row r="135" spans="1:2" ht="15.75">
      <c r="A135" s="25"/>
      <c r="B135" s="25"/>
    </row>
    <row r="136" spans="1:2" ht="15.75">
      <c r="A136" s="25"/>
      <c r="B136" s="25"/>
    </row>
    <row r="137" spans="1:2" ht="15.75">
      <c r="A137" s="25"/>
      <c r="B137" s="25"/>
    </row>
    <row r="138" spans="1:2" ht="15.75">
      <c r="A138" s="25"/>
      <c r="B138" s="25"/>
    </row>
    <row r="139" spans="1:2" ht="15.75">
      <c r="A139" s="25"/>
      <c r="B139" s="25"/>
    </row>
    <row r="140" spans="1:2" ht="15.75">
      <c r="A140" s="25"/>
      <c r="B140" s="25"/>
    </row>
    <row r="141" spans="1:2" ht="15.75">
      <c r="A141" s="25"/>
      <c r="B141" s="25"/>
    </row>
    <row r="142" spans="1:2" ht="15.75">
      <c r="A142" s="25"/>
      <c r="B142" s="25"/>
    </row>
    <row r="143" spans="1:2" ht="15.75">
      <c r="A143" s="25"/>
      <c r="B143" s="25"/>
    </row>
    <row r="144" spans="1:2" ht="15.75">
      <c r="A144" s="25"/>
      <c r="B144" s="25"/>
    </row>
    <row r="145" spans="1:2" ht="15.75">
      <c r="A145" s="25"/>
      <c r="B145" s="25"/>
    </row>
    <row r="146" spans="1:2" ht="15.75">
      <c r="A146" s="25"/>
      <c r="B146" s="25"/>
    </row>
    <row r="147" spans="1:2" ht="15.75">
      <c r="A147" s="25"/>
      <c r="B147" s="25"/>
    </row>
    <row r="148" spans="1:2" ht="15.75">
      <c r="A148" s="25"/>
      <c r="B148" s="25"/>
    </row>
    <row r="149" spans="1:2" ht="15.75">
      <c r="A149" s="25"/>
      <c r="B149" s="25"/>
    </row>
    <row r="150" spans="1:2" ht="15.75">
      <c r="A150" s="25"/>
      <c r="B150" s="25"/>
    </row>
    <row r="151" spans="1:2" ht="15.75">
      <c r="A151" s="25"/>
      <c r="B151" s="25"/>
    </row>
    <row r="152" spans="1:2" ht="15.75">
      <c r="A152" s="25"/>
      <c r="B152" s="25"/>
    </row>
    <row r="153" spans="1:2" ht="15.75">
      <c r="A153" s="25"/>
      <c r="B153" s="25"/>
    </row>
    <row r="154" spans="1:2" ht="15.75">
      <c r="A154" s="25"/>
      <c r="B154" s="25"/>
    </row>
    <row r="155" spans="1:2" ht="15.75">
      <c r="A155" s="25"/>
      <c r="B155" s="25"/>
    </row>
    <row r="156" spans="1:2" ht="15.75">
      <c r="A156" s="25"/>
      <c r="B156" s="25"/>
    </row>
    <row r="157" spans="1:2" ht="15.75">
      <c r="A157" s="25"/>
      <c r="B157" s="25"/>
    </row>
    <row r="158" spans="1:2" ht="15.75">
      <c r="A158" s="25"/>
      <c r="B158" s="25"/>
    </row>
    <row r="159" spans="1:2" ht="15.75">
      <c r="A159" s="25"/>
      <c r="B159" s="25"/>
    </row>
    <row r="160" spans="1:2" ht="15.75">
      <c r="A160" s="25"/>
      <c r="B160" s="25"/>
    </row>
    <row r="161" spans="1:2" ht="15.75">
      <c r="A161" s="25"/>
      <c r="B161" s="25"/>
    </row>
    <row r="162" spans="1:2" ht="15.75">
      <c r="A162" s="25"/>
      <c r="B162" s="25"/>
    </row>
    <row r="163" spans="1:2" ht="15.75">
      <c r="A163" s="25"/>
      <c r="B163" s="25"/>
    </row>
    <row r="164" spans="1:2" ht="15.75">
      <c r="A164" s="25"/>
      <c r="B164" s="25"/>
    </row>
    <row r="165" spans="1:2" ht="15.75">
      <c r="A165" s="25"/>
      <c r="B165" s="25"/>
    </row>
    <row r="166" spans="1:2" ht="15.75">
      <c r="A166" s="25"/>
      <c r="B166" s="25"/>
    </row>
    <row r="167" spans="1:2" ht="15.75">
      <c r="A167" s="25"/>
      <c r="B167" s="25"/>
    </row>
    <row r="168" spans="1:2" ht="15.75">
      <c r="A168" s="25"/>
      <c r="B168" s="25"/>
    </row>
    <row r="169" spans="1:2" ht="15.75">
      <c r="A169" s="25"/>
      <c r="B169" s="25"/>
    </row>
    <row r="170" spans="1:2" ht="15.75">
      <c r="A170" s="25"/>
      <c r="B170" s="25"/>
    </row>
    <row r="171" spans="1:2" ht="15.75">
      <c r="A171" s="25"/>
      <c r="B171" s="25"/>
    </row>
    <row r="172" spans="1:2" ht="15.75">
      <c r="A172" s="25"/>
      <c r="B172" s="25"/>
    </row>
    <row r="173" spans="1:2" ht="15.75">
      <c r="A173" s="25"/>
      <c r="B173" s="25"/>
    </row>
    <row r="174" spans="1:2" ht="15.75">
      <c r="A174" s="25"/>
      <c r="B174" s="25"/>
    </row>
    <row r="175" spans="1:2" ht="15.75">
      <c r="A175" s="25"/>
      <c r="B175" s="25"/>
    </row>
    <row r="176" spans="1:2" ht="15.75">
      <c r="A176" s="25"/>
      <c r="B176" s="25"/>
    </row>
    <row r="177" spans="1:2" ht="15.75">
      <c r="A177" s="25"/>
      <c r="B177" s="25"/>
    </row>
    <row r="178" spans="1:2" ht="15.75">
      <c r="A178" s="25"/>
      <c r="B178" s="25"/>
    </row>
    <row r="179" spans="1:2" ht="15.75">
      <c r="A179" s="25"/>
      <c r="B179" s="25"/>
    </row>
    <row r="180" spans="1:2" ht="15.75">
      <c r="A180" s="25"/>
      <c r="B180" s="25"/>
    </row>
    <row r="181" spans="1:2" ht="15.75">
      <c r="A181" s="25"/>
      <c r="B181" s="25"/>
    </row>
    <row r="182" spans="1:2" ht="15.75">
      <c r="A182" s="25"/>
      <c r="B182" s="25"/>
    </row>
    <row r="183" spans="1:2" ht="15.75">
      <c r="A183" s="25"/>
      <c r="B183" s="25"/>
    </row>
    <row r="184" spans="1:2" ht="15.75">
      <c r="A184" s="25"/>
      <c r="B184" s="25"/>
    </row>
    <row r="185" spans="1:2" ht="15.75">
      <c r="A185" s="25"/>
      <c r="B185" s="25"/>
    </row>
    <row r="186" spans="1:2" ht="15.75">
      <c r="A186" s="25"/>
      <c r="B186" s="25"/>
    </row>
    <row r="187" spans="1:2" ht="15.75">
      <c r="A187" s="25"/>
      <c r="B187" s="25"/>
    </row>
    <row r="188" spans="1:2" ht="15.75">
      <c r="A188" s="25"/>
      <c r="B188" s="25"/>
    </row>
    <row r="189" spans="1:2" ht="15.75">
      <c r="A189" s="25"/>
      <c r="B189" s="25"/>
    </row>
    <row r="190" spans="1:2" ht="15.75">
      <c r="A190" s="25"/>
      <c r="B190" s="25"/>
    </row>
    <row r="191" spans="1:2" ht="15.75">
      <c r="A191" s="25"/>
      <c r="B191" s="25"/>
    </row>
    <row r="192" spans="1:2" ht="15.75">
      <c r="A192" s="25"/>
      <c r="B192" s="25"/>
    </row>
    <row r="193" spans="1:2" ht="15.75">
      <c r="A193" s="25"/>
      <c r="B193" s="25"/>
    </row>
    <row r="194" spans="1:2" ht="15.75">
      <c r="A194" s="25"/>
      <c r="B194" s="25"/>
    </row>
    <row r="195" spans="1:2" ht="15.75">
      <c r="A195" s="25"/>
      <c r="B195" s="25"/>
    </row>
    <row r="196" spans="1:2" ht="15.75">
      <c r="A196" s="25"/>
      <c r="B196" s="25"/>
    </row>
    <row r="197" spans="1:2" ht="15.75">
      <c r="A197" s="25"/>
      <c r="B197" s="25"/>
    </row>
    <row r="198" spans="1:2" ht="15.75">
      <c r="A198" s="25"/>
      <c r="B198" s="25"/>
    </row>
    <row r="199" spans="1:2" ht="15.75">
      <c r="A199" s="25"/>
      <c r="B199" s="25"/>
    </row>
    <row r="200" spans="1:2" ht="15.75">
      <c r="A200" s="25"/>
      <c r="B200" s="25"/>
    </row>
    <row r="201" spans="1:2" ht="15.75">
      <c r="A201" s="25"/>
      <c r="B201" s="25"/>
    </row>
    <row r="202" spans="1:2" ht="15.75">
      <c r="A202" s="25"/>
      <c r="B202" s="25"/>
    </row>
    <row r="203" spans="1:2" ht="15.75">
      <c r="A203" s="25"/>
      <c r="B203" s="25"/>
    </row>
    <row r="204" spans="1:2" ht="15.75">
      <c r="A204" s="25"/>
      <c r="B204" s="25"/>
    </row>
    <row r="205" spans="1:2" ht="15.75">
      <c r="A205" s="25"/>
      <c r="B205" s="25"/>
    </row>
    <row r="206" spans="1:2" ht="15.75">
      <c r="A206" s="25"/>
      <c r="B206" s="25"/>
    </row>
    <row r="207" spans="1:2" ht="15.75">
      <c r="A207" s="25"/>
      <c r="B207" s="25"/>
    </row>
    <row r="208" spans="1:2" ht="15.75">
      <c r="A208" s="25"/>
      <c r="B208" s="25"/>
    </row>
    <row r="209" spans="1:2" ht="15.75">
      <c r="A209" s="25"/>
      <c r="B209" s="25"/>
    </row>
    <row r="210" spans="1:2" ht="15.75">
      <c r="A210" s="25"/>
      <c r="B210" s="25"/>
    </row>
    <row r="211" spans="1:2" ht="15.75">
      <c r="A211" s="25"/>
      <c r="B211" s="25"/>
    </row>
    <row r="212" spans="1:2" ht="15.75">
      <c r="A212" s="25"/>
      <c r="B212" s="25"/>
    </row>
    <row r="213" spans="1:2" ht="15.75">
      <c r="A213" s="25"/>
      <c r="B213" s="25"/>
    </row>
    <row r="214" spans="1:2" ht="15.75">
      <c r="A214" s="25"/>
      <c r="B214" s="25"/>
    </row>
    <row r="215" spans="1:2" ht="15.75">
      <c r="A215" s="25"/>
      <c r="B215" s="25"/>
    </row>
    <row r="216" spans="1:2" ht="15.75">
      <c r="A216" s="25"/>
      <c r="B216" s="25"/>
    </row>
    <row r="217" spans="1:2" ht="15.75">
      <c r="A217" s="25"/>
      <c r="B217" s="25"/>
    </row>
    <row r="218" spans="1:2" ht="15.75">
      <c r="A218" s="25"/>
      <c r="B218" s="25"/>
    </row>
    <row r="219" spans="1:2" ht="15.75">
      <c r="A219" s="25"/>
      <c r="B219" s="25"/>
    </row>
    <row r="220" spans="1:2" ht="15.75">
      <c r="A220" s="25"/>
      <c r="B220" s="25"/>
    </row>
    <row r="221" spans="1:2" ht="15.75">
      <c r="A221" s="25"/>
      <c r="B221" s="25"/>
    </row>
    <row r="222" spans="1:2" ht="15.75">
      <c r="A222" s="25"/>
      <c r="B222" s="25"/>
    </row>
    <row r="223" spans="1:2" ht="15.75">
      <c r="A223" s="25"/>
      <c r="B223" s="25"/>
    </row>
    <row r="224" spans="1:2" ht="15.75">
      <c r="A224" s="25"/>
      <c r="B224" s="25"/>
    </row>
    <row r="225" spans="1:2" ht="15.75">
      <c r="A225" s="25"/>
      <c r="B225" s="25"/>
    </row>
    <row r="226" spans="1:2" ht="15.75">
      <c r="A226" s="25"/>
      <c r="B226" s="25"/>
    </row>
    <row r="227" spans="1:2" ht="15.75">
      <c r="A227" s="25"/>
      <c r="B227" s="25"/>
    </row>
    <row r="228" spans="1:2" ht="15.75">
      <c r="A228" s="25"/>
      <c r="B228" s="25"/>
    </row>
    <row r="229" spans="1:2" ht="15.75">
      <c r="A229" s="25"/>
      <c r="B229" s="25"/>
    </row>
    <row r="230" spans="1:2" ht="15.75">
      <c r="A230" s="25"/>
      <c r="B230" s="25"/>
    </row>
    <row r="231" spans="1:2" ht="15.75">
      <c r="A231" s="25"/>
      <c r="B231" s="25"/>
    </row>
    <row r="232" spans="1:2" ht="15.75">
      <c r="A232" s="25"/>
      <c r="B232" s="25"/>
    </row>
    <row r="233" spans="1:2" ht="15.75">
      <c r="A233" s="25"/>
      <c r="B233" s="25"/>
    </row>
    <row r="234" spans="1:2" ht="15.75">
      <c r="A234" s="25"/>
      <c r="B234" s="25"/>
    </row>
    <row r="235" spans="1:2" ht="15.75">
      <c r="A235" s="25"/>
      <c r="B235" s="25"/>
    </row>
    <row r="236" spans="1:2" ht="15.75">
      <c r="A236" s="25"/>
      <c r="B236" s="25"/>
    </row>
    <row r="237" spans="1:2" ht="15.75">
      <c r="A237" s="25"/>
      <c r="B237" s="25"/>
    </row>
    <row r="238" spans="1:2" ht="15.75">
      <c r="A238" s="25"/>
      <c r="B238" s="25"/>
    </row>
    <row r="239" spans="1:2" ht="15.75">
      <c r="A239" s="25"/>
      <c r="B239" s="25"/>
    </row>
    <row r="240" spans="1:2" ht="15.75">
      <c r="A240" s="25"/>
      <c r="B240" s="25"/>
    </row>
    <row r="241" spans="1:2" ht="15.75">
      <c r="A241" s="25"/>
      <c r="B241" s="25"/>
    </row>
    <row r="242" spans="1:2" ht="15.75">
      <c r="A242" s="25"/>
      <c r="B242" s="25"/>
    </row>
    <row r="243" spans="1:2" ht="15.75">
      <c r="A243" s="25"/>
      <c r="B243" s="25"/>
    </row>
    <row r="244" spans="1:2" ht="15.75">
      <c r="A244" s="25"/>
      <c r="B244" s="25"/>
    </row>
    <row r="245" spans="1:2" ht="15.75">
      <c r="A245" s="25"/>
      <c r="B245" s="25"/>
    </row>
    <row r="246" spans="1:2" ht="15.75">
      <c r="A246" s="25"/>
      <c r="B246" s="25"/>
    </row>
    <row r="247" spans="1:2" ht="15.75">
      <c r="A247" s="25"/>
      <c r="B247" s="25"/>
    </row>
    <row r="248" spans="1:2" ht="15.75">
      <c r="A248" s="25"/>
      <c r="B248" s="25"/>
    </row>
    <row r="249" spans="1:2" ht="15.75">
      <c r="A249" s="25"/>
      <c r="B249" s="25"/>
    </row>
    <row r="250" spans="1:2" ht="15.75">
      <c r="A250" s="25"/>
      <c r="B250" s="25"/>
    </row>
    <row r="251" spans="1:2" ht="15.75">
      <c r="A251" s="25"/>
      <c r="B251" s="25"/>
    </row>
    <row r="252" spans="1:2" ht="15.75">
      <c r="A252" s="25"/>
      <c r="B252" s="25"/>
    </row>
    <row r="253" spans="1:2" ht="15.75">
      <c r="A253" s="25"/>
      <c r="B253" s="25"/>
    </row>
    <row r="254" spans="1:2" ht="15.75">
      <c r="A254" s="25"/>
      <c r="B254" s="25"/>
    </row>
    <row r="255" spans="1:2" ht="15.75">
      <c r="A255" s="25"/>
      <c r="B255" s="25"/>
    </row>
    <row r="256" spans="1:2" ht="15.75">
      <c r="A256" s="25"/>
      <c r="B256" s="25"/>
    </row>
    <row r="257" spans="1:2" ht="15.75">
      <c r="A257" s="25"/>
      <c r="B257" s="25"/>
    </row>
    <row r="258" spans="1:2" ht="15.75">
      <c r="A258" s="25"/>
      <c r="B258" s="25"/>
    </row>
    <row r="259" spans="1:2" ht="15.75">
      <c r="A259" s="25"/>
      <c r="B259" s="25"/>
    </row>
    <row r="260" spans="1:2" ht="15.75">
      <c r="A260" s="25"/>
      <c r="B260" s="25"/>
    </row>
    <row r="261" spans="1:2" ht="15.75">
      <c r="A261" s="25"/>
      <c r="B261" s="25"/>
    </row>
    <row r="262" spans="1:2" ht="15.75">
      <c r="A262" s="25"/>
      <c r="B262" s="25"/>
    </row>
    <row r="263" spans="1:2" ht="15.75">
      <c r="A263" s="25"/>
      <c r="B263" s="25"/>
    </row>
    <row r="264" spans="1:2" ht="15.75">
      <c r="A264" s="25"/>
      <c r="B264" s="25"/>
    </row>
    <row r="265" spans="1:2" ht="15.75">
      <c r="A265" s="25"/>
      <c r="B265" s="25"/>
    </row>
    <row r="266" spans="1:2" ht="15.75">
      <c r="A266" s="25"/>
      <c r="B266" s="25"/>
    </row>
    <row r="267" spans="1:2" ht="15.75">
      <c r="A267" s="25"/>
      <c r="B267" s="25"/>
    </row>
    <row r="268" spans="1:2" ht="15.75">
      <c r="A268" s="25"/>
      <c r="B268" s="25"/>
    </row>
    <row r="269" spans="1:2" ht="15.75">
      <c r="A269" s="25"/>
      <c r="B269" s="25"/>
    </row>
    <row r="270" spans="1:2" ht="15.75">
      <c r="A270" s="25"/>
      <c r="B270" s="25"/>
    </row>
    <row r="271" spans="1:2" ht="15.75">
      <c r="A271" s="25"/>
      <c r="B271" s="25"/>
    </row>
    <row r="272" spans="1:2" ht="15.75">
      <c r="A272" s="25"/>
      <c r="B272" s="25"/>
    </row>
    <row r="273" spans="1:2" ht="15.75">
      <c r="A273" s="25"/>
      <c r="B273" s="25"/>
    </row>
    <row r="274" spans="1:2" ht="15.75">
      <c r="A274" s="25"/>
      <c r="B274" s="25"/>
    </row>
    <row r="275" spans="1:2" ht="15.75">
      <c r="A275" s="25"/>
      <c r="B275" s="25"/>
    </row>
    <row r="276" spans="1:2" ht="15.75">
      <c r="A276" s="25"/>
      <c r="B276" s="25"/>
    </row>
    <row r="277" spans="1:2" ht="15.75">
      <c r="A277" s="25"/>
      <c r="B277" s="25"/>
    </row>
    <row r="278" spans="1:2" ht="15.75">
      <c r="A278" s="25"/>
      <c r="B278" s="25"/>
    </row>
    <row r="279" spans="1:2" ht="15.75">
      <c r="A279" s="25"/>
      <c r="B279" s="25"/>
    </row>
    <row r="280" spans="1:2" ht="15.75">
      <c r="A280" s="25"/>
      <c r="B280" s="25"/>
    </row>
    <row r="281" spans="1:2" ht="15.75">
      <c r="A281" s="25"/>
      <c r="B281" s="25"/>
    </row>
    <row r="282" spans="1:2" ht="15.75">
      <c r="A282" s="25"/>
      <c r="B282" s="25"/>
    </row>
    <row r="283" spans="1:2" ht="15.75">
      <c r="A283" s="25"/>
      <c r="B283" s="25"/>
    </row>
    <row r="284" spans="1:2" ht="15.75">
      <c r="A284" s="25"/>
      <c r="B284" s="25"/>
    </row>
    <row r="285" spans="1:2" ht="15.75">
      <c r="A285" s="25"/>
      <c r="B285" s="25"/>
    </row>
    <row r="286" spans="1:2" ht="15.75">
      <c r="A286" s="25"/>
      <c r="B286" s="25"/>
    </row>
    <row r="287" spans="1:2" ht="15.75">
      <c r="A287" s="25"/>
      <c r="B287" s="25"/>
    </row>
    <row r="288" spans="1:2" ht="15.75">
      <c r="A288" s="25"/>
      <c r="B288" s="25"/>
    </row>
    <row r="289" spans="1:2" ht="15.75">
      <c r="A289" s="25"/>
      <c r="B289" s="25"/>
    </row>
    <row r="290" spans="1:2" ht="15.75">
      <c r="A290" s="25"/>
      <c r="B290" s="25"/>
    </row>
    <row r="291" spans="1:2" ht="15.75">
      <c r="A291" s="25"/>
      <c r="B291" s="25"/>
    </row>
    <row r="292" spans="1:2" ht="15.75">
      <c r="A292" s="25"/>
      <c r="B292" s="25"/>
    </row>
    <row r="293" spans="1:2" ht="15.75">
      <c r="A293" s="25"/>
      <c r="B293" s="25"/>
    </row>
    <row r="294" spans="1:2" ht="15.75">
      <c r="A294" s="25"/>
      <c r="B294" s="25"/>
    </row>
    <row r="295" spans="1:2" ht="15.75">
      <c r="A295" s="25"/>
      <c r="B295" s="25"/>
    </row>
    <row r="296" spans="1:2" ht="15.75">
      <c r="A296" s="25"/>
      <c r="B296" s="25"/>
    </row>
    <row r="297" spans="1:2" ht="15.75">
      <c r="A297" s="25"/>
      <c r="B297" s="25"/>
    </row>
    <row r="298" spans="1:2" ht="15.75">
      <c r="A298" s="25"/>
      <c r="B298" s="25"/>
    </row>
    <row r="299" spans="1:2" ht="15.75">
      <c r="A299" s="25"/>
      <c r="B299" s="25"/>
    </row>
    <row r="300" spans="1:2" ht="15.75">
      <c r="A300" s="25"/>
      <c r="B300" s="25"/>
    </row>
    <row r="301" spans="1:2" ht="15.75">
      <c r="A301" s="25"/>
      <c r="B301" s="25"/>
    </row>
    <row r="302" spans="1:2" ht="15.75">
      <c r="A302" s="25"/>
      <c r="B302" s="25"/>
    </row>
    <row r="303" spans="1:2" ht="15.75">
      <c r="A303" s="25"/>
      <c r="B303" s="25"/>
    </row>
    <row r="304" spans="1:2" ht="15.75">
      <c r="A304" s="25"/>
      <c r="B304" s="25"/>
    </row>
    <row r="305" spans="1:2" ht="15.75">
      <c r="A305" s="25"/>
      <c r="B305" s="25"/>
    </row>
    <row r="306" spans="1:2" ht="15.75">
      <c r="A306" s="25"/>
      <c r="B306" s="25"/>
    </row>
    <row r="307" spans="1:2" ht="15.75">
      <c r="A307" s="25"/>
      <c r="B307" s="25"/>
    </row>
    <row r="308" spans="1:2" ht="15.75">
      <c r="A308" s="25"/>
      <c r="B308" s="25"/>
    </row>
    <row r="309" spans="1:2" ht="15.75">
      <c r="A309" s="25"/>
      <c r="B309" s="25"/>
    </row>
    <row r="310" spans="1:2" ht="15.75">
      <c r="A310" s="25"/>
      <c r="B310" s="25"/>
    </row>
    <row r="311" spans="1:2" ht="15.75">
      <c r="A311" s="25"/>
      <c r="B311" s="25"/>
    </row>
    <row r="312" spans="1:2" ht="15.75">
      <c r="A312" s="25"/>
      <c r="B312" s="25"/>
    </row>
    <row r="313" spans="1:2" ht="15.75">
      <c r="A313" s="25"/>
      <c r="B313" s="25"/>
    </row>
    <row r="314" spans="1:2" ht="15.75">
      <c r="A314" s="25"/>
      <c r="B314" s="25"/>
    </row>
    <row r="315" spans="1:2" ht="15.75">
      <c r="A315" s="25"/>
      <c r="B315" s="25"/>
    </row>
    <row r="316" spans="1:2" ht="15.75">
      <c r="A316" s="25"/>
      <c r="B316" s="25"/>
    </row>
    <row r="317" spans="1:2" ht="15.75">
      <c r="A317" s="25"/>
      <c r="B317" s="25"/>
    </row>
    <row r="318" spans="1:2" ht="15.75">
      <c r="A318" s="25"/>
      <c r="B318" s="25"/>
    </row>
    <row r="319" spans="1:2" ht="15.75">
      <c r="A319" s="25"/>
      <c r="B319" s="25"/>
    </row>
    <row r="320" spans="1:2" ht="15.75">
      <c r="A320" s="25"/>
      <c r="B320" s="25"/>
    </row>
    <row r="321" spans="1:2" ht="15.75">
      <c r="A321" s="25"/>
      <c r="B321" s="25"/>
    </row>
    <row r="322" spans="1:2" ht="15.75">
      <c r="A322" s="25"/>
      <c r="B322" s="25"/>
    </row>
    <row r="323" spans="1:2" ht="15.75">
      <c r="A323" s="25"/>
      <c r="B323" s="25"/>
    </row>
    <row r="324" spans="1:2" ht="15.75">
      <c r="A324" s="25"/>
      <c r="B324" s="25"/>
    </row>
    <row r="325" spans="1:2" ht="15.75">
      <c r="A325" s="25"/>
      <c r="B325" s="25"/>
    </row>
    <row r="326" spans="1:2" ht="15.75">
      <c r="A326" s="25"/>
      <c r="B326" s="25"/>
    </row>
    <row r="327" spans="1:2" ht="15.75">
      <c r="A327" s="25"/>
      <c r="B327" s="25"/>
    </row>
    <row r="328" spans="1:2" ht="15.75">
      <c r="A328" s="25"/>
      <c r="B328" s="25"/>
    </row>
    <row r="329" spans="1:2" ht="15.75">
      <c r="A329" s="25"/>
      <c r="B329" s="25"/>
    </row>
    <row r="330" spans="1:2" ht="15.75">
      <c r="A330" s="25"/>
      <c r="B330" s="25"/>
    </row>
    <row r="331" spans="1:2" ht="15.75">
      <c r="A331" s="25"/>
      <c r="B331" s="25"/>
    </row>
    <row r="332" spans="1:2" ht="15.75">
      <c r="A332" s="25"/>
      <c r="B332" s="25"/>
    </row>
    <row r="333" spans="1:2" ht="15.75">
      <c r="A333" s="25"/>
      <c r="B333" s="25"/>
    </row>
    <row r="334" spans="1:2" ht="15.75">
      <c r="A334" s="25"/>
      <c r="B334" s="25"/>
    </row>
    <row r="335" spans="1:2" ht="15.75">
      <c r="A335" s="25"/>
      <c r="B335" s="25"/>
    </row>
    <row r="336" spans="1:2" ht="15.75">
      <c r="A336" s="25"/>
      <c r="B336" s="25"/>
    </row>
    <row r="337" spans="1:2" ht="15.75">
      <c r="A337" s="25"/>
      <c r="B337" s="25"/>
    </row>
    <row r="338" spans="1:2" ht="15.75">
      <c r="A338" s="25"/>
      <c r="B338" s="25"/>
    </row>
    <row r="339" spans="1:2" ht="15.75">
      <c r="A339" s="25"/>
      <c r="B339" s="25"/>
    </row>
    <row r="340" spans="1:2" ht="15.75">
      <c r="A340" s="25"/>
      <c r="B340" s="25"/>
    </row>
    <row r="341" spans="1:2" ht="15.75">
      <c r="A341" s="25"/>
      <c r="B341" s="25"/>
    </row>
    <row r="342" spans="1:2" ht="15.75">
      <c r="A342" s="25"/>
      <c r="B342" s="25"/>
    </row>
    <row r="343" spans="1:2" ht="15.75">
      <c r="A343" s="25"/>
      <c r="B343" s="25"/>
    </row>
    <row r="344" spans="1:2" ht="15.75">
      <c r="A344" s="25"/>
      <c r="B344" s="25"/>
    </row>
    <row r="345" spans="1:2" ht="15.75">
      <c r="A345" s="25"/>
      <c r="B345" s="25"/>
    </row>
    <row r="346" spans="1:2" ht="15.75">
      <c r="A346" s="25"/>
      <c r="B346" s="25"/>
    </row>
    <row r="347" spans="1:2" ht="15.75">
      <c r="A347" s="25"/>
      <c r="B347" s="25"/>
    </row>
    <row r="348" spans="1:2" ht="15.75">
      <c r="A348" s="25"/>
      <c r="B348" s="25"/>
    </row>
    <row r="349" spans="1:2" ht="15.75">
      <c r="A349" s="25"/>
      <c r="B349" s="25"/>
    </row>
    <row r="350" spans="1:2" ht="15.75">
      <c r="A350" s="25"/>
      <c r="B350" s="25"/>
    </row>
    <row r="351" spans="1:2" ht="15.75">
      <c r="A351" s="25"/>
      <c r="B351" s="25"/>
    </row>
    <row r="352" spans="1:2" ht="15.75">
      <c r="A352" s="25"/>
      <c r="B352" s="25"/>
    </row>
    <row r="353" spans="1:2" ht="15.75">
      <c r="A353" s="25"/>
      <c r="B353" s="25"/>
    </row>
    <row r="354" spans="1:2" ht="15.75">
      <c r="A354" s="25"/>
      <c r="B354" s="25"/>
    </row>
    <row r="355" spans="1:2" ht="15.75">
      <c r="A355" s="25"/>
      <c r="B355" s="25"/>
    </row>
    <row r="356" spans="1:2" ht="15.75">
      <c r="A356" s="25"/>
      <c r="B356" s="25"/>
    </row>
    <row r="357" spans="1:2" ht="15.75">
      <c r="A357" s="25"/>
      <c r="B357" s="25"/>
    </row>
    <row r="358" spans="1:2" ht="15.75">
      <c r="A358" s="25"/>
      <c r="B358" s="25"/>
    </row>
    <row r="359" spans="1:2" ht="15.75">
      <c r="A359" s="25"/>
      <c r="B359" s="25"/>
    </row>
    <row r="360" spans="1:2" ht="15.75">
      <c r="A360" s="25"/>
      <c r="B360" s="25"/>
    </row>
    <row r="361" spans="1:2" ht="15.75">
      <c r="A361" s="25"/>
      <c r="B361" s="25"/>
    </row>
    <row r="362" spans="1:2" ht="15.75">
      <c r="A362" s="25"/>
      <c r="B362" s="25"/>
    </row>
    <row r="363" spans="1:2" ht="15.75">
      <c r="A363" s="25"/>
      <c r="B363" s="25"/>
    </row>
    <row r="364" spans="1:2" ht="15.75">
      <c r="A364" s="25"/>
      <c r="B364" s="25"/>
    </row>
    <row r="365" spans="1:2" ht="15.75">
      <c r="A365" s="25"/>
      <c r="B365" s="25"/>
    </row>
    <row r="366" spans="1:2" ht="15.75">
      <c r="A366" s="25"/>
      <c r="B366" s="25"/>
    </row>
    <row r="367" spans="1:2" ht="15.75">
      <c r="A367" s="25"/>
      <c r="B367" s="25"/>
    </row>
    <row r="368" spans="1:2" ht="15.75">
      <c r="A368" s="25"/>
      <c r="B368" s="25"/>
    </row>
    <row r="369" spans="1:2" ht="15.75">
      <c r="A369" s="25"/>
      <c r="B369" s="25"/>
    </row>
    <row r="370" spans="1:2" ht="15.75">
      <c r="A370" s="25"/>
      <c r="B370" s="25"/>
    </row>
    <row r="371" spans="1:2" ht="15.75">
      <c r="A371" s="25"/>
      <c r="B371" s="25"/>
    </row>
    <row r="372" spans="1:2" ht="15.75">
      <c r="A372" s="25"/>
      <c r="B372" s="25"/>
    </row>
    <row r="373" spans="1:2" ht="15.75">
      <c r="A373" s="25"/>
      <c r="B373" s="25"/>
    </row>
    <row r="374" spans="1:2" ht="15.75">
      <c r="A374" s="25"/>
      <c r="B374" s="25"/>
    </row>
    <row r="375" spans="1:2" ht="15.75">
      <c r="A375" s="25"/>
      <c r="B375" s="25"/>
    </row>
    <row r="376" spans="1:2" ht="15.75">
      <c r="A376" s="25"/>
      <c r="B376" s="25"/>
    </row>
    <row r="377" spans="1:2" ht="15.75">
      <c r="A377" s="25"/>
      <c r="B377" s="25"/>
    </row>
    <row r="378" spans="1:2" ht="15.75">
      <c r="A378" s="25"/>
      <c r="B378" s="25"/>
    </row>
    <row r="379" spans="1:2" ht="15.75">
      <c r="A379" s="25"/>
      <c r="B379" s="25"/>
    </row>
    <row r="380" spans="1:2" ht="15.75">
      <c r="A380" s="25"/>
      <c r="B380" s="25"/>
    </row>
    <row r="381" spans="1:2" ht="15.75">
      <c r="A381" s="25"/>
      <c r="B381" s="25"/>
    </row>
    <row r="382" spans="1:2" ht="15.75">
      <c r="A382" s="25"/>
      <c r="B382" s="25"/>
    </row>
    <row r="383" spans="1:2" ht="15.75">
      <c r="A383" s="25"/>
      <c r="B383" s="25"/>
    </row>
    <row r="384" spans="1:2" ht="15.75">
      <c r="A384" s="25"/>
      <c r="B384" s="25"/>
    </row>
    <row r="385" spans="1:2" ht="15.75">
      <c r="A385" s="25"/>
      <c r="B385" s="25"/>
    </row>
    <row r="386" spans="1:2" ht="15.75">
      <c r="A386" s="25"/>
      <c r="B386" s="25"/>
    </row>
    <row r="387" spans="1:2" ht="15.75">
      <c r="A387" s="25"/>
      <c r="B387" s="25"/>
    </row>
    <row r="388" spans="1:2" ht="15.75">
      <c r="A388" s="25"/>
      <c r="B388" s="25"/>
    </row>
    <row r="389" spans="1:2" ht="15.75">
      <c r="A389" s="25"/>
      <c r="B389" s="25"/>
    </row>
    <row r="390" spans="1:2" ht="15.75">
      <c r="A390" s="25"/>
      <c r="B390" s="25"/>
    </row>
    <row r="391" spans="1:2" ht="15.75">
      <c r="A391" s="25"/>
      <c r="B391" s="25"/>
    </row>
    <row r="392" spans="1:2" ht="15.75">
      <c r="A392" s="25"/>
      <c r="B392" s="25"/>
    </row>
    <row r="393" spans="1:2" ht="15.75">
      <c r="A393" s="25"/>
      <c r="B393" s="25"/>
    </row>
    <row r="394" spans="1:2" ht="15.75">
      <c r="A394" s="25"/>
      <c r="B394" s="25"/>
    </row>
    <row r="395" spans="1:2" ht="15.75">
      <c r="A395" s="25"/>
      <c r="B395" s="25"/>
    </row>
    <row r="396" spans="1:2" ht="15.75">
      <c r="A396" s="25"/>
      <c r="B396" s="25"/>
    </row>
    <row r="397" spans="1:2" ht="15.75">
      <c r="A397" s="25"/>
      <c r="B397" s="25"/>
    </row>
    <row r="398" spans="1:2" ht="15.75">
      <c r="A398" s="25"/>
      <c r="B398" s="25"/>
    </row>
    <row r="399" spans="1:2" ht="15.75">
      <c r="A399" s="25"/>
      <c r="B399" s="25"/>
    </row>
    <row r="400" spans="1:2" ht="15.75">
      <c r="A400" s="25"/>
      <c r="B400" s="25"/>
    </row>
    <row r="401" spans="1:2" ht="15.75">
      <c r="A401" s="25"/>
      <c r="B401" s="25"/>
    </row>
    <row r="402" spans="1:2" ht="15.75">
      <c r="A402" s="25"/>
      <c r="B402" s="25"/>
    </row>
    <row r="403" spans="1:2" ht="15.75">
      <c r="A403" s="25"/>
      <c r="B403" s="25"/>
    </row>
    <row r="404" spans="1:2" ht="15.75">
      <c r="A404" s="25"/>
      <c r="B404" s="25"/>
    </row>
    <row r="405" spans="1:2" ht="15.75">
      <c r="A405" s="25"/>
      <c r="B405" s="25"/>
    </row>
    <row r="406" spans="1:2" ht="15.75">
      <c r="A406" s="25"/>
      <c r="B406" s="25"/>
    </row>
    <row r="407" spans="1:2" ht="15.75">
      <c r="A407" s="25"/>
      <c r="B407" s="25"/>
    </row>
    <row r="408" spans="1:2" ht="15.75">
      <c r="A408" s="25"/>
      <c r="B408" s="25"/>
    </row>
    <row r="409" spans="1:2" ht="15.75">
      <c r="A409" s="25"/>
      <c r="B409" s="25"/>
    </row>
    <row r="410" spans="1:2" ht="15.75">
      <c r="A410" s="25"/>
      <c r="B410" s="25"/>
    </row>
    <row r="411" spans="1:2" ht="15.75">
      <c r="A411" s="25"/>
      <c r="B411" s="25"/>
    </row>
    <row r="412" spans="1:2" ht="15.75">
      <c r="A412" s="25"/>
      <c r="B412" s="25"/>
    </row>
    <row r="413" spans="1:2" ht="15.75">
      <c r="A413" s="25"/>
      <c r="B413" s="25"/>
    </row>
    <row r="414" spans="1:2" ht="15.75">
      <c r="A414" s="25"/>
      <c r="B414" s="25"/>
    </row>
    <row r="415" spans="1:2" ht="15.75">
      <c r="A415" s="25"/>
      <c r="B415" s="25"/>
    </row>
    <row r="416" spans="1:2" ht="15.75">
      <c r="A416" s="25"/>
      <c r="B416" s="25"/>
    </row>
    <row r="417" spans="1:2" ht="15.75">
      <c r="A417" s="25"/>
      <c r="B417" s="25"/>
    </row>
    <row r="418" spans="1:2" ht="15.75">
      <c r="A418" s="25"/>
      <c r="B418" s="25"/>
    </row>
    <row r="419" spans="1:2" ht="15.75">
      <c r="A419" s="25"/>
      <c r="B419" s="25"/>
    </row>
    <row r="420" spans="1:2" ht="15.75">
      <c r="A420" s="25"/>
      <c r="B420" s="25"/>
    </row>
    <row r="421" spans="1:2" ht="15.75">
      <c r="A421" s="25"/>
      <c r="B421" s="25"/>
    </row>
    <row r="422" spans="1:2" ht="15.75">
      <c r="A422" s="25"/>
      <c r="B422" s="25"/>
    </row>
    <row r="423" spans="1:2" ht="15.75">
      <c r="A423" s="25"/>
      <c r="B423" s="25"/>
    </row>
    <row r="424" spans="1:2" ht="15.75">
      <c r="A424" s="25"/>
      <c r="B424" s="25"/>
    </row>
    <row r="425" spans="1:2" ht="15.75">
      <c r="A425" s="25"/>
      <c r="B425" s="25"/>
    </row>
    <row r="426" spans="1:2" ht="15.75">
      <c r="A426" s="25"/>
      <c r="B426" s="25"/>
    </row>
    <row r="427" spans="1:2" ht="15.75">
      <c r="A427" s="25"/>
      <c r="B427" s="25"/>
    </row>
    <row r="428" spans="1:2" ht="15.75">
      <c r="A428" s="25"/>
      <c r="B428" s="25"/>
    </row>
    <row r="429" spans="1:2" ht="15.75">
      <c r="A429" s="25"/>
      <c r="B429" s="25"/>
    </row>
    <row r="430" spans="1:2" ht="15.75">
      <c r="A430" s="25"/>
      <c r="B430" s="25"/>
    </row>
    <row r="431" spans="1:2" ht="15.75">
      <c r="A431" s="25"/>
      <c r="B431" s="25"/>
    </row>
    <row r="432" spans="1:2" ht="15.75">
      <c r="A432" s="25"/>
      <c r="B432" s="25"/>
    </row>
    <row r="433" spans="1:2" ht="15.75">
      <c r="A433" s="25"/>
      <c r="B433" s="25"/>
    </row>
    <row r="434" spans="1:2" ht="15.75">
      <c r="A434" s="25"/>
      <c r="B434" s="25"/>
    </row>
    <row r="435" spans="1:2" ht="15.75">
      <c r="A435" s="25"/>
      <c r="B435" s="25"/>
    </row>
    <row r="436" spans="1:2" ht="15.75">
      <c r="A436" s="25"/>
      <c r="B436" s="25"/>
    </row>
    <row r="437" spans="1:2" ht="15.75">
      <c r="A437" s="25"/>
      <c r="B437" s="25"/>
    </row>
    <row r="438" spans="1:2" ht="15.75">
      <c r="A438" s="25"/>
      <c r="B438" s="25"/>
    </row>
    <row r="439" spans="1:2" ht="15.75">
      <c r="A439" s="25"/>
      <c r="B439" s="25"/>
    </row>
    <row r="440" spans="1:2" ht="15.75">
      <c r="A440" s="25"/>
      <c r="B440" s="25"/>
    </row>
    <row r="441" spans="1:2" ht="15.75">
      <c r="A441" s="25"/>
      <c r="B441" s="25"/>
    </row>
    <row r="442" spans="1:2" ht="15.75">
      <c r="A442" s="25"/>
      <c r="B442" s="25"/>
    </row>
    <row r="443" spans="1:2" ht="15.75">
      <c r="A443" s="25"/>
      <c r="B443" s="25"/>
    </row>
    <row r="444" spans="1:2" ht="15.75">
      <c r="A444" s="25"/>
      <c r="B444" s="25"/>
    </row>
    <row r="445" spans="1:2" ht="15.75">
      <c r="A445" s="25"/>
      <c r="B445" s="25"/>
    </row>
    <row r="446" spans="1:2" ht="15.75">
      <c r="A446" s="25"/>
      <c r="B446" s="25"/>
    </row>
    <row r="447" spans="1:2" ht="15.75">
      <c r="A447" s="25"/>
      <c r="B447" s="25"/>
    </row>
    <row r="448" spans="1:2" ht="15.75">
      <c r="A448" s="25"/>
      <c r="B448" s="25"/>
    </row>
    <row r="449" spans="1:2" ht="15.75">
      <c r="A449" s="25"/>
      <c r="B449" s="25"/>
    </row>
    <row r="450" spans="1:2" ht="15.75">
      <c r="A450" s="25"/>
      <c r="B450" s="25"/>
    </row>
    <row r="451" spans="1:2" ht="15.75">
      <c r="A451" s="25"/>
      <c r="B451" s="25"/>
    </row>
    <row r="452" spans="1:2" ht="15.75">
      <c r="A452" s="25"/>
      <c r="B452" s="25"/>
    </row>
    <row r="453" spans="1:2" ht="15.75">
      <c r="A453" s="25"/>
      <c r="B453" s="25"/>
    </row>
    <row r="454" spans="1:2" ht="15.75">
      <c r="A454" s="25"/>
      <c r="B454" s="25"/>
    </row>
    <row r="455" spans="1:2" ht="15.75">
      <c r="A455" s="25"/>
      <c r="B455" s="25"/>
    </row>
    <row r="456" spans="1:2" ht="15.75">
      <c r="A456" s="25"/>
      <c r="B456" s="25"/>
    </row>
    <row r="457" spans="1:2" ht="15.75">
      <c r="A457" s="25"/>
      <c r="B457" s="25"/>
    </row>
    <row r="458" spans="1:2" ht="15.75">
      <c r="A458" s="25"/>
      <c r="B458" s="25"/>
    </row>
    <row r="459" spans="1:2" ht="15.75">
      <c r="A459" s="25"/>
      <c r="B459" s="25"/>
    </row>
    <row r="460" spans="1:2" ht="15.75">
      <c r="A460" s="25"/>
      <c r="B460" s="25"/>
    </row>
    <row r="461" spans="1:2" ht="15.75">
      <c r="A461" s="25"/>
      <c r="B461" s="25"/>
    </row>
    <row r="462" spans="1:2" ht="15.75">
      <c r="A462" s="25"/>
      <c r="B462" s="25"/>
    </row>
    <row r="463" spans="1:2" ht="15.75">
      <c r="A463" s="25"/>
      <c r="B463" s="25"/>
    </row>
    <row r="464" spans="1:2" ht="15.75">
      <c r="A464" s="25"/>
      <c r="B464" s="25"/>
    </row>
    <row r="465" spans="1:2" ht="15.75">
      <c r="A465" s="25"/>
      <c r="B465" s="25"/>
    </row>
    <row r="466" spans="1:2" ht="15.75">
      <c r="A466" s="25"/>
      <c r="B466" s="25"/>
    </row>
    <row r="467" spans="1:2" ht="15.75">
      <c r="A467" s="25"/>
      <c r="B467" s="25"/>
    </row>
    <row r="468" spans="1:2" ht="15.75">
      <c r="A468" s="25"/>
      <c r="B468" s="25"/>
    </row>
    <row r="469" spans="1:2" ht="15.75">
      <c r="A469" s="25"/>
      <c r="B469" s="25"/>
    </row>
    <row r="470" spans="1:2" ht="15.75">
      <c r="A470" s="25"/>
      <c r="B470" s="25"/>
    </row>
    <row r="471" spans="1:2" ht="15.75">
      <c r="A471" s="25"/>
      <c r="B471" s="25"/>
    </row>
    <row r="472" spans="1:2" ht="15.75">
      <c r="A472" s="25"/>
      <c r="B472" s="25"/>
    </row>
    <row r="473" spans="1:2" ht="15.75">
      <c r="A473" s="25"/>
      <c r="B473" s="25"/>
    </row>
    <row r="474" spans="1:2" ht="15.75">
      <c r="A474" s="25"/>
      <c r="B474" s="25"/>
    </row>
    <row r="475" spans="1:2" ht="15.75">
      <c r="A475" s="25"/>
      <c r="B475" s="25"/>
    </row>
    <row r="476" spans="1:2" ht="15.75">
      <c r="A476" s="25"/>
      <c r="B476" s="25"/>
    </row>
    <row r="477" spans="1:2" ht="15.75">
      <c r="A477" s="25"/>
      <c r="B477" s="25"/>
    </row>
    <row r="478" spans="1:2" ht="15.75">
      <c r="A478" s="25"/>
      <c r="B478" s="25"/>
    </row>
    <row r="479" spans="1:2" ht="15.75">
      <c r="A479" s="25"/>
      <c r="B479" s="25"/>
    </row>
    <row r="480" spans="1:2" ht="15.75">
      <c r="A480" s="25"/>
      <c r="B480" s="25"/>
    </row>
    <row r="481" spans="1:2" ht="15.75">
      <c r="A481" s="25"/>
      <c r="B481" s="25"/>
    </row>
    <row r="482" spans="1:2" ht="15.75">
      <c r="A482" s="25"/>
      <c r="B482" s="25"/>
    </row>
    <row r="483" spans="1:2" ht="15.75">
      <c r="A483" s="25"/>
      <c r="B483" s="25"/>
    </row>
    <row r="484" spans="1:2" ht="15.75">
      <c r="A484" s="25"/>
      <c r="B484" s="25"/>
    </row>
    <row r="485" spans="1:2" ht="15.75">
      <c r="A485" s="25"/>
      <c r="B485" s="25"/>
    </row>
    <row r="486" spans="1:2" ht="15.75">
      <c r="A486" s="25"/>
      <c r="B486" s="25"/>
    </row>
    <row r="487" spans="1:2" ht="15.75">
      <c r="A487" s="25"/>
      <c r="B487" s="25"/>
    </row>
    <row r="488" spans="1:2" ht="15.75">
      <c r="A488" s="25"/>
      <c r="B488" s="25"/>
    </row>
    <row r="489" spans="1:2" ht="15.75">
      <c r="A489" s="25"/>
      <c r="B489" s="25"/>
    </row>
    <row r="490" spans="1:2" ht="15.75">
      <c r="A490" s="25"/>
      <c r="B490" s="25"/>
    </row>
    <row r="491" spans="1:2" ht="15.75">
      <c r="A491" s="25"/>
      <c r="B491" s="25"/>
    </row>
    <row r="492" spans="1:2" ht="15.75">
      <c r="A492" s="25"/>
      <c r="B492" s="25"/>
    </row>
    <row r="493" spans="1:2" ht="15.75">
      <c r="A493" s="25"/>
      <c r="B493" s="25"/>
    </row>
    <row r="494" spans="1:2" ht="15.75">
      <c r="A494" s="25"/>
      <c r="B494" s="25"/>
    </row>
    <row r="495" spans="1:2" ht="15.75">
      <c r="A495" s="25"/>
      <c r="B495" s="25"/>
    </row>
    <row r="496" spans="1:2" ht="15.75">
      <c r="A496" s="25"/>
      <c r="B496" s="25"/>
    </row>
    <row r="497" spans="1:2" ht="15.75">
      <c r="A497" s="25"/>
      <c r="B497" s="25"/>
    </row>
    <row r="498" spans="1:2" ht="15.75">
      <c r="A498" s="25"/>
      <c r="B498" s="25"/>
    </row>
    <row r="499" spans="1:2" ht="15.75">
      <c r="A499" s="25"/>
      <c r="B499" s="25"/>
    </row>
    <row r="500" spans="1:2" ht="15.75">
      <c r="A500" s="25"/>
      <c r="B500" s="25"/>
    </row>
    <row r="501" spans="1:2" ht="15.75">
      <c r="A501" s="25"/>
      <c r="B501" s="25"/>
    </row>
    <row r="502" spans="1:2" ht="15.75">
      <c r="A502" s="25"/>
      <c r="B502" s="25"/>
    </row>
    <row r="503" spans="1:2" ht="15.75">
      <c r="A503" s="25"/>
      <c r="B503" s="25"/>
    </row>
    <row r="504" spans="1:2" ht="15.75">
      <c r="A504" s="25"/>
      <c r="B504" s="25"/>
    </row>
    <row r="505" spans="1:2" ht="15.75">
      <c r="A505" s="25"/>
      <c r="B505" s="25"/>
    </row>
    <row r="506" spans="1:2" ht="15.75">
      <c r="A506" s="25"/>
      <c r="B506" s="25"/>
    </row>
    <row r="507" spans="1:2" ht="15.75">
      <c r="A507" s="25"/>
      <c r="B507" s="25"/>
    </row>
    <row r="508" spans="1:2" ht="15.75">
      <c r="A508" s="25"/>
      <c r="B508" s="25"/>
    </row>
    <row r="509" spans="1:2" ht="15.75">
      <c r="A509" s="25"/>
      <c r="B509" s="25"/>
    </row>
    <row r="510" spans="1:2" ht="15.75">
      <c r="A510" s="25"/>
      <c r="B510" s="25"/>
    </row>
    <row r="511" spans="1:2" ht="15.75">
      <c r="A511" s="25"/>
      <c r="B511" s="25"/>
    </row>
    <row r="512" spans="1:2" ht="15.75">
      <c r="A512" s="25"/>
      <c r="B512" s="25"/>
    </row>
    <row r="513" spans="1:2" ht="15.75">
      <c r="A513" s="25"/>
      <c r="B513" s="25"/>
    </row>
    <row r="514" spans="1:2" ht="15.75">
      <c r="A514" s="25"/>
      <c r="B514" s="25"/>
    </row>
    <row r="515" spans="1:2" ht="15.75">
      <c r="A515" s="25"/>
      <c r="B515" s="25"/>
    </row>
    <row r="516" spans="1:2" ht="15.75">
      <c r="A516" s="25"/>
      <c r="B516" s="25"/>
    </row>
    <row r="517" spans="1:2" ht="15.75">
      <c r="A517" s="25"/>
      <c r="B517" s="25"/>
    </row>
    <row r="518" spans="1:2" ht="15.75">
      <c r="A518" s="25"/>
      <c r="B518" s="25"/>
    </row>
    <row r="519" spans="1:2" ht="15.75">
      <c r="A519" s="25"/>
      <c r="B519" s="25"/>
    </row>
    <row r="520" spans="1:2" ht="15.75">
      <c r="A520" s="25"/>
      <c r="B520" s="2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SC-HR</vt:lpstr>
      <vt:lpstr>Investigation</vt:lpstr>
      <vt:lpstr>inputdataforPEMCAFE</vt:lpstr>
      <vt:lpstr>Llayer-roots</vt:lpstr>
      <vt:lpstr>Litterfall-LNP</vt:lpstr>
      <vt:lpstr>Sheet5</vt:lpstr>
      <vt:lpstr>Sheet4</vt:lpstr>
      <vt:lpstr>Task A_Table S1</vt:lpstr>
      <vt:lpstr>SoilR+Temp</vt:lpstr>
      <vt:lpstr>'Litterfall-LNP'!Print_Area</vt:lpstr>
      <vt:lpstr>'Llayer-roots'!Print_Area</vt:lpstr>
      <vt:lpstr>'SC-HR'!Print_Area</vt:lpstr>
      <vt:lpstr>'Task A_Table S1'!Print_Area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Shitephen</dc:creator>
  <cp:lastModifiedBy>Shitephen</cp:lastModifiedBy>
  <dcterms:created xsi:type="dcterms:W3CDTF">2024-08-02T05:44:23Z</dcterms:created>
  <dcterms:modified xsi:type="dcterms:W3CDTF">2024-09-04T13:07:40Z</dcterms:modified>
</cp:coreProperties>
</file>