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Submitted jurnal articles\學論重寫 (preparing)\Tables and Figures\Tables and Figures (R1)\"/>
    </mc:Choice>
  </mc:AlternateContent>
  <bookViews>
    <workbookView xWindow="0" yWindow="0" windowWidth="19560" windowHeight="8190"/>
  </bookViews>
  <sheets>
    <sheet name="Table S1" sheetId="2"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4" i="2" l="1"/>
  <c r="BM4" i="2"/>
  <c r="BN4" i="2"/>
  <c r="BO4" i="2"/>
  <c r="BQ4" i="2"/>
  <c r="BR4" i="2"/>
  <c r="BT4" i="2"/>
  <c r="BP4" i="2" s="1"/>
  <c r="O5" i="2"/>
  <c r="BM5" i="2"/>
  <c r="BO5" i="2" s="1"/>
  <c r="BN5" i="2"/>
  <c r="BQ5" i="2"/>
  <c r="BT5" i="2" s="1"/>
  <c r="BR5" i="2"/>
  <c r="O6" i="2"/>
  <c r="AP6" i="2"/>
  <c r="AS6" i="2"/>
  <c r="AT6" i="2"/>
  <c r="AU6" i="2"/>
  <c r="BO6" i="2"/>
  <c r="BT6" i="2"/>
  <c r="BU6" i="2" s="1"/>
  <c r="CB6" i="2"/>
  <c r="CC6" i="2"/>
  <c r="CD6" i="2"/>
  <c r="O7" i="2"/>
  <c r="BM7" i="2"/>
  <c r="BN7" i="2"/>
  <c r="BO7" i="2"/>
  <c r="BQ7" i="2"/>
  <c r="BR7" i="2"/>
  <c r="BT7" i="2"/>
  <c r="BP7" i="2" s="1"/>
  <c r="O8" i="2"/>
  <c r="AW8" i="2"/>
  <c r="AY8" i="2" s="1"/>
  <c r="BL8" i="2"/>
  <c r="BM8" i="2"/>
  <c r="BN8" i="2"/>
  <c r="BO8" i="2" s="1"/>
  <c r="BQ8" i="2"/>
  <c r="BS8" i="2"/>
  <c r="BT8" i="2" s="1"/>
  <c r="O9" i="2"/>
  <c r="R9" i="2"/>
  <c r="AW9" i="2"/>
  <c r="AY9" i="2" s="1"/>
  <c r="BL9" i="2"/>
  <c r="BM9" i="2"/>
  <c r="BO9" i="2" s="1"/>
  <c r="BN9" i="2"/>
  <c r="BQ9" i="2"/>
  <c r="BT9" i="2" s="1"/>
  <c r="BR9" i="2"/>
  <c r="BS9" i="2"/>
  <c r="BZ9" i="2"/>
  <c r="CA9" i="2"/>
  <c r="CB9" i="2"/>
  <c r="CD9" i="2"/>
  <c r="CE9" i="2"/>
  <c r="CF9" i="2"/>
  <c r="CG9" i="2"/>
  <c r="CH9" i="2"/>
  <c r="CI9" i="2" s="1"/>
  <c r="O10" i="2"/>
  <c r="AW10" i="2"/>
  <c r="AY10" i="2"/>
  <c r="BL10" i="2"/>
  <c r="BM10" i="2"/>
  <c r="BN10" i="2"/>
  <c r="BO10" i="2"/>
  <c r="BQ10" i="2"/>
  <c r="BS10" i="2"/>
  <c r="BT10" i="2"/>
  <c r="BP10" i="2" s="1"/>
  <c r="O11" i="2"/>
  <c r="AW11" i="2"/>
  <c r="AY11" i="2"/>
  <c r="BL11" i="2"/>
  <c r="BM11" i="2"/>
  <c r="BN11" i="2"/>
  <c r="BO11" i="2"/>
  <c r="BQ11" i="2"/>
  <c r="BS11" i="2"/>
  <c r="BT11" i="2"/>
  <c r="BP11" i="2" s="1"/>
  <c r="O12" i="2"/>
  <c r="P12" i="2"/>
  <c r="BJ12" i="2"/>
  <c r="BK12" i="2"/>
  <c r="BO12" i="2"/>
  <c r="BQ12" i="2"/>
  <c r="CC12" i="2"/>
  <c r="O13" i="2"/>
  <c r="P13" i="2"/>
  <c r="BJ13" i="2"/>
  <c r="BK13" i="2"/>
  <c r="BO13" i="2"/>
  <c r="BQ13" i="2"/>
  <c r="CC13" i="2"/>
  <c r="O14" i="2"/>
  <c r="P14" i="2"/>
  <c r="BJ14" i="2"/>
  <c r="BK14" i="2"/>
  <c r="BO14" i="2"/>
  <c r="BP14" i="2" s="1"/>
  <c r="BQ14" i="2"/>
  <c r="CC14" i="2"/>
  <c r="O15" i="2"/>
  <c r="P15" i="2"/>
  <c r="AB15" i="2"/>
  <c r="BY15" i="2"/>
  <c r="CD15" i="2"/>
  <c r="CH15" i="2"/>
  <c r="CI15" i="2" s="1"/>
  <c r="CL15" i="2" s="1"/>
  <c r="CJ15" i="2"/>
  <c r="CK15" i="2"/>
  <c r="N16" i="2"/>
  <c r="AY16" i="2"/>
  <c r="BO16" i="2"/>
  <c r="N17" i="2"/>
  <c r="O17" i="2" s="1"/>
  <c r="P17" i="2"/>
  <c r="BO17" i="2"/>
  <c r="BP17" i="2" s="1"/>
  <c r="BT17" i="2"/>
  <c r="BU17" i="2" s="1"/>
  <c r="N18" i="2"/>
  <c r="O18" i="2" s="1"/>
  <c r="P18" i="2"/>
  <c r="BO18" i="2"/>
  <c r="BP18" i="2"/>
  <c r="BT18" i="2"/>
  <c r="BU18" i="2" s="1"/>
  <c r="N19" i="2"/>
  <c r="O19" i="2"/>
  <c r="P19" i="2"/>
  <c r="BO19" i="2"/>
  <c r="BT19" i="2"/>
  <c r="BU19" i="2" s="1"/>
  <c r="N20" i="2"/>
  <c r="O20" i="2" s="1"/>
  <c r="P20" i="2"/>
  <c r="BO20" i="2"/>
  <c r="BP20" i="2" s="1"/>
  <c r="BT20" i="2"/>
  <c r="BU20" i="2"/>
  <c r="N21" i="2"/>
  <c r="O21" i="2" s="1"/>
  <c r="AW21" i="2"/>
  <c r="AY21" i="2"/>
  <c r="AY22" i="2"/>
  <c r="AY23" i="2"/>
  <c r="AY24" i="2"/>
  <c r="O25" i="2"/>
  <c r="R25" i="2"/>
  <c r="AV25" i="2"/>
  <c r="AW25" i="2"/>
  <c r="AY25" i="2"/>
  <c r="BO25" i="2"/>
  <c r="O26" i="2"/>
  <c r="BU26" i="2"/>
  <c r="BY26" i="2"/>
  <c r="CL26" i="2"/>
  <c r="O27" i="2"/>
  <c r="BU27" i="2"/>
  <c r="BY27" i="2"/>
  <c r="CL27" i="2"/>
  <c r="O28" i="2"/>
  <c r="BU28" i="2"/>
  <c r="BY28" i="2"/>
  <c r="CL28" i="2"/>
  <c r="O29" i="2"/>
  <c r="BU29" i="2"/>
  <c r="BY29" i="2"/>
  <c r="CL29" i="2"/>
  <c r="O30" i="2"/>
  <c r="BL30" i="2"/>
  <c r="BM30" i="2"/>
  <c r="BO30" i="2" s="1"/>
  <c r="BN30" i="2"/>
  <c r="BQ30" i="2"/>
  <c r="BT30" i="2" s="1"/>
  <c r="BR30" i="2"/>
  <c r="BS30" i="2"/>
  <c r="CD30" i="2"/>
  <c r="O31" i="2"/>
  <c r="BL31" i="2"/>
  <c r="BM31" i="2"/>
  <c r="BO31" i="2" s="1"/>
  <c r="BN31" i="2"/>
  <c r="BQ31" i="2"/>
  <c r="BR31" i="2"/>
  <c r="BT31" i="2" s="1"/>
  <c r="BS31" i="2"/>
  <c r="CD31" i="2"/>
  <c r="O32" i="2"/>
  <c r="AC32" i="2"/>
  <c r="AY32" i="2"/>
  <c r="BL32" i="2"/>
  <c r="BO32" i="2" s="1"/>
  <c r="BM32" i="2"/>
  <c r="BN32" i="2"/>
  <c r="BQ32" i="2"/>
  <c r="BT32" i="2" s="1"/>
  <c r="BR32" i="2"/>
  <c r="CC32" i="2"/>
  <c r="O33" i="2"/>
  <c r="AC33" i="2"/>
  <c r="AY33" i="2"/>
  <c r="BL33" i="2"/>
  <c r="BM33" i="2"/>
  <c r="BN33" i="2"/>
  <c r="BO33" i="2"/>
  <c r="BQ33" i="2"/>
  <c r="BR33" i="2"/>
  <c r="BT33" i="2"/>
  <c r="BP33" i="2" s="1"/>
  <c r="CC33" i="2"/>
  <c r="O34" i="2"/>
  <c r="AC34" i="2"/>
  <c r="AY34" i="2"/>
  <c r="BL34" i="2"/>
  <c r="BM34" i="2"/>
  <c r="BN34" i="2"/>
  <c r="BO34" i="2" s="1"/>
  <c r="BQ34" i="2"/>
  <c r="BR34" i="2"/>
  <c r="BT34" i="2" s="1"/>
  <c r="CC34" i="2"/>
  <c r="R35" i="2"/>
  <c r="AV35" i="2"/>
  <c r="AW35" i="2" s="1"/>
  <c r="AY35" i="2" s="1"/>
  <c r="BO35" i="2"/>
  <c r="O36" i="2"/>
  <c r="AW36" i="2"/>
  <c r="AY36" i="2"/>
  <c r="BO36" i="2"/>
  <c r="BQ36" i="2"/>
  <c r="BR36" i="2"/>
  <c r="BT36" i="2" s="1"/>
  <c r="BS36" i="2"/>
  <c r="AY37" i="2"/>
  <c r="BO37" i="2"/>
  <c r="BP37" i="2" s="1"/>
  <c r="BT37" i="2"/>
  <c r="BU37" i="2"/>
  <c r="BY37" i="2" s="1"/>
  <c r="AY38" i="2"/>
  <c r="BO38" i="2"/>
  <c r="BP38" i="2"/>
  <c r="BT38" i="2"/>
  <c r="BU38" i="2" s="1"/>
  <c r="BY38" i="2" s="1"/>
  <c r="AY39" i="2"/>
  <c r="BO39" i="2"/>
  <c r="BP39" i="2" s="1"/>
  <c r="BT39" i="2"/>
  <c r="BU39" i="2"/>
  <c r="BY39" i="2" s="1"/>
  <c r="O40" i="2"/>
  <c r="AV40" i="2"/>
  <c r="AW40" i="2"/>
  <c r="AY40" i="2" s="1"/>
  <c r="BO40" i="2"/>
  <c r="CC40" i="2"/>
  <c r="BO41" i="2"/>
  <c r="BO42" i="2"/>
  <c r="CC42" i="2"/>
  <c r="O43" i="2"/>
  <c r="R43" i="2"/>
  <c r="AV43" i="2"/>
  <c r="AW43" i="2"/>
  <c r="AX43" i="2"/>
  <c r="AY43" i="2"/>
  <c r="BM43" i="2"/>
  <c r="BO43" i="2" s="1"/>
  <c r="BN43" i="2"/>
  <c r="CA43" i="2"/>
  <c r="CD43" i="2" s="1"/>
  <c r="CB43" i="2"/>
  <c r="O44" i="2"/>
  <c r="AV44" i="2"/>
  <c r="BM44" i="2"/>
  <c r="BO44" i="2" s="1"/>
  <c r="BN44" i="2"/>
  <c r="CA44" i="2"/>
  <c r="CD44" i="2" s="1"/>
  <c r="CB44" i="2"/>
  <c r="O45" i="2"/>
  <c r="R45" i="2"/>
  <c r="AV45" i="2"/>
  <c r="AW45" i="2"/>
  <c r="AX45" i="2"/>
  <c r="AY45" i="2"/>
  <c r="BM45" i="2"/>
  <c r="BO45" i="2" s="1"/>
  <c r="BN45" i="2"/>
  <c r="CA45" i="2"/>
  <c r="CD45" i="2" s="1"/>
  <c r="CB45" i="2"/>
  <c r="O46" i="2"/>
  <c r="AV46" i="2"/>
  <c r="AW46" i="2"/>
  <c r="AY46" i="2"/>
  <c r="BO46" i="2"/>
  <c r="O47" i="2"/>
  <c r="AV47" i="2"/>
  <c r="AW47" i="2"/>
  <c r="AY47" i="2"/>
  <c r="BO47" i="2"/>
  <c r="BL48" i="2"/>
  <c r="BM48" i="2"/>
  <c r="BN48" i="2"/>
  <c r="BO48" i="2"/>
  <c r="BZ48" i="2"/>
  <c r="CA48" i="2"/>
  <c r="CB48" i="2"/>
  <c r="CC48" i="2"/>
  <c r="CD48" i="2"/>
  <c r="AV49" i="2"/>
  <c r="AW49" i="2"/>
  <c r="AY49" i="2"/>
  <c r="BN49" i="2"/>
  <c r="AY50" i="2"/>
  <c r="BM50" i="2"/>
  <c r="BN50" i="2"/>
  <c r="BO50" i="2"/>
  <c r="AV52" i="2"/>
  <c r="AW52" i="2"/>
  <c r="AX52" i="2"/>
  <c r="AY52" i="2"/>
  <c r="BL52" i="2"/>
  <c r="BM52" i="2"/>
  <c r="BN52" i="2"/>
  <c r="BO52" i="2" s="1"/>
  <c r="BZ52" i="2"/>
  <c r="CA52" i="2"/>
  <c r="CB52" i="2"/>
  <c r="CD52" i="2" s="1"/>
  <c r="CI52" i="2" s="1"/>
  <c r="CC52" i="2"/>
  <c r="CE52" i="2"/>
  <c r="CF52" i="2"/>
  <c r="CH52" i="2" s="1"/>
  <c r="BL53" i="2"/>
  <c r="BM53" i="2"/>
  <c r="BO53" i="2" s="1"/>
  <c r="BN53" i="2"/>
  <c r="BZ53" i="2"/>
  <c r="CA53" i="2"/>
  <c r="CB53" i="2"/>
  <c r="CC53" i="2"/>
  <c r="CD53" i="2"/>
  <c r="AV54" i="2"/>
  <c r="AW54" i="2"/>
  <c r="AY54" i="2"/>
  <c r="BN54" i="2"/>
  <c r="AV55" i="2"/>
  <c r="AW55" i="2"/>
  <c r="BN55" i="2"/>
  <c r="BL56" i="2"/>
  <c r="BM56" i="2"/>
  <c r="BO56" i="2" s="1"/>
  <c r="BN56" i="2"/>
  <c r="BM57" i="2"/>
  <c r="BZ57" i="2"/>
  <c r="CA57" i="2"/>
  <c r="CB57" i="2"/>
  <c r="CC57" i="2"/>
  <c r="CD57" i="2"/>
  <c r="O58" i="2"/>
  <c r="AY58" i="2"/>
  <c r="BL58" i="2"/>
  <c r="BL57" i="2" s="1"/>
  <c r="BO57" i="2" s="1"/>
  <c r="BM58" i="2"/>
  <c r="BN58" i="2"/>
  <c r="BN57" i="2" s="1"/>
  <c r="BQ58" i="2"/>
  <c r="BR58" i="2"/>
  <c r="BT58" i="2" s="1"/>
  <c r="BW58" i="2"/>
  <c r="BZ58" i="2"/>
  <c r="CD58" i="2" s="1"/>
  <c r="CC58" i="2"/>
  <c r="CH58" i="2"/>
  <c r="CI58" i="2" s="1"/>
  <c r="CL58" i="2" s="1"/>
  <c r="CJ58" i="2"/>
  <c r="CK58" i="2"/>
  <c r="AW59" i="2"/>
  <c r="AY59" i="2" s="1"/>
  <c r="AX59" i="2"/>
  <c r="BL59" i="2"/>
  <c r="BO59" i="2" s="1"/>
  <c r="BM59" i="2"/>
  <c r="BN59" i="2"/>
  <c r="AW60" i="2"/>
  <c r="AY60" i="2" s="1"/>
  <c r="AX60" i="2"/>
  <c r="BL60" i="2"/>
  <c r="BM60" i="2"/>
  <c r="BO60" i="2" s="1"/>
  <c r="BN60" i="2"/>
  <c r="AW61" i="2"/>
  <c r="AX61" i="2"/>
  <c r="AY61" i="2"/>
  <c r="BL61" i="2"/>
  <c r="BM61" i="2"/>
  <c r="BN61" i="2"/>
  <c r="BO61" i="2" s="1"/>
  <c r="CD61" i="2" s="1"/>
  <c r="BZ61" i="2"/>
  <c r="CB61" i="2"/>
  <c r="AW62" i="2"/>
  <c r="AX62" i="2"/>
  <c r="AY62" i="2"/>
  <c r="BL62" i="2"/>
  <c r="BM62" i="2"/>
  <c r="BN62" i="2"/>
  <c r="BO62" i="2"/>
  <c r="BZ62" i="2"/>
  <c r="CA62" i="2"/>
  <c r="O63" i="2"/>
  <c r="BO63" i="2"/>
  <c r="BQ63" i="2"/>
  <c r="BT63" i="2" s="1"/>
  <c r="BR63" i="2"/>
  <c r="BW63" i="2"/>
  <c r="AT64" i="2"/>
  <c r="BL64" i="2"/>
  <c r="BM64" i="2"/>
  <c r="BO64" i="2" s="1"/>
  <c r="BN64" i="2"/>
  <c r="BZ64" i="2"/>
  <c r="CA64" i="2"/>
  <c r="CD64" i="2" s="1"/>
  <c r="CB64" i="2"/>
  <c r="CC64" i="2"/>
  <c r="O65" i="2"/>
  <c r="X65" i="2"/>
  <c r="Y65" i="2"/>
  <c r="AB65" i="2"/>
  <c r="AE65" i="2"/>
  <c r="AF65" i="2"/>
  <c r="AG65" i="2"/>
  <c r="AH65" i="2"/>
  <c r="AI65" i="2"/>
  <c r="AJ65" i="2"/>
  <c r="AY65" i="2"/>
  <c r="BT65" i="2"/>
  <c r="BU65" i="2" s="1"/>
  <c r="N66" i="2"/>
  <c r="O66" i="2" s="1"/>
  <c r="AY66" i="2"/>
  <c r="BL66" i="2"/>
  <c r="BM66" i="2"/>
  <c r="BN66" i="2"/>
  <c r="BO66" i="2"/>
  <c r="BQ66" i="2"/>
  <c r="BR66" i="2"/>
  <c r="BT66" i="2"/>
  <c r="BP66" i="2" s="1"/>
  <c r="O67" i="2"/>
  <c r="X67" i="2"/>
  <c r="Y67" i="2"/>
  <c r="AB67" i="2"/>
  <c r="AE67" i="2"/>
  <c r="AF67" i="2"/>
  <c r="AG67" i="2"/>
  <c r="AH67" i="2"/>
  <c r="AI67" i="2"/>
  <c r="AJ67" i="2"/>
  <c r="AY67" i="2"/>
  <c r="BP67" i="2"/>
  <c r="BT67" i="2"/>
  <c r="BU67" i="2" s="1"/>
  <c r="N68" i="2"/>
  <c r="O68" i="2" s="1"/>
  <c r="AY68" i="2"/>
  <c r="BL68" i="2"/>
  <c r="BM68" i="2"/>
  <c r="BN68" i="2"/>
  <c r="BO68" i="2"/>
  <c r="BQ68" i="2"/>
  <c r="BR68" i="2"/>
  <c r="BT68" i="2"/>
  <c r="BP68" i="2" s="1"/>
  <c r="N69" i="2"/>
  <c r="O69" i="2" s="1"/>
  <c r="BL69" i="2"/>
  <c r="BM69" i="2"/>
  <c r="BN69" i="2"/>
  <c r="BO69" i="2"/>
  <c r="BQ69" i="2"/>
  <c r="BR69" i="2"/>
  <c r="BT69" i="2"/>
  <c r="BP69" i="2" s="1"/>
  <c r="BZ69" i="2"/>
  <c r="CA69" i="2"/>
  <c r="CB69" i="2"/>
  <c r="CD69" i="2"/>
  <c r="CE69" i="2"/>
  <c r="CF69" i="2"/>
  <c r="CH69" i="2"/>
  <c r="CI69" i="2" s="1"/>
  <c r="W70" i="2"/>
  <c r="X70" i="2"/>
  <c r="Y70" i="2"/>
  <c r="AB70" i="2"/>
  <c r="AD70" i="2"/>
  <c r="AE70" i="2"/>
  <c r="AF70" i="2"/>
  <c r="AG70" i="2"/>
  <c r="AH70" i="2"/>
  <c r="AI70" i="2"/>
  <c r="AJ70" i="2"/>
  <c r="AY70" i="2"/>
  <c r="BL70" i="2"/>
  <c r="BM70" i="2"/>
  <c r="BO70" i="2" s="1"/>
  <c r="BN70" i="2"/>
  <c r="O71" i="2"/>
  <c r="AY71" i="2"/>
  <c r="BL71" i="2"/>
  <c r="BM71" i="2"/>
  <c r="BN71" i="2"/>
  <c r="BO71" i="2"/>
  <c r="BQ71" i="2"/>
  <c r="BR71" i="2"/>
  <c r="BS71" i="2"/>
  <c r="BT71" i="2" s="1"/>
  <c r="BZ71" i="2"/>
  <c r="CA71" i="2"/>
  <c r="CD71" i="2" s="1"/>
  <c r="CB71" i="2"/>
  <c r="O72" i="2"/>
  <c r="AY72" i="2"/>
  <c r="BL72" i="2"/>
  <c r="BM72" i="2"/>
  <c r="BN72" i="2"/>
  <c r="BO72" i="2"/>
  <c r="BQ72" i="2"/>
  <c r="BR72" i="2"/>
  <c r="BS72" i="2"/>
  <c r="BT72" i="2" s="1"/>
  <c r="BZ72" i="2"/>
  <c r="CA72" i="2"/>
  <c r="CD72" i="2" s="1"/>
  <c r="CB72" i="2"/>
  <c r="O73" i="2"/>
  <c r="AY73" i="2"/>
  <c r="BL73" i="2"/>
  <c r="BM73" i="2"/>
  <c r="BN73" i="2"/>
  <c r="BO73" i="2"/>
  <c r="BQ73" i="2"/>
  <c r="BR73" i="2"/>
  <c r="BS73" i="2"/>
  <c r="BT73" i="2" s="1"/>
  <c r="BZ73" i="2"/>
  <c r="CA73" i="2"/>
  <c r="CD73" i="2" s="1"/>
  <c r="CB73" i="2"/>
  <c r="N74" i="2"/>
  <c r="O74" i="2"/>
  <c r="P74" i="2"/>
  <c r="R74" i="2"/>
  <c r="AY74" i="2"/>
  <c r="BL74" i="2"/>
  <c r="BO74" i="2" s="1"/>
  <c r="BM74" i="2"/>
  <c r="BN74" i="2"/>
  <c r="W75" i="2"/>
  <c r="X75" i="2"/>
  <c r="Y75" i="2"/>
  <c r="AB75" i="2"/>
  <c r="AD75" i="2"/>
  <c r="AE75" i="2"/>
  <c r="AF75" i="2"/>
  <c r="AG75" i="2"/>
  <c r="AH75" i="2"/>
  <c r="AI75" i="2"/>
  <c r="AJ75" i="2"/>
  <c r="AY75" i="2"/>
  <c r="BL75" i="2"/>
  <c r="BO75" i="2" s="1"/>
  <c r="BM75" i="2"/>
  <c r="BN75" i="2"/>
  <c r="BT75" i="2"/>
  <c r="AY76" i="2"/>
  <c r="CD76" i="2"/>
  <c r="AY77" i="2"/>
  <c r="CD77" i="2"/>
  <c r="CD75" i="2" s="1"/>
  <c r="AY78" i="2"/>
  <c r="CD78" i="2"/>
  <c r="N79" i="2"/>
  <c r="O79" i="2"/>
  <c r="P79" i="2"/>
  <c r="R79" i="2"/>
  <c r="AY79" i="2"/>
  <c r="BL79" i="2"/>
  <c r="BO79" i="2" s="1"/>
  <c r="BM79" i="2"/>
  <c r="BN79" i="2"/>
  <c r="N80" i="2"/>
  <c r="O80" i="2" s="1"/>
  <c r="P80" i="2"/>
  <c r="R80" i="2"/>
  <c r="AY80" i="2"/>
  <c r="BL80" i="2"/>
  <c r="BM80" i="2"/>
  <c r="BN80" i="2"/>
  <c r="BO80" i="2"/>
  <c r="O81" i="2"/>
  <c r="AY81" i="2"/>
  <c r="BL81" i="2"/>
  <c r="BM81" i="2"/>
  <c r="BO81" i="2" s="1"/>
  <c r="BN81" i="2"/>
  <c r="BQ81" i="2"/>
  <c r="BT81" i="2" s="1"/>
  <c r="BR81" i="2"/>
  <c r="BS81" i="2"/>
  <c r="BZ81" i="2"/>
  <c r="CA81" i="2"/>
  <c r="CB81" i="2"/>
  <c r="CD81" i="2"/>
  <c r="O82" i="2"/>
  <c r="AY82" i="2"/>
  <c r="BL82" i="2"/>
  <c r="BM82" i="2"/>
  <c r="BO82" i="2" s="1"/>
  <c r="BN82" i="2"/>
  <c r="BQ82" i="2"/>
  <c r="BT82" i="2" s="1"/>
  <c r="BR82" i="2"/>
  <c r="BS82" i="2"/>
  <c r="BZ82" i="2"/>
  <c r="CA82" i="2"/>
  <c r="CB82" i="2"/>
  <c r="CD82" i="2"/>
  <c r="O83" i="2"/>
  <c r="AY83" i="2"/>
  <c r="O84" i="2"/>
  <c r="AY84" i="2"/>
  <c r="CD84" i="2"/>
  <c r="O85" i="2"/>
  <c r="AY85" i="2"/>
  <c r="BK85" i="2"/>
  <c r="BO85" i="2"/>
  <c r="CD85" i="2"/>
  <c r="CH85" i="2"/>
  <c r="CI85" i="2"/>
  <c r="CL85" i="2" s="1"/>
  <c r="O86" i="2"/>
  <c r="BK86" i="2"/>
  <c r="BO86" i="2"/>
  <c r="BT86" i="2"/>
  <c r="BP86" i="2" s="1"/>
  <c r="CD86" i="2"/>
  <c r="CH86" i="2"/>
  <c r="CI86" i="2" s="1"/>
  <c r="CL86" i="2" s="1"/>
  <c r="BU75" i="2" l="1"/>
  <c r="BY75" i="2" s="1"/>
  <c r="BP75" i="2"/>
  <c r="BP72" i="2"/>
  <c r="BU72" i="2"/>
  <c r="BP34" i="2"/>
  <c r="BU34" i="2"/>
  <c r="BU82" i="2"/>
  <c r="BP82" i="2"/>
  <c r="BU81" i="2"/>
  <c r="BP81" i="2"/>
  <c r="CD62" i="2"/>
  <c r="BU32" i="2"/>
  <c r="BP32" i="2"/>
  <c r="BP9" i="2"/>
  <c r="BU9" i="2"/>
  <c r="BP5" i="2"/>
  <c r="BU5" i="2"/>
  <c r="BY5" i="2" s="1"/>
  <c r="BP73" i="2"/>
  <c r="BU73" i="2"/>
  <c r="BP36" i="2"/>
  <c r="BU36" i="2"/>
  <c r="BU31" i="2"/>
  <c r="BP71" i="2"/>
  <c r="BU71" i="2"/>
  <c r="BP63" i="2"/>
  <c r="BU63" i="2"/>
  <c r="BY63" i="2" s="1"/>
  <c r="BP8" i="2"/>
  <c r="BU8" i="2"/>
  <c r="BU30" i="2"/>
  <c r="BP30" i="2"/>
  <c r="BU86" i="2"/>
  <c r="BY86" i="2" s="1"/>
  <c r="BU68" i="2"/>
  <c r="BP65" i="2"/>
  <c r="CB62" i="2"/>
  <c r="CA61" i="2"/>
  <c r="AX35" i="2"/>
  <c r="BP19" i="2"/>
  <c r="BP6" i="2"/>
  <c r="BU69" i="2"/>
  <c r="BU66" i="2"/>
  <c r="BO58" i="2"/>
  <c r="BP58" i="2" s="1"/>
  <c r="BU33" i="2"/>
  <c r="BU11" i="2"/>
  <c r="BU10" i="2"/>
  <c r="BU7" i="2"/>
  <c r="BY7" i="2" s="1"/>
  <c r="BU4" i="2"/>
  <c r="BY4" i="2" s="1"/>
  <c r="BU58" i="2" l="1"/>
  <c r="BY58" i="2" s="1"/>
</calcChain>
</file>

<file path=xl/sharedStrings.xml><?xml version="1.0" encoding="utf-8"?>
<sst xmlns="http://schemas.openxmlformats.org/spreadsheetml/2006/main" count="921" uniqueCount="481">
  <si>
    <t xml:space="preserve">3 Average or range reported unless otherwise stated </t>
    <phoneticPr fontId="1" type="noConversion"/>
  </si>
  <si>
    <t>V</t>
    <phoneticPr fontId="1" type="noConversion"/>
  </si>
  <si>
    <t>https://esj-journals.onlinelibrary.wiley.com/doi/full/10.1007/s11284-017-1497-5</t>
  </si>
  <si>
    <t>available</t>
    <phoneticPr fontId="1" type="noConversion"/>
  </si>
  <si>
    <t>Lin et al. (2017)</t>
    <phoneticPr fontId="1" type="noConversion"/>
  </si>
  <si>
    <t>TW-NTC-STNEA-UM</t>
    <phoneticPr fontId="1" type="noConversion"/>
  </si>
  <si>
    <t>Phyllostachys pubescens unmanaged between 2012-2015 (managed before 2012)</t>
    <phoneticPr fontId="1" type="noConversion"/>
  </si>
  <si>
    <t>SM</t>
  </si>
  <si>
    <t>Sitou Nature Education Area, Nantou County</t>
  </si>
  <si>
    <t>Taiwan</t>
  </si>
  <si>
    <t>Lin et al. (2017)</t>
    <phoneticPr fontId="1" type="noConversion"/>
  </si>
  <si>
    <t>TW-NTC-STNEA-M</t>
    <phoneticPr fontId="1" type="noConversion"/>
  </si>
  <si>
    <t>Phyllostachys pubescens managed before 2012</t>
    <phoneticPr fontId="1" type="noConversion"/>
  </si>
  <si>
    <t>https://www.researchgate.net/publication/306133854_The_trend_of_growth_characteristics_of_moso_bamboo_Phyllostachys_pubescens_forests_under_an_unmanaged_condition_in_central_Taiwan</t>
    <phoneticPr fontId="1" type="noConversion"/>
  </si>
  <si>
    <t>Chen et al. (2016)</t>
    <phoneticPr fontId="1" type="noConversion"/>
  </si>
  <si>
    <t>TW-NTC-SJL-UM</t>
    <phoneticPr fontId="1" type="noConversion"/>
  </si>
  <si>
    <t>Phyllostachys pubescens unmanaged between 2008-2014 (managed before 2008). The moso bamboo forest of the study site was planted 30 yr ago.</t>
    <phoneticPr fontId="1" type="noConversion"/>
  </si>
  <si>
    <t>SCf</t>
  </si>
  <si>
    <t>Sanjiaolun, Nantou County, central Taiwan</t>
    <phoneticPr fontId="1" type="noConversion"/>
  </si>
  <si>
    <t>available</t>
    <phoneticPr fontId="1" type="noConversion"/>
  </si>
  <si>
    <t>TW-NTC-SJL-M</t>
    <phoneticPr fontId="1" type="noConversion"/>
  </si>
  <si>
    <t>Phyllostachys pubescens managed before 2008. The moso bamboo forest of the study site was planted 30 yr ago.</t>
    <phoneticPr fontId="1" type="noConversion"/>
  </si>
  <si>
    <t>http://www.airitilibrary.com/Publication/alDetailedMesh?docid=05781345-201406-201503020016-201503020016-181-192</t>
    <phoneticPr fontId="1" type="noConversion"/>
  </si>
  <si>
    <t>Chen et al. (2011)</t>
    <phoneticPr fontId="1" type="noConversion"/>
  </si>
  <si>
    <t>TW-NTC-SC</t>
    <phoneticPr fontId="1" type="noConversion"/>
  </si>
  <si>
    <t>Phyllostachys pubescens managed with fertilising soybean chaff (northeast aspect)</t>
    <phoneticPr fontId="1" type="noConversion"/>
  </si>
  <si>
    <t>Feng Huan mountain, Nantou County</t>
  </si>
  <si>
    <t>http://www.airitilibrary.com/Publication/alDetailedMesh?docid=05781345-201406-201503020016-201503020016-181-192</t>
    <phoneticPr fontId="1" type="noConversion"/>
  </si>
  <si>
    <t>TW-NTC-OF</t>
    <phoneticPr fontId="1" type="noConversion"/>
  </si>
  <si>
    <t>Phyllostachys pubescens managed with organic fertilisation (northeast aspect)</t>
    <phoneticPr fontId="1" type="noConversion"/>
  </si>
  <si>
    <t>https://www.sciencedirect.com/science/article/pii/S0378112710007188</t>
  </si>
  <si>
    <t>Yen and Lee (2011)</t>
  </si>
  <si>
    <t>TW-NTC-ML</t>
    <phoneticPr fontId="1" type="noConversion"/>
  </si>
  <si>
    <t>Managed</t>
    <phoneticPr fontId="1" type="noConversion"/>
  </si>
  <si>
    <t>Yen and Lee (2011)</t>
    <phoneticPr fontId="1" type="noConversion"/>
  </si>
  <si>
    <t>TW-NTC-LA</t>
    <phoneticPr fontId="1" type="noConversion"/>
  </si>
  <si>
    <t>Daan, (600-900m) lower altitude of central Taiwan, Nantou County</t>
    <phoneticPr fontId="1" type="noConversion"/>
  </si>
  <si>
    <t>V</t>
    <phoneticPr fontId="1" type="noConversion"/>
  </si>
  <si>
    <t>http://ir.lib.nchu.edu.tw/bitstream/11455/74254/1/143838-3.pdf</t>
  </si>
  <si>
    <t>Wang et al. (2010)</t>
    <phoneticPr fontId="1" type="noConversion"/>
  </si>
  <si>
    <t>TW-NTC-HEFS-SC</t>
    <phoneticPr fontId="1" type="noConversion"/>
  </si>
  <si>
    <t>Phyllostachys pubescens selective cutting after 2 years</t>
    <phoneticPr fontId="1" type="noConversion"/>
  </si>
  <si>
    <t>Huisun Experimental Forest Station, Nantou County</t>
    <phoneticPr fontId="1" type="noConversion"/>
  </si>
  <si>
    <t>TW-NTC-HEFS-CT</t>
    <phoneticPr fontId="1" type="noConversion"/>
  </si>
  <si>
    <t>Phyllostachys pubescens clear cutting after 2 years</t>
    <phoneticPr fontId="1" type="noConversion"/>
  </si>
  <si>
    <t>Huisun Experimental Forest Station, Nantou County</t>
    <phoneticPr fontId="1" type="noConversion"/>
  </si>
  <si>
    <t>TW-NTC-HEFS-09-UM</t>
    <phoneticPr fontId="1" type="noConversion"/>
  </si>
  <si>
    <t>Phyllostachys pubescens controls after 2 years</t>
    <phoneticPr fontId="1" type="noConversion"/>
  </si>
  <si>
    <t>Huisun Experimental Forest Station</t>
  </si>
  <si>
    <t>https://www.researchgate.net/publication/333507633_The_Structures_Aboveground_Biomass_Carbon_Storage_of_Phyllostachys_pubescens_Stand_in_Huisun_Experimental_Forest_Station_and_Shi-Zhuo</t>
    <phoneticPr fontId="1" type="noConversion"/>
  </si>
  <si>
    <t>TW-NTC-HEFS-07-UM</t>
    <phoneticPr fontId="1" type="noConversion"/>
  </si>
  <si>
    <t>Phyllostachys pubescens at the beginning (unmanaged)</t>
    <phoneticPr fontId="1" type="noConversion"/>
  </si>
  <si>
    <t>Huisun Experimental Forest Station</t>
    <phoneticPr fontId="1" type="noConversion"/>
  </si>
  <si>
    <t>TW-NTC-HA</t>
    <phoneticPr fontId="1" type="noConversion"/>
  </si>
  <si>
    <t>Daan, (1,200-1,500m) high altitude area of central Taiwan, Nantou County</t>
    <phoneticPr fontId="1" type="noConversion"/>
  </si>
  <si>
    <t>Chen et al. 2011</t>
    <phoneticPr fontId="1" type="noConversion"/>
  </si>
  <si>
    <t>TW-NTC-FHMNW-UM</t>
    <phoneticPr fontId="1" type="noConversion"/>
  </si>
  <si>
    <t>Phyllostachys pubescens in northwest aspect</t>
    <phoneticPr fontId="1" type="noConversion"/>
  </si>
  <si>
    <t>TW-NTC-FHMC-UM</t>
    <phoneticPr fontId="1" type="noConversion"/>
  </si>
  <si>
    <t>Phyllostachys pubescens in control (northeast aspect)</t>
    <phoneticPr fontId="1" type="noConversion"/>
  </si>
  <si>
    <t>TW-NTC-BLM</t>
    <phoneticPr fontId="1" type="noConversion"/>
  </si>
  <si>
    <t>Board leaves forest mix Phyllostachys pubescens forest (northeast aspect)</t>
    <phoneticPr fontId="1" type="noConversion"/>
  </si>
  <si>
    <t>TW-CYC-MAL-SZ-UM</t>
    <phoneticPr fontId="1" type="noConversion"/>
  </si>
  <si>
    <t>SM</t>
    <phoneticPr fontId="1" type="noConversion"/>
  </si>
  <si>
    <t>Shi-Zhuo, Mountain Ali</t>
    <phoneticPr fontId="1" type="noConversion"/>
  </si>
  <si>
    <t>http://kiss.kstudy.com/thesis/thesis-view.asp?key=74524</t>
  </si>
  <si>
    <t>Park and Ryu (1996)</t>
    <phoneticPr fontId="1" type="noConversion"/>
  </si>
  <si>
    <t>KR-SC-UM</t>
    <phoneticPr fontId="1" type="noConversion"/>
  </si>
  <si>
    <t>Unmanaged</t>
    <phoneticPr fontId="1" type="noConversion"/>
  </si>
  <si>
    <t>TeDc</t>
    <phoneticPr fontId="1" type="noConversion"/>
  </si>
  <si>
    <t>Suncheon</t>
    <phoneticPr fontId="1" type="noConversion"/>
  </si>
  <si>
    <t>Korea</t>
    <phoneticPr fontId="1" type="noConversion"/>
  </si>
  <si>
    <t>http://kiss.kstudy.com/thesis/thesis-view.asp?key=3042038</t>
    <phoneticPr fontId="1" type="noConversion"/>
  </si>
  <si>
    <t>Lee et al. (2012)</t>
    <phoneticPr fontId="1" type="noConversion"/>
  </si>
  <si>
    <t>KR-JU-UM</t>
    <phoneticPr fontId="1" type="noConversion"/>
  </si>
  <si>
    <t>Jinyu, Korea Forest Research Institute</t>
    <phoneticPr fontId="1" type="noConversion"/>
  </si>
  <si>
    <t>Kim et al. (2018)</t>
    <phoneticPr fontId="1" type="noConversion"/>
  </si>
  <si>
    <t>KR-JU-UF</t>
    <phoneticPr fontId="1" type="noConversion"/>
  </si>
  <si>
    <t>Unfertilised</t>
    <phoneticPr fontId="1" type="noConversion"/>
  </si>
  <si>
    <t>Gajwa National Experimental Forest, Forest Biomaterials Research Center, Jinju</t>
    <phoneticPr fontId="1" type="noConversion"/>
  </si>
  <si>
    <t>http://kiss.kstudy.com/thesis/thesis-view.asp?key=2459514</t>
    <phoneticPr fontId="1" type="noConversion"/>
  </si>
  <si>
    <t>Hwang et al. (2005)</t>
    <phoneticPr fontId="1" type="noConversion"/>
  </si>
  <si>
    <t>KR-JU-M</t>
    <phoneticPr fontId="1" type="noConversion"/>
  </si>
  <si>
    <t>Managed</t>
    <phoneticPr fontId="1" type="noConversion"/>
  </si>
  <si>
    <t>TeDc</t>
    <phoneticPr fontId="1" type="noConversion"/>
  </si>
  <si>
    <t>Jinyu</t>
    <phoneticPr fontId="1" type="noConversion"/>
  </si>
  <si>
    <t>KR-JU-F</t>
    <phoneticPr fontId="1" type="noConversion"/>
  </si>
  <si>
    <t>https://www.tandfonline.com/doi/full/10.1080/00380768.2014.942794,  https://www.jstage.jst.go.jp/article/jjfe/57/1/57_KJ00009983906/_pdf/-char/ja</t>
  </si>
  <si>
    <t>Ikegami et al. (2014); Ikegami et al.(2015)</t>
    <phoneticPr fontId="1" type="noConversion"/>
  </si>
  <si>
    <t>JP-SNP-MEC-Ab-UM</t>
    <phoneticPr fontId="1" type="noConversion"/>
  </si>
  <si>
    <t>Abandoned moso bamboo forests (Phyllostachys pubescens) in Matsue city, plot Ab</t>
    <phoneticPr fontId="1" type="noConversion"/>
  </si>
  <si>
    <t>TeDo</t>
  </si>
  <si>
    <t>Shimane Prefecture, Japan</t>
    <phoneticPr fontId="1" type="noConversion"/>
  </si>
  <si>
    <t>Japan</t>
    <phoneticPr fontId="1" type="noConversion"/>
  </si>
  <si>
    <t>https://esj-journals.onlinelibrary.wiley.com/doi/full/10.1111/1442-1984.12066</t>
  </si>
  <si>
    <t>Fukushima et al. (2015)</t>
    <phoneticPr fontId="1" type="noConversion"/>
  </si>
  <si>
    <t>JP-OSP-MTO-UMP-fs06</t>
    <phoneticPr fontId="1" type="noConversion"/>
  </si>
  <si>
    <t>Unmanaged Phyllostachys pubescens Mazel ex Houzeau forest in Mt Tennou (pure bamboo forest)</t>
    <phoneticPr fontId="1" type="noConversion"/>
  </si>
  <si>
    <t>Osaka Prefecture, Japan</t>
  </si>
  <si>
    <t>Japan</t>
  </si>
  <si>
    <t>https://www.jstage.jst.go.jp/article/jjsrt/35/1/35_1_57/_article/-char/ja</t>
    <phoneticPr fontId="1" type="noConversion"/>
  </si>
  <si>
    <t>Abe and Shibata (2009)</t>
  </si>
  <si>
    <t>JP-OSP-MTO-UM-abe08</t>
    <phoneticPr fontId="1" type="noConversion"/>
  </si>
  <si>
    <t>Unmanaged Phyllostachys pubescens Mazel ex Houzeau forest in Mt Tennou in 2008</t>
    <phoneticPr fontId="1" type="noConversion"/>
  </si>
  <si>
    <t>https://www.jstage.jst.go.jp/article/jjsrt/35/1/35_1_57/_article/-char/ja</t>
    <phoneticPr fontId="1" type="noConversion"/>
  </si>
  <si>
    <t>JP-OSP-MTO-UM-abe07</t>
    <phoneticPr fontId="1" type="noConversion"/>
  </si>
  <si>
    <t>Unmanaged Phyllostachys pubescens Mazel ex Houzeau forest in Mt Tennou in 2007</t>
    <phoneticPr fontId="1" type="noConversion"/>
  </si>
  <si>
    <t>JP-OSP-MTO-UM-abe06</t>
    <phoneticPr fontId="1" type="noConversion"/>
  </si>
  <si>
    <t>Unmanaged Phyllostachys pubescens Mazel ex Houzeau forest in Mt Tennou in 2006</t>
    <phoneticPr fontId="1" type="noConversion"/>
  </si>
  <si>
    <t>Abe and Shibata (2009)</t>
    <phoneticPr fontId="1" type="noConversion"/>
  </si>
  <si>
    <t>JP-OSP-MTO-UM-abe05</t>
    <phoneticPr fontId="1" type="noConversion"/>
  </si>
  <si>
    <t>Unmanaged Phyllostachys pubescens Mazel ex Houzeau forest in Mt Tennou in 2005</t>
    <phoneticPr fontId="1" type="noConversion"/>
  </si>
  <si>
    <t>https://link.springer.com/article/10.1023/A:1009711814070</t>
  </si>
  <si>
    <t>Isagi et al. (1997)</t>
    <phoneticPr fontId="1" type="noConversion"/>
  </si>
  <si>
    <t>JP-KTP-UM91</t>
    <phoneticPr fontId="1" type="noConversion"/>
  </si>
  <si>
    <t>Unmanaged Phyllostachys pubescens stand in the experimental forest of FFPRI Kansai, Kyoto city</t>
    <phoneticPr fontId="1" type="noConversion"/>
  </si>
  <si>
    <t>TeDo</t>
    <phoneticPr fontId="1" type="noConversion"/>
  </si>
  <si>
    <t>Kyoto Prefecture, Japan</t>
    <phoneticPr fontId="1" type="noConversion"/>
  </si>
  <si>
    <t>http://web.kyoto-inet.or.jp/people/j-bamboo/bj-5.html</t>
  </si>
  <si>
    <t>Kawahara et al. (1987)</t>
  </si>
  <si>
    <t>JP-KTP-UM89</t>
    <phoneticPr fontId="1" type="noConversion"/>
  </si>
  <si>
    <t>Unmanaged moso bamboo stands (controls) in the experimental forest of FFPRI Kansai, Kyoto city</t>
    <phoneticPr fontId="1" type="noConversion"/>
  </si>
  <si>
    <t>Kyoto Prefecture, Japan</t>
  </si>
  <si>
    <t>JP-KTP-UM84</t>
    <phoneticPr fontId="1" type="noConversion"/>
  </si>
  <si>
    <t>Unmanaged moso bamboo stands (original condition) in the experimental forest of FFPRI Kansai, Kyoto city</t>
    <phoneticPr fontId="1" type="noConversion"/>
  </si>
  <si>
    <t>http://web.kyoto-inet.or.jp/people/j-bamboo/bj-3.html</t>
  </si>
  <si>
    <t>Watanabe (1985)</t>
  </si>
  <si>
    <t>JP-KTP-NY-UM</t>
    <phoneticPr fontId="1" type="noConversion"/>
  </si>
  <si>
    <t>Unmanaged Phyllostachys pubescens stand in Nakayama, Kyoto city</t>
    <phoneticPr fontId="1" type="noConversion"/>
  </si>
  <si>
    <t>JP-KTP-MO-UM</t>
    <phoneticPr fontId="1" type="noConversion"/>
  </si>
  <si>
    <t>5 unmanaged Phyllostachys pubescens stands] in Matsuo, Kyoto city</t>
    <phoneticPr fontId="1" type="noConversion"/>
  </si>
  <si>
    <t>Kawahara et al. (1987)</t>
    <phoneticPr fontId="1" type="noConversion"/>
  </si>
  <si>
    <t>JP-KTP-M89</t>
    <phoneticPr fontId="1" type="noConversion"/>
  </si>
  <si>
    <t>Managed moso bamboo stands with selective cutting in the experimental forest of FFPRI Kansai, Kyoto city</t>
    <phoneticPr fontId="1" type="noConversion"/>
  </si>
  <si>
    <t>It is a precious data evenough it seems have not been peer-reviewed. But the auther discribed the process detailed enough compared with other peer-reviewed articles (Literature is in the Kyoto University Library)</t>
    <phoneticPr fontId="1" type="noConversion"/>
  </si>
  <si>
    <t>Suzuki (1976)</t>
    <phoneticPr fontId="1" type="noConversion"/>
  </si>
  <si>
    <t>JP-KTP-M71</t>
    <phoneticPr fontId="1" type="noConversion"/>
  </si>
  <si>
    <t>3 managed moso bamboo stands in the experimental forest of FFPRI Kansai, Kyoto city</t>
  </si>
  <si>
    <t>V</t>
  </si>
  <si>
    <t>This study (2021)</t>
    <phoneticPr fontId="1" type="noConversion"/>
  </si>
  <si>
    <t>JP-KTP-M2019</t>
  </si>
  <si>
    <t>Rough managed moso bamboo stands in the experimental forest of FFPRI Kansai, Kyoto city</t>
  </si>
  <si>
    <t>TeDo</t>
    <phoneticPr fontId="1" type="noConversion"/>
  </si>
  <si>
    <t>http://web.kyoto-inet.or.jp/people/j-bamboo/bj-27.html</t>
  </si>
  <si>
    <t>Fujii and Nakagawa (2010)</t>
    <phoneticPr fontId="1" type="noConversion"/>
  </si>
  <si>
    <t>JP-KTP-KOC-UM</t>
    <phoneticPr fontId="1" type="noConversion"/>
  </si>
  <si>
    <t>Unmanaged Moso bamboo forests in Kyoto Gakuen University, Sogabe-cho, Kameoka city</t>
    <phoneticPr fontId="1" type="noConversion"/>
  </si>
  <si>
    <t>Watanabe (1985)</t>
    <phoneticPr fontId="1" type="noConversion"/>
  </si>
  <si>
    <t>JP-KTP-GR-UM</t>
    <phoneticPr fontId="1" type="noConversion"/>
  </si>
  <si>
    <t>3 unmanaged Phyllostachys pubescens stands in Goryo, Kyoto city</t>
  </si>
  <si>
    <t>Kawahara et al. (1987)</t>
    <phoneticPr fontId="1" type="noConversion"/>
  </si>
  <si>
    <t>JP-KTP-CT89</t>
    <phoneticPr fontId="1" type="noConversion"/>
  </si>
  <si>
    <t>Managed moso bamboo stands with clear cutting in the experimental forest of FFPRI Kansai, Kyoto city</t>
    <phoneticPr fontId="1" type="noConversion"/>
  </si>
  <si>
    <t>https://catalog.lib.kyushu-u.ac.jp/opac_detail_md/?lang=0&amp;amode=MD100000&amp;bibid=1913975</t>
    <phoneticPr fontId="1" type="noConversion"/>
  </si>
  <si>
    <t>Katayama et al. (2018)</t>
    <phoneticPr fontId="1" type="noConversion"/>
  </si>
  <si>
    <t>JP-KRF-UM</t>
    <phoneticPr fontId="1" type="noConversion"/>
  </si>
  <si>
    <t>Unmanaged Phyllostachys pubescens forest (control)</t>
    <phoneticPr fontId="1" type="noConversion"/>
  </si>
  <si>
    <t>SCf</t>
    <phoneticPr fontId="1" type="noConversion"/>
  </si>
  <si>
    <t>Kasuya Research forest, Fukuoka Prefecture, Japan</t>
  </si>
  <si>
    <t>https://catalog.lib.kyushu-u.ac.jp/opac_detail_md/?lang=0&amp;amode=MD100000&amp;bibid=1913975</t>
  </si>
  <si>
    <t>Katayama et al. (2018)</t>
    <phoneticPr fontId="1" type="noConversion"/>
  </si>
  <si>
    <t>JP-KRF</t>
    <phoneticPr fontId="1" type="noConversion"/>
  </si>
  <si>
    <t>Managed Phyllostachys pubescens forest (bamboo shoot harvested forest)</t>
    <phoneticPr fontId="1" type="noConversion"/>
  </si>
  <si>
    <t>SCf</t>
    <phoneticPr fontId="1" type="noConversion"/>
  </si>
  <si>
    <t>Kasuya Research forest, Fukuoka Prefecture, Japan</t>
    <phoneticPr fontId="1" type="noConversion"/>
  </si>
  <si>
    <t>https://ir.kagoshima-u.ac.jp/?action=pages_view_main&amp;active_action=repository_view_main_item_detail&amp;item_id=12611&amp;item_no=1&amp;page_id=13&amp;block_id=21</t>
  </si>
  <si>
    <t>Kumemura et al. (2009); Murakami et al. (2006)</t>
    <phoneticPr fontId="1" type="noConversion"/>
  </si>
  <si>
    <t>JP-KGSMP-KTMC-UM</t>
    <phoneticPr fontId="1" type="noConversion"/>
  </si>
  <si>
    <t>3 unmanaged Moso bamboo (Phyllostachys pubescens) forests in Satsuma cho (P1, P2, P5) (5</t>
  </si>
  <si>
    <t>Kagoshima Prefecture, Japan</t>
  </si>
  <si>
    <t>Kumemura et al. (2009); Murakami et al. (2006)</t>
    <phoneticPr fontId="1" type="noConversion"/>
  </si>
  <si>
    <t>JP-KGSMP-CRC-UM</t>
    <phoneticPr fontId="1" type="noConversion"/>
  </si>
  <si>
    <t>1 unmanaged Moso bamboo (Phyllostachys pubescens) forest in Minami-kyusyu city (P4) (5</t>
  </si>
  <si>
    <t>JP-KGSMP-AIRC-UM</t>
    <phoneticPr fontId="1" type="noConversion"/>
  </si>
  <si>
    <t>2 unmanaged Moso bamboo (Phyllostachys pubescens) forest in Aira cho (P3, P6) (5</t>
  </si>
  <si>
    <t>Kagoshima Prefecture, Japan</t>
    <phoneticPr fontId="1" type="noConversion"/>
  </si>
  <si>
    <t>https://www.jstage.jst.go.jp/article/jjsk/58/0/58_KJ00006203544/_article/-char/ja/</t>
  </si>
  <si>
    <t>Kobayashi and Tada (2010); a part of unpublished data of Kobayashi and Tada (2020)</t>
    <phoneticPr fontId="1" type="noConversion"/>
  </si>
  <si>
    <t>JP-KGP-TMC-UMIF</t>
    <phoneticPr fontId="1" type="noConversion"/>
  </si>
  <si>
    <t>5 unmanaged Moso bamboo (Phyllostachys pubescens) invading to forests in Takanmatsu city</t>
  </si>
  <si>
    <t>Kagawa Prefecture, Japan</t>
    <phoneticPr fontId="1" type="noConversion"/>
  </si>
  <si>
    <t>https://www.jstage.jst.go.jp/article/jjsk/58/0/58_KJ00006203544/_article/-char/ja/</t>
    <phoneticPr fontId="1" type="noConversion"/>
  </si>
  <si>
    <t>Kobayashi and Tada (2010); a part of unpublished data of Kobayashi and Tada (2020)</t>
    <phoneticPr fontId="1" type="noConversion"/>
  </si>
  <si>
    <t>JP-KGP-TMC-UM</t>
    <phoneticPr fontId="1" type="noConversion"/>
  </si>
  <si>
    <t>Unmanaged Moso bamboo (Phyllostachys pubescens) in Takanmatsu city</t>
    <phoneticPr fontId="1" type="noConversion"/>
  </si>
  <si>
    <t>Kagawa Prefecture, Japan</t>
  </si>
  <si>
    <t>https://www.jstage.jst.go.jp/article/jjfs/100/4/100_124/_article/-char/ja</t>
    <phoneticPr fontId="1" type="noConversion"/>
  </si>
  <si>
    <t>Itou et al. (2018)</t>
    <phoneticPr fontId="1" type="noConversion"/>
  </si>
  <si>
    <t>JP-KCP-UM</t>
    <phoneticPr fontId="1" type="noConversion"/>
  </si>
  <si>
    <t>Unmanaged Moso bamboo forests (0.43ha) in Kouchi city</t>
    <phoneticPr fontId="1" type="noConversion"/>
  </si>
  <si>
    <t>Kochi Prefecture, Japan</t>
    <phoneticPr fontId="1" type="noConversion"/>
  </si>
  <si>
    <t>https://www.jstage.jst.go.jp/article/jass/24/4/24_243/_article/-char/ja/</t>
    <phoneticPr fontId="1" type="noConversion"/>
  </si>
  <si>
    <t>Goto et al. (2008)</t>
    <phoneticPr fontId="1" type="noConversion"/>
  </si>
  <si>
    <t>JP-GFP-TY-UM</t>
    <phoneticPr fontId="1" type="noConversion"/>
  </si>
  <si>
    <t>Mnmanaged Phyllostachys pubescens with Hachiku bamboo (Phyllostachys nigra var. henonis) stand, Tokuyama, Ibigawa cho</t>
    <phoneticPr fontId="1" type="noConversion"/>
  </si>
  <si>
    <t>Gifu Prefecture, Japan</t>
    <phoneticPr fontId="1" type="noConversion"/>
  </si>
  <si>
    <t>https://www.jstage.jst.go.jp/article/jass/24/4/24_243/_article/-char/ja/</t>
    <phoneticPr fontId="1" type="noConversion"/>
  </si>
  <si>
    <t>Goto et al. (2008)</t>
  </si>
  <si>
    <t>JP-GFP-TBK-UM</t>
    <phoneticPr fontId="1" type="noConversion"/>
  </si>
  <si>
    <t>Mnmanaged Phyllostachys pubescens stand in Tsubakibora, Gifu city</t>
    <phoneticPr fontId="1" type="noConversion"/>
  </si>
  <si>
    <t>Gifu Prefecture, Japan</t>
    <phoneticPr fontId="1" type="noConversion"/>
  </si>
  <si>
    <t>JP-GFP-TBK-M</t>
    <phoneticPr fontId="1" type="noConversion"/>
  </si>
  <si>
    <t>Managed Phyllostachys pubescens stand in Tsubakibora, Gifu city</t>
    <phoneticPr fontId="1" type="noConversion"/>
  </si>
  <si>
    <t>https://www.jstage.jst.go.jp/article/jass/21/1/21_65/_pdf/-char/ja</t>
    <phoneticPr fontId="1" type="noConversion"/>
  </si>
  <si>
    <t>Zhang et al. (2005)</t>
    <phoneticPr fontId="1" type="noConversion"/>
  </si>
  <si>
    <t>JP-GFP-FHM-UM</t>
    <phoneticPr fontId="1" type="noConversion"/>
  </si>
  <si>
    <t>Unmanaged Moso bamboo (Phyllostachys pubescens) with Hachiku bamboo (Phyllostachys nigra var. henonis) in Fujihashi mura</t>
    <phoneticPr fontId="1" type="noConversion"/>
  </si>
  <si>
    <t>https://www.jstage.jst.go.jp/article/jila/68/5/68_5_689/_article/-char/ja</t>
  </si>
  <si>
    <t>Fujii et al. (2005)</t>
    <phoneticPr fontId="1" type="noConversion"/>
  </si>
  <si>
    <t>JP-FOP-MKC-UM</t>
    <phoneticPr fontId="1" type="noConversion"/>
  </si>
  <si>
    <t>Unmanaged Phyllostachys pubescens stand in Munakata city</t>
    <phoneticPr fontId="1" type="noConversion"/>
  </si>
  <si>
    <t>Fukuoka Prefecture, Japan</t>
    <phoneticPr fontId="1" type="noConversion"/>
  </si>
  <si>
    <t>https://esj-journals.onlinelibrary.wiley.com/doi/pdf/10.1007/s11284-014-1150-5</t>
    <phoneticPr fontId="1" type="noConversion"/>
  </si>
  <si>
    <t>Umemura and Takenaka (2014); Umemura and Takenaka unpublished data</t>
    <phoneticPr fontId="1" type="noConversion"/>
  </si>
  <si>
    <t>JP-ACP-ST-UM</t>
    <phoneticPr fontId="1" type="noConversion"/>
  </si>
  <si>
    <t>Unmanaged Moso bamboo (Phyllostachys pubescens) in Seto, Seto city (nearby nagoya)</t>
    <phoneticPr fontId="1" type="noConversion"/>
  </si>
  <si>
    <t>Aichi Prefecture, Japan</t>
    <phoneticPr fontId="1" type="noConversion"/>
  </si>
  <si>
    <t>Japan</t>
    <phoneticPr fontId="1" type="noConversion"/>
  </si>
  <si>
    <t>Umemura and Takenaka (2014); Umemura and Takenaka unpublished data</t>
    <phoneticPr fontId="1" type="noConversion"/>
  </si>
  <si>
    <t>JP-ACP-NGC-UM</t>
    <phoneticPr fontId="1" type="noConversion"/>
  </si>
  <si>
    <t>Unmanaged Moso bamboo (Phyllostachys pubescens) in Noguchi, Toyota city</t>
    <phoneticPr fontId="1" type="noConversion"/>
  </si>
  <si>
    <t>JP-ACP-KPC-UM</t>
    <phoneticPr fontId="1" type="noConversion"/>
  </si>
  <si>
    <t>Unmanaged Moso bamboo (Phyllostachys pubescens) in Kanpachi, Toyota city</t>
    <phoneticPr fontId="1" type="noConversion"/>
  </si>
  <si>
    <t>http://kns.cnki.net/kcms/detail/detail.aspx?DbCode=CJFD&amp;dbname=CJFD9093&amp;filename=LYKX199305011</t>
    <phoneticPr fontId="1" type="noConversion"/>
  </si>
  <si>
    <t>Huang et al. (1993)</t>
    <phoneticPr fontId="1" type="noConversion"/>
  </si>
  <si>
    <t>CN-ZJP-MNR-MP</t>
    <phoneticPr fontId="1" type="noConversion"/>
  </si>
  <si>
    <t>Moso bamboo in managed stand with middle produciton</t>
    <phoneticPr fontId="1" type="noConversion"/>
  </si>
  <si>
    <t xml:space="preserve">Zhejiang province, Miaoshanwu Nature Reserve </t>
    <phoneticPr fontId="1" type="noConversion"/>
  </si>
  <si>
    <t>China</t>
  </si>
  <si>
    <t>CN-ZJP-MNR-HP</t>
    <phoneticPr fontId="1" type="noConversion"/>
  </si>
  <si>
    <t>Moso bamboo in managed stand with high produciton</t>
    <phoneticPr fontId="1" type="noConversion"/>
  </si>
  <si>
    <t>https://advances.sciencemag.org/content/6/12/eaaw5792</t>
  </si>
  <si>
    <t>Song et al. (2020)</t>
    <phoneticPr fontId="1" type="noConversion"/>
  </si>
  <si>
    <t>CN-ZJP-LAC-QST-MN</t>
    <phoneticPr fontId="1" type="noConversion"/>
  </si>
  <si>
    <t>3 plots for Moso bamboo midle N treatment</t>
    <phoneticPr fontId="1" type="noConversion"/>
  </si>
  <si>
    <t>Zhejiang province, Lin'an City, Qingshan Town</t>
    <phoneticPr fontId="1" type="noConversion"/>
  </si>
  <si>
    <t>https://advances.sciencemag.org/content/6/12/eaaw5791</t>
  </si>
  <si>
    <t>Song et al. (2020)</t>
    <phoneticPr fontId="1" type="noConversion"/>
  </si>
  <si>
    <t>CN-ZJP-LAC-QST-LN</t>
    <phoneticPr fontId="1" type="noConversion"/>
  </si>
  <si>
    <t>3 plots for Moso bamboo low N treatment</t>
    <phoneticPr fontId="1" type="noConversion"/>
  </si>
  <si>
    <t>Zhejiang province, Lin'an City, Qingshan Town</t>
    <phoneticPr fontId="1" type="noConversion"/>
  </si>
  <si>
    <t>https://advances.sciencemag.org/content/6/12/eaaw5793</t>
  </si>
  <si>
    <t>CN-ZJP-LAC-QST-HN</t>
    <phoneticPr fontId="1" type="noConversion"/>
  </si>
  <si>
    <t>3 plots for Moso bamboo high N treatment</t>
    <phoneticPr fontId="1" type="noConversion"/>
  </si>
  <si>
    <t>https://advances.sciencemag.org/content/6/12/eaaw5790</t>
    <phoneticPr fontId="1" type="noConversion"/>
  </si>
  <si>
    <t>CN-ZJP-LAC-QST-CON</t>
    <phoneticPr fontId="1" type="noConversion"/>
  </si>
  <si>
    <t>3 plots for Moso bamboo control</t>
    <phoneticPr fontId="1" type="noConversion"/>
  </si>
  <si>
    <t>http://zlxb.zafu.edu.cn/EN/10.11833/j.issn.2095-0756.2012.03.001#1</t>
    <phoneticPr fontId="1" type="noConversion"/>
  </si>
  <si>
    <t>Fan et al. (2012)</t>
    <phoneticPr fontId="1" type="noConversion"/>
  </si>
  <si>
    <t>CN-ZJP-LAC-BV-18P</t>
    <phoneticPr fontId="1" type="noConversion"/>
  </si>
  <si>
    <t>18 plots for Phyllostachys edulis stand.</t>
    <phoneticPr fontId="1" type="noConversion"/>
  </si>
  <si>
    <t>Zhejiang province , Lin'an city, Banqiao village</t>
    <phoneticPr fontId="1" type="noConversion"/>
  </si>
  <si>
    <t>https://link.springer.com/article/10.1007/s11368-013-0665-7</t>
  </si>
  <si>
    <t>Fu et al. (2014)</t>
  </si>
  <si>
    <t>CN-ZJP-AJC-MO</t>
    <phoneticPr fontId="1" type="noConversion"/>
  </si>
  <si>
    <t>19/73 plots for Moso bamboo (Phyllostachys pubescens) (moderate)</t>
    <phoneticPr fontId="1" type="noConversion"/>
  </si>
  <si>
    <t>Anji county, NW Zhejiang province, E China</t>
  </si>
  <si>
    <t>CN-ZJP-AJC-IN</t>
    <phoneticPr fontId="1" type="noConversion"/>
  </si>
  <si>
    <t>26/73 plots for Moso bamboo (Phyllostachys pubescens) (intensive)</t>
    <phoneticPr fontId="1" type="noConversion"/>
  </si>
  <si>
    <t>Fu et al. (2014)</t>
    <phoneticPr fontId="1" type="noConversion"/>
  </si>
  <si>
    <t>CN-ZJP-AJC-EX</t>
    <phoneticPr fontId="1" type="noConversion"/>
  </si>
  <si>
    <t>28/73 plots for Moso bamboo (Phyllostachys pubescens)(extensive)</t>
    <phoneticPr fontId="1" type="noConversion"/>
  </si>
  <si>
    <t>Anji county, NW Zhejiang province, E China</t>
    <phoneticPr fontId="1" type="noConversion"/>
  </si>
  <si>
    <t>http://html.rhhz.net/linyekexue/html/20131125.htm</t>
    <phoneticPr fontId="1" type="noConversion"/>
  </si>
  <si>
    <t>Fan et al. (2013)</t>
    <phoneticPr fontId="1" type="noConversion"/>
  </si>
  <si>
    <t>CN-ZJP-AJC-105P</t>
    <phoneticPr fontId="1" type="noConversion"/>
  </si>
  <si>
    <t>105 plots for Phyllostachys edulis forest</t>
    <phoneticPr fontId="1" type="noConversion"/>
  </si>
  <si>
    <t>Anji county and Longquan city, Zhejiang province</t>
  </si>
  <si>
    <t>https://www.jstor.org/stable/43595383?read-now=1&amp;seq=1#page_scan_tab_contents</t>
  </si>
  <si>
    <t>Wang et al. (2013) (He et al., 2008; Zheng et al., 2008)</t>
    <phoneticPr fontId="1" type="noConversion"/>
  </si>
  <si>
    <t>CN-SS-6P</t>
    <phoneticPr fontId="1" type="noConversion"/>
  </si>
  <si>
    <t>6 Phyllostachys pubescens study sites for south subtropical of China (SS)</t>
    <phoneticPr fontId="1" type="noConversion"/>
  </si>
  <si>
    <t>SM</t>
    <phoneticPr fontId="1" type="noConversion"/>
  </si>
  <si>
    <t>South subtropical of China</t>
    <phoneticPr fontId="1" type="noConversion"/>
  </si>
  <si>
    <t>Wang et al. (2013) (Qi et al., 2009)</t>
    <phoneticPr fontId="1" type="noConversion"/>
  </si>
  <si>
    <t>CN-SM-2P</t>
    <phoneticPr fontId="1" type="noConversion"/>
  </si>
  <si>
    <t>2 Phyllostachys pubescens study sites for southenwest mountain subtropical of China (SM)</t>
    <phoneticPr fontId="1" type="noConversion"/>
  </si>
  <si>
    <t>Southenwest mountain subtropical of China</t>
    <phoneticPr fontId="1" type="noConversion"/>
  </si>
  <si>
    <t>Wang et al. (2013) (Zhang&amp;Ding, 1997; Pan et al., 2010)</t>
    <phoneticPr fontId="1" type="noConversion"/>
  </si>
  <si>
    <t>CN-NS-4P</t>
    <phoneticPr fontId="1" type="noConversion"/>
  </si>
  <si>
    <t>4 Phyllostachys pubescens study sites for north subtropical of China (NS)</t>
    <phoneticPr fontId="1" type="noConversion"/>
  </si>
  <si>
    <t>North subtropical of China</t>
    <phoneticPr fontId="1" type="noConversion"/>
  </si>
  <si>
    <t>Wang et al. (2013) (Zhou&amp;Jiang, 2004; Gao, 2004; Wang et al., 2009; Xiao et al., 2010; Zhang, 2008)</t>
    <phoneticPr fontId="1" type="noConversion"/>
  </si>
  <si>
    <t>CN-MS-18P</t>
    <phoneticPr fontId="1" type="noConversion"/>
  </si>
  <si>
    <t>18 Phyllostachys pubescens study sites for middle subtropical of China (MS)</t>
    <phoneticPr fontId="1" type="noConversion"/>
  </si>
  <si>
    <t>Middle subtropical of China</t>
    <phoneticPr fontId="1" type="noConversion"/>
  </si>
  <si>
    <t>https://agupubs.onlinelibrary.wiley.com/doi/full/10.1029/2009JG001234</t>
    <phoneticPr fontId="1" type="noConversion"/>
  </si>
  <si>
    <t>Zhou et al. (2011)</t>
    <phoneticPr fontId="1" type="noConversion"/>
  </si>
  <si>
    <t>CN-JXP-FYC-MDASEA</t>
    <phoneticPr fontId="1" type="noConversion"/>
  </si>
  <si>
    <t>Mount Dagangshan experimental area within Subtropical Forest Experimental Center, Chinese Academy of Forestry, Fengyi county, Jiangxi province (huge cold damaged)</t>
    <phoneticPr fontId="1" type="noConversion"/>
  </si>
  <si>
    <t>Fengyi county, Jiangxi province</t>
    <phoneticPr fontId="1" type="noConversion"/>
  </si>
  <si>
    <t>http://www.airitilibrary.com/Publication/alDetailedMesh?DocID=10017488-201011-201101220039-201101220039-59-65</t>
    <phoneticPr fontId="1" type="noConversion"/>
  </si>
  <si>
    <t>Xiao et al. (2009); Xiao et al. (2010)</t>
    <phoneticPr fontId="1" type="noConversion"/>
  </si>
  <si>
    <t>CN-HNP-HTC</t>
    <phoneticPr fontId="1" type="noConversion"/>
  </si>
  <si>
    <t>Unmanaged before 1988</t>
    <phoneticPr fontId="1" type="noConversion"/>
  </si>
  <si>
    <t>http://www.sisef.it/iforest/contents/?id=ifor1674-008</t>
  </si>
  <si>
    <t>Tang et al. (2015)</t>
    <phoneticPr fontId="1" type="noConversion"/>
  </si>
  <si>
    <t>CN-HBP-CC-DMS</t>
    <phoneticPr fontId="1" type="noConversion"/>
  </si>
  <si>
    <t>Moso bamboo in unmanaged stand</t>
    <phoneticPr fontId="1" type="noConversion"/>
  </si>
  <si>
    <t>Dingmushan Forest Farm, Chibi city, Hubei province</t>
    <phoneticPr fontId="1" type="noConversion"/>
  </si>
  <si>
    <t>Tang et al. (2015)</t>
  </si>
  <si>
    <t>CN-HBP-CC-DFF-HW</t>
    <phoneticPr fontId="1" type="noConversion"/>
  </si>
  <si>
    <t>Moso bamboo in managed stand with hand-weeded</t>
    <phoneticPr fontId="1" type="noConversion"/>
  </si>
  <si>
    <t>Dingmushan Forest Farm, Chibi city, Hubei province</t>
  </si>
  <si>
    <t>CN-HBP-CC-DFF-AP</t>
    <phoneticPr fontId="1" type="noConversion"/>
  </si>
  <si>
    <t xml:space="preserve">Moso bamboo in managed stand with appling pesticides </t>
    <phoneticPr fontId="1" type="noConversion"/>
  </si>
  <si>
    <t>http://zlxb.zafu.edu.cn/CN/10.11833/j.issn.2095-0756.2012.01.010</t>
    <phoneticPr fontId="1" type="noConversion"/>
  </si>
  <si>
    <t>Chen et al. (2012)</t>
    <phoneticPr fontId="1" type="noConversion"/>
  </si>
  <si>
    <t>CN-FJP-YAC-TNNR-NF</t>
    <phoneticPr fontId="1" type="noConversion"/>
  </si>
  <si>
    <t>Phyllostachys pubescens stand, no fertilization. Management: bamboo shoots dug out in march, grass cut once during Jun - Sept.</t>
    <phoneticPr fontId="1" type="noConversion"/>
  </si>
  <si>
    <t>Fujian province, Yong'an county, Tianbaoyan National Nature Reserve</t>
  </si>
  <si>
    <t>CN-FJP-YAC-TNNR-5YF</t>
    <phoneticPr fontId="1" type="noConversion"/>
  </si>
  <si>
    <t>Phyllostachys pubescens stand, 5 years fertilization. Management: bamboo shoots dug out in march, grass cut once during Jun - Sept.</t>
    <phoneticPr fontId="1" type="noConversion"/>
  </si>
  <si>
    <t>http://ahnydxxb.ahau.edu.cn/ch/reader/view_abstract.aspx?file_no=201106005&amp;flag=1</t>
    <phoneticPr fontId="1" type="noConversion"/>
  </si>
  <si>
    <t>Fan et al. (2011)</t>
    <phoneticPr fontId="1" type="noConversion"/>
  </si>
  <si>
    <t>CN-FJP-YAC-TNNR-2YFEY</t>
    <phoneticPr fontId="1" type="noConversion"/>
  </si>
  <si>
    <t>Fujian province, Yong'an county, Tianbaoyan National Nature Reserve</t>
    <phoneticPr fontId="1" type="noConversion"/>
  </si>
  <si>
    <t>CN-FJP-YAC-TNNR-13YF</t>
    <phoneticPr fontId="1" type="noConversion"/>
  </si>
  <si>
    <t>Phyllostachys pubescens stand, 13 years fertilization. Management: bamboo shoots dug out in march, grass cut once during Jun - Sept.</t>
    <phoneticPr fontId="1" type="noConversion"/>
  </si>
  <si>
    <t>https://www.researchgate.net/profile/Shunyao_Zhuang/publication/281752141_Carbon_storage_estimation_of_Moso_bamboo_Phyllostachys_pubescens_forest_stands_in_Fujian_China/links/569591e908ae3ad8e33d8918.pdf</t>
    <phoneticPr fontId="1" type="noConversion"/>
  </si>
  <si>
    <t>Zhuang et al. (2015)</t>
    <phoneticPr fontId="1" type="noConversion"/>
  </si>
  <si>
    <t>CN-FJP-XQ-9P</t>
    <phoneticPr fontId="1" type="noConversion"/>
  </si>
  <si>
    <t>9 managed Moso bamboo (Phyllostachys pubescens) plots</t>
    <phoneticPr fontId="1" type="noConversion"/>
  </si>
  <si>
    <t>Xiaoqiao, north part of Fujian province (nearby Wu Yi Mount)</t>
    <phoneticPr fontId="1" type="noConversion"/>
  </si>
  <si>
    <t>V</t>
    <phoneticPr fontId="1" type="noConversion"/>
  </si>
  <si>
    <t>https://www.ncbi.nlm.nih.gov/pmc/articles/PMC1635818/</t>
    <phoneticPr fontId="1" type="noConversion"/>
  </si>
  <si>
    <t>available</t>
    <phoneticPr fontId="1" type="noConversion"/>
  </si>
  <si>
    <t>Li et al. (2006)</t>
    <phoneticPr fontId="1" type="noConversion"/>
  </si>
  <si>
    <t>CN-FJP-WYS</t>
    <phoneticPr fontId="1" type="noConversion"/>
  </si>
  <si>
    <t>Unmanaged Phyllostachys heterocycla var. pubescens stand</t>
    <phoneticPr fontId="1" type="noConversion"/>
  </si>
  <si>
    <t>Wuyishan Biosphere Reserv, Fujian</t>
    <phoneticPr fontId="1" type="noConversion"/>
  </si>
  <si>
    <t>https://www.researchgate.net/profile/Shunyao_Zhuang/publication/281752141_Carbon_storage_estimation_of_Moso_bamboo_Phyllostachys_pubescens_forest_stands_in_Fujian_China/links/569591e908ae3ad8e33d8918.pdf</t>
    <phoneticPr fontId="1" type="noConversion"/>
  </si>
  <si>
    <t>available</t>
    <phoneticPr fontId="1" type="noConversion"/>
  </si>
  <si>
    <t>Zhuang et al. (2015)</t>
  </si>
  <si>
    <t>CN-FJP-ON-9P</t>
    <phoneticPr fontId="1" type="noConversion"/>
  </si>
  <si>
    <t>Ouning, north part of Fujian province (nearby Wu Yi Mount)</t>
    <phoneticPr fontId="1" type="noConversion"/>
  </si>
  <si>
    <t>Zhuang et al. (2015)</t>
    <phoneticPr fontId="1" type="noConversion"/>
  </si>
  <si>
    <t>CN-FJP-FD-9P</t>
    <phoneticPr fontId="1" type="noConversion"/>
  </si>
  <si>
    <t>SCf</t>
    <phoneticPr fontId="1" type="noConversion"/>
  </si>
  <si>
    <t>Fangdang, north part of Fujian province (nearby Wu Yi Mount)</t>
    <phoneticPr fontId="1" type="noConversion"/>
  </si>
  <si>
    <t>%</t>
    <phoneticPr fontId="1" type="noConversion"/>
  </si>
  <si>
    <t>%</t>
    <phoneticPr fontId="1" type="noConversion"/>
  </si>
  <si>
    <t>%</t>
    <phoneticPr fontId="1" type="noConversion"/>
  </si>
  <si>
    <t>LAI</t>
    <phoneticPr fontId="1" type="noConversion"/>
  </si>
  <si>
    <t>LAI</t>
    <phoneticPr fontId="1" type="noConversion"/>
  </si>
  <si>
    <t>m</t>
  </si>
  <si>
    <t>cm</t>
  </si>
  <si>
    <t>(%)</t>
    <phoneticPr fontId="1" type="noConversion"/>
  </si>
  <si>
    <t>KCl</t>
    <phoneticPr fontId="1" type="noConversion"/>
  </si>
  <si>
    <t>m</t>
    <phoneticPr fontId="1" type="noConversion"/>
  </si>
  <si>
    <t>mm</t>
  </si>
  <si>
    <t>°C</t>
    <phoneticPr fontId="1" type="noConversion"/>
  </si>
  <si>
    <t>Check data</t>
    <phoneticPr fontId="1" type="noConversion"/>
  </si>
  <si>
    <t>Link</t>
    <phoneticPr fontId="1" type="noConversion"/>
  </si>
  <si>
    <t>References</t>
    <phoneticPr fontId="1" type="noConversion"/>
  </si>
  <si>
    <t>NEP</t>
    <phoneticPr fontId="1" type="noConversion"/>
  </si>
  <si>
    <t>HR</t>
    <phoneticPr fontId="1" type="noConversion"/>
  </si>
  <si>
    <t>SR</t>
    <phoneticPr fontId="1" type="noConversion"/>
  </si>
  <si>
    <t>TNPP</t>
    <phoneticPr fontId="1" type="noConversion"/>
  </si>
  <si>
    <t>BNPP</t>
    <phoneticPr fontId="1" type="noConversion"/>
  </si>
  <si>
    <t>StNP</t>
    <phoneticPr fontId="1" type="noConversion"/>
  </si>
  <si>
    <t>RhNP</t>
    <phoneticPr fontId="1" type="noConversion"/>
  </si>
  <si>
    <t>RoNP</t>
    <phoneticPr fontId="1" type="noConversion"/>
  </si>
  <si>
    <t>ANPP</t>
    <phoneticPr fontId="1" type="noConversion"/>
  </si>
  <si>
    <t>Litterfall</t>
    <phoneticPr fontId="1" type="noConversion"/>
  </si>
  <si>
    <t>CNP</t>
    <phoneticPr fontId="1" type="noConversion"/>
  </si>
  <si>
    <t>BNP</t>
    <phoneticPr fontId="1" type="noConversion"/>
  </si>
  <si>
    <t>LNP</t>
    <phoneticPr fontId="1" type="noConversion"/>
  </si>
  <si>
    <t>TEC (Total ecosystem carbon)</t>
    <phoneticPr fontId="1" type="noConversion"/>
  </si>
  <si>
    <t>Undergrowth</t>
    <phoneticPr fontId="1" type="noConversion"/>
  </si>
  <si>
    <t>SC (soil carbon)</t>
    <phoneticPr fontId="1" type="noConversion"/>
  </si>
  <si>
    <t>TC (AGC+BGC)</t>
    <phoneticPr fontId="1" type="noConversion"/>
  </si>
  <si>
    <t>BGC</t>
    <phoneticPr fontId="1" type="noConversion"/>
  </si>
  <si>
    <t>Stumps</t>
    <phoneticPr fontId="1" type="noConversion"/>
  </si>
  <si>
    <t>Rhizomes</t>
    <phoneticPr fontId="1" type="noConversion"/>
  </si>
  <si>
    <t>Roots</t>
    <phoneticPr fontId="1" type="noConversion"/>
  </si>
  <si>
    <t>Root_Shoot Ratio</t>
    <phoneticPr fontId="1" type="noConversion"/>
  </si>
  <si>
    <t>AGC</t>
    <phoneticPr fontId="1" type="noConversion"/>
  </si>
  <si>
    <t>Culms</t>
    <phoneticPr fontId="1" type="noConversion"/>
  </si>
  <si>
    <t>Branches</t>
    <phoneticPr fontId="1" type="noConversion"/>
  </si>
  <si>
    <t>Foliages</t>
    <phoneticPr fontId="1" type="noConversion"/>
  </si>
  <si>
    <t>Soil C (10-30cm)</t>
    <phoneticPr fontId="1" type="noConversion"/>
  </si>
  <si>
    <t>Soil C (0-10cm)</t>
    <phoneticPr fontId="1" type="noConversion"/>
  </si>
  <si>
    <t>Stump C</t>
    <phoneticPr fontId="1" type="noConversion"/>
  </si>
  <si>
    <t>Rhizomes C</t>
    <phoneticPr fontId="1" type="noConversion"/>
  </si>
  <si>
    <t>Coarse root C</t>
    <phoneticPr fontId="1" type="noConversion"/>
  </si>
  <si>
    <t>Fine roots C</t>
    <phoneticPr fontId="1" type="noConversion"/>
  </si>
  <si>
    <t>Culms C</t>
    <phoneticPr fontId="1" type="noConversion"/>
  </si>
  <si>
    <t>Branches C</t>
    <phoneticPr fontId="1" type="noConversion"/>
  </si>
  <si>
    <t>Leaves C</t>
    <phoneticPr fontId="1" type="noConversion"/>
  </si>
  <si>
    <t>Leaf area index (leaf area scanner)</t>
    <phoneticPr fontId="1" type="noConversion"/>
  </si>
  <si>
    <t>Leaf area index (Fisheye lens)</t>
    <phoneticPr fontId="1" type="noConversion"/>
  </si>
  <si>
    <t>Relative luminosity</t>
    <phoneticPr fontId="1" type="noConversion"/>
  </si>
  <si>
    <t>Basal area (b.a.)</t>
    <phoneticPr fontId="1" type="noConversion"/>
  </si>
  <si>
    <t>Si (return to soil)</t>
    <phoneticPr fontId="1" type="noConversion"/>
  </si>
  <si>
    <t>Si (net sink in Plant annually)</t>
    <phoneticPr fontId="1" type="noConversion"/>
  </si>
  <si>
    <t>Si (primary sink in Plant annually)</t>
    <phoneticPr fontId="1" type="noConversion"/>
  </si>
  <si>
    <t>Si (storage in soil)</t>
    <phoneticPr fontId="1" type="noConversion"/>
  </si>
  <si>
    <t>Si (storage in Plant below ground)</t>
    <phoneticPr fontId="1" type="noConversion"/>
  </si>
  <si>
    <t>Si (storage in Plant above ground)</t>
    <phoneticPr fontId="1" type="noConversion"/>
  </si>
  <si>
    <t>P (litter)</t>
    <phoneticPr fontId="1" type="noConversion"/>
  </si>
  <si>
    <t>Mg (litter)</t>
    <phoneticPr fontId="1" type="noConversion"/>
  </si>
  <si>
    <t>K (litter)</t>
    <phoneticPr fontId="1" type="noConversion"/>
  </si>
  <si>
    <t>Ca (litter)</t>
    <phoneticPr fontId="1" type="noConversion"/>
  </si>
  <si>
    <t>N (litter)</t>
    <phoneticPr fontId="1" type="noConversion"/>
  </si>
  <si>
    <t>Clay</t>
    <phoneticPr fontId="1" type="noConversion"/>
  </si>
  <si>
    <t>Silt</t>
    <phoneticPr fontId="1" type="noConversion"/>
  </si>
  <si>
    <t>Sand</t>
    <phoneticPr fontId="1" type="noConversion"/>
  </si>
  <si>
    <t>Mg2+ (soil)</t>
    <phoneticPr fontId="1" type="noConversion"/>
  </si>
  <si>
    <t>Ca2+ (soil)</t>
    <phoneticPr fontId="1" type="noConversion"/>
  </si>
  <si>
    <t>K+ (soil)</t>
    <phoneticPr fontId="1" type="noConversion"/>
  </si>
  <si>
    <t>C.E.C (soil)</t>
    <phoneticPr fontId="1" type="noConversion"/>
  </si>
  <si>
    <t>Available SiO2 (soil)</t>
    <phoneticPr fontId="1" type="noConversion"/>
  </si>
  <si>
    <t>Total K (soil)</t>
    <phoneticPr fontId="1" type="noConversion"/>
  </si>
  <si>
    <t>Total P (soil)</t>
    <phoneticPr fontId="1" type="noConversion"/>
  </si>
  <si>
    <t>Total N (soil)</t>
    <phoneticPr fontId="1" type="noConversion"/>
  </si>
  <si>
    <t>pH (soil)</t>
    <phoneticPr fontId="1" type="noConversion"/>
  </si>
  <si>
    <t>pH (soil)</t>
    <phoneticPr fontId="1" type="noConversion"/>
  </si>
  <si>
    <t>water content (soil)</t>
    <phoneticPr fontId="1" type="noConversion"/>
  </si>
  <si>
    <t>wind speed</t>
    <phoneticPr fontId="1" type="noConversion"/>
  </si>
  <si>
    <t>sunshine duration</t>
    <phoneticPr fontId="1" type="noConversion"/>
  </si>
  <si>
    <t>relative humidity</t>
    <phoneticPr fontId="1" type="noConversion"/>
  </si>
  <si>
    <t>elevation (a.s.l.)</t>
    <phoneticPr fontId="1" type="noConversion"/>
  </si>
  <si>
    <t>snow</t>
    <phoneticPr fontId="1" type="noConversion"/>
  </si>
  <si>
    <t>warmth index</t>
    <phoneticPr fontId="1" type="noConversion"/>
  </si>
  <si>
    <t>mixed with other forests</t>
    <phoneticPr fontId="1" type="noConversion"/>
  </si>
  <si>
    <t>clear cutting</t>
    <phoneticPr fontId="1" type="noConversion"/>
  </si>
  <si>
    <t>shoots dug</t>
    <phoneticPr fontId="1" type="noConversion"/>
  </si>
  <si>
    <t>weeded and selective cutting</t>
    <phoneticPr fontId="1" type="noConversion"/>
  </si>
  <si>
    <t>fertilised</t>
    <phoneticPr fontId="1" type="noConversion"/>
  </si>
  <si>
    <t>managed</t>
    <phoneticPr fontId="1" type="noConversion"/>
  </si>
  <si>
    <t>Finishing year</t>
    <phoneticPr fontId="1" type="noConversion"/>
  </si>
  <si>
    <t>Beginning year</t>
    <phoneticPr fontId="1" type="noConversion"/>
  </si>
  <si>
    <t>ID</t>
    <phoneticPr fontId="1" type="noConversion"/>
  </si>
  <si>
    <t>Land use description</t>
    <phoneticPr fontId="1" type="noConversion"/>
  </si>
  <si>
    <t>Location</t>
  </si>
  <si>
    <t>Country</t>
    <phoneticPr fontId="1" type="noConversion"/>
  </si>
  <si>
    <t>Huitong County, Hunan province</t>
    <phoneticPr fontId="1" type="noConversion"/>
  </si>
  <si>
    <t>Ecological zone code</t>
    <phoneticPr fontId="1" type="noConversion"/>
  </si>
  <si>
    <t>Available or not</t>
    <phoneticPr fontId="1" type="noConversion"/>
  </si>
  <si>
    <r>
      <t>Table S1. Raw data matrix of target and independent variables collected from Moso bamboo (</t>
    </r>
    <r>
      <rPr>
        <i/>
        <sz val="12"/>
        <color theme="1"/>
        <rFont val="Times New Roman"/>
        <family val="1"/>
      </rPr>
      <t>Phyllostachys edulis</t>
    </r>
    <r>
      <rPr>
        <sz val="12"/>
        <color theme="1"/>
        <rFont val="Times New Roman"/>
        <family val="1"/>
      </rPr>
      <t>) worldwide (East Asia)</t>
    </r>
    <phoneticPr fontId="1" type="noConversion"/>
  </si>
  <si>
    <r>
      <t>mean annual temperature</t>
    </r>
    <r>
      <rPr>
        <vertAlign val="superscript"/>
        <sz val="12"/>
        <color theme="1"/>
        <rFont val="Times New Roman"/>
        <family val="1"/>
      </rPr>
      <t>4</t>
    </r>
    <phoneticPr fontId="1" type="noConversion"/>
  </si>
  <si>
    <r>
      <t>annual rainfall</t>
    </r>
    <r>
      <rPr>
        <vertAlign val="superscript"/>
        <sz val="12"/>
        <color theme="1"/>
        <rFont val="Times New Roman"/>
        <family val="1"/>
      </rPr>
      <t>4</t>
    </r>
    <phoneticPr fontId="1" type="noConversion"/>
  </si>
  <si>
    <r>
      <t>Available P</t>
    </r>
    <r>
      <rPr>
        <vertAlign val="subscript"/>
        <sz val="12"/>
        <color theme="1"/>
        <rFont val="Times New Roman"/>
        <family val="1"/>
      </rPr>
      <t>2</t>
    </r>
    <r>
      <rPr>
        <sz val="12"/>
        <color theme="1"/>
        <rFont val="Times New Roman"/>
        <family val="1"/>
      </rPr>
      <t>O</t>
    </r>
    <r>
      <rPr>
        <vertAlign val="subscript"/>
        <sz val="12"/>
        <color theme="1"/>
        <rFont val="Times New Roman"/>
        <family val="1"/>
      </rPr>
      <t>5</t>
    </r>
    <r>
      <rPr>
        <sz val="12"/>
        <color theme="1"/>
        <rFont val="Times New Roman"/>
        <family val="1"/>
      </rPr>
      <t xml:space="preserve"> (soil)</t>
    </r>
    <phoneticPr fontId="1" type="noConversion"/>
  </si>
  <si>
    <r>
      <t>Culm density</t>
    </r>
    <r>
      <rPr>
        <vertAlign val="superscript"/>
        <sz val="12"/>
        <color theme="1"/>
        <rFont val="Times New Roman"/>
        <family val="1"/>
      </rPr>
      <t>2</t>
    </r>
    <phoneticPr fontId="1" type="noConversion"/>
  </si>
  <si>
    <r>
      <t>Culm DBH</t>
    </r>
    <r>
      <rPr>
        <vertAlign val="superscript"/>
        <sz val="12"/>
        <color theme="1"/>
        <rFont val="Times New Roman"/>
        <family val="1"/>
      </rPr>
      <t>3</t>
    </r>
    <phoneticPr fontId="1" type="noConversion"/>
  </si>
  <si>
    <r>
      <t>Culm height</t>
    </r>
    <r>
      <rPr>
        <vertAlign val="superscript"/>
        <sz val="12"/>
        <color theme="1"/>
        <rFont val="Times New Roman"/>
        <family val="1"/>
      </rPr>
      <t>3</t>
    </r>
    <phoneticPr fontId="1" type="noConversion"/>
  </si>
  <si>
    <r>
      <t>hr yr</t>
    </r>
    <r>
      <rPr>
        <vertAlign val="superscript"/>
        <sz val="12"/>
        <color theme="1"/>
        <rFont val="Times New Roman"/>
        <family val="1"/>
      </rPr>
      <t>-1</t>
    </r>
    <phoneticPr fontId="1" type="noConversion"/>
  </si>
  <si>
    <r>
      <t>m s</t>
    </r>
    <r>
      <rPr>
        <vertAlign val="superscript"/>
        <sz val="12"/>
        <color theme="1"/>
        <rFont val="Times New Roman"/>
        <family val="1"/>
      </rPr>
      <t>-1</t>
    </r>
    <phoneticPr fontId="1" type="noConversion"/>
  </si>
  <si>
    <r>
      <t>(H</t>
    </r>
    <r>
      <rPr>
        <vertAlign val="subscript"/>
        <sz val="12"/>
        <color theme="1"/>
        <rFont val="Times New Roman"/>
        <family val="1"/>
      </rPr>
      <t>2</t>
    </r>
    <r>
      <rPr>
        <sz val="12"/>
        <color theme="1"/>
        <rFont val="Times New Roman"/>
        <family val="1"/>
      </rPr>
      <t>O 1:5)</t>
    </r>
    <phoneticPr fontId="1" type="noConversion"/>
  </si>
  <si>
    <r>
      <t>g kg</t>
    </r>
    <r>
      <rPr>
        <vertAlign val="superscript"/>
        <sz val="12"/>
        <color theme="1"/>
        <rFont val="Times New Roman"/>
        <family val="1"/>
      </rPr>
      <t>-1</t>
    </r>
    <phoneticPr fontId="1" type="noConversion"/>
  </si>
  <si>
    <r>
      <t>g kg</t>
    </r>
    <r>
      <rPr>
        <vertAlign val="superscript"/>
        <sz val="12"/>
        <color theme="1"/>
        <rFont val="Times New Roman"/>
        <family val="1"/>
      </rPr>
      <t>-1</t>
    </r>
    <phoneticPr fontId="1" type="noConversion"/>
  </si>
  <si>
    <r>
      <t>mg kg</t>
    </r>
    <r>
      <rPr>
        <vertAlign val="superscript"/>
        <sz val="12"/>
        <color theme="1"/>
        <rFont val="Times New Roman"/>
        <family val="1"/>
      </rPr>
      <t>-1</t>
    </r>
    <phoneticPr fontId="1" type="noConversion"/>
  </si>
  <si>
    <r>
      <t>me 100g</t>
    </r>
    <r>
      <rPr>
        <vertAlign val="superscript"/>
        <sz val="12"/>
        <color theme="1"/>
        <rFont val="Times New Roman"/>
        <family val="1"/>
      </rPr>
      <t>-1</t>
    </r>
    <phoneticPr fontId="1" type="noConversion"/>
  </si>
  <si>
    <r>
      <t>me 100g</t>
    </r>
    <r>
      <rPr>
        <vertAlign val="superscript"/>
        <sz val="12"/>
        <color theme="1"/>
        <rFont val="Times New Roman"/>
        <family val="1"/>
      </rPr>
      <t>-1</t>
    </r>
    <phoneticPr fontId="1" type="noConversion"/>
  </si>
  <si>
    <r>
      <t>kg ha</t>
    </r>
    <r>
      <rPr>
        <vertAlign val="superscript"/>
        <sz val="12"/>
        <color theme="1"/>
        <rFont val="Times New Roman"/>
        <family val="1"/>
      </rPr>
      <t>-1</t>
    </r>
    <phoneticPr fontId="1" type="noConversion"/>
  </si>
  <si>
    <r>
      <t>kg ha</t>
    </r>
    <r>
      <rPr>
        <vertAlign val="superscript"/>
        <sz val="12"/>
        <color theme="1"/>
        <rFont val="Times New Roman"/>
        <family val="1"/>
      </rPr>
      <t>-1</t>
    </r>
    <phoneticPr fontId="1" type="noConversion"/>
  </si>
  <si>
    <r>
      <t>kg ha</t>
    </r>
    <r>
      <rPr>
        <vertAlign val="superscript"/>
        <sz val="12"/>
        <color theme="1"/>
        <rFont val="Times New Roman"/>
        <family val="1"/>
      </rPr>
      <t>-1</t>
    </r>
    <phoneticPr fontId="1" type="noConversion"/>
  </si>
  <si>
    <r>
      <t>kg ha</t>
    </r>
    <r>
      <rPr>
        <vertAlign val="superscript"/>
        <sz val="12"/>
        <color theme="1"/>
        <rFont val="Times New Roman"/>
        <family val="1"/>
      </rPr>
      <t>-1</t>
    </r>
    <phoneticPr fontId="1" type="noConversion"/>
  </si>
  <si>
    <r>
      <t>kg ha</t>
    </r>
    <r>
      <rPr>
        <vertAlign val="superscript"/>
        <sz val="12"/>
        <color theme="1"/>
        <rFont val="Times New Roman"/>
        <family val="1"/>
      </rPr>
      <t xml:space="preserve">-1 </t>
    </r>
    <r>
      <rPr>
        <sz val="12"/>
        <color theme="1"/>
        <rFont val="Times New Roman"/>
        <family val="1"/>
      </rPr>
      <t>yr</t>
    </r>
    <r>
      <rPr>
        <vertAlign val="superscript"/>
        <sz val="12"/>
        <color theme="1"/>
        <rFont val="Times New Roman"/>
        <family val="1"/>
      </rPr>
      <t>-1</t>
    </r>
    <phoneticPr fontId="1" type="noConversion"/>
  </si>
  <si>
    <r>
      <t>kg ha</t>
    </r>
    <r>
      <rPr>
        <vertAlign val="superscript"/>
        <sz val="12"/>
        <color theme="1"/>
        <rFont val="Times New Roman"/>
        <family val="1"/>
      </rPr>
      <t xml:space="preserve">-1 </t>
    </r>
    <r>
      <rPr>
        <sz val="12"/>
        <color theme="1"/>
        <rFont val="Times New Roman"/>
        <family val="1"/>
      </rPr>
      <t>yr</t>
    </r>
    <r>
      <rPr>
        <vertAlign val="superscript"/>
        <sz val="12"/>
        <color theme="1"/>
        <rFont val="Times New Roman"/>
        <family val="1"/>
      </rPr>
      <t>-1</t>
    </r>
    <phoneticPr fontId="1" type="noConversion"/>
  </si>
  <si>
    <r>
      <t>culm ha</t>
    </r>
    <r>
      <rPr>
        <vertAlign val="superscript"/>
        <sz val="12"/>
        <color theme="1"/>
        <rFont val="Times New Roman"/>
        <family val="1"/>
      </rPr>
      <t>-1</t>
    </r>
    <phoneticPr fontId="1" type="noConversion"/>
  </si>
  <si>
    <r>
      <t>Mg C ha</t>
    </r>
    <r>
      <rPr>
        <vertAlign val="superscript"/>
        <sz val="12"/>
        <color theme="1"/>
        <rFont val="Times New Roman"/>
        <family val="1"/>
      </rPr>
      <t>-1</t>
    </r>
    <phoneticPr fontId="1" type="noConversion"/>
  </si>
  <si>
    <r>
      <t>Mg C ha</t>
    </r>
    <r>
      <rPr>
        <vertAlign val="superscript"/>
        <sz val="12"/>
        <color theme="1"/>
        <rFont val="Times New Roman"/>
        <family val="1"/>
      </rPr>
      <t>-1</t>
    </r>
    <phoneticPr fontId="1" type="noConversion"/>
  </si>
  <si>
    <r>
      <t>Mg C ha</t>
    </r>
    <r>
      <rPr>
        <vertAlign val="superscript"/>
        <sz val="12"/>
        <color theme="1"/>
        <rFont val="Times New Roman"/>
        <family val="1"/>
      </rPr>
      <t>-1</t>
    </r>
    <phoneticPr fontId="1" type="noConversion"/>
  </si>
  <si>
    <r>
      <t>Mg C ha</t>
    </r>
    <r>
      <rPr>
        <vertAlign val="superscript"/>
        <sz val="12"/>
        <color theme="1"/>
        <rFont val="Times New Roman"/>
        <family val="1"/>
      </rPr>
      <t>-1</t>
    </r>
    <r>
      <rPr>
        <sz val="12"/>
        <color theme="1"/>
        <rFont val="Times New Roman"/>
        <family val="1"/>
      </rPr>
      <t xml:space="preserve"> yr</t>
    </r>
    <r>
      <rPr>
        <vertAlign val="superscript"/>
        <sz val="12"/>
        <color theme="1"/>
        <rFont val="Times New Roman"/>
        <family val="1"/>
      </rPr>
      <t>-1</t>
    </r>
    <phoneticPr fontId="1" type="noConversion"/>
  </si>
  <si>
    <r>
      <t>Pure phyllostachys edulis stand. Weeded once a year, fertilised every 2 yrs. Amount of fertilizers added = 0.25 kg per culm (N:P</t>
    </r>
    <r>
      <rPr>
        <vertAlign val="subscript"/>
        <sz val="12"/>
        <color theme="1"/>
        <rFont val="Times New Roman"/>
        <family val="1"/>
      </rPr>
      <t>2</t>
    </r>
    <r>
      <rPr>
        <sz val="12"/>
        <color theme="1"/>
        <rFont val="Times New Roman"/>
        <family val="1"/>
      </rPr>
      <t>O</t>
    </r>
    <r>
      <rPr>
        <vertAlign val="subscript"/>
        <sz val="12"/>
        <color theme="1"/>
        <rFont val="Times New Roman"/>
        <family val="1"/>
      </rPr>
      <t>5</t>
    </r>
    <r>
      <rPr>
        <sz val="12"/>
        <color theme="1"/>
        <rFont val="Times New Roman"/>
        <family val="1"/>
      </rPr>
      <t>:K</t>
    </r>
    <r>
      <rPr>
        <vertAlign val="subscript"/>
        <sz val="12"/>
        <color theme="1"/>
        <rFont val="Times New Roman"/>
        <family val="1"/>
      </rPr>
      <t>2</t>
    </r>
    <r>
      <rPr>
        <sz val="12"/>
        <color theme="1"/>
        <rFont val="Times New Roman"/>
        <family val="1"/>
      </rPr>
      <t>O=9:5:6)</t>
    </r>
    <phoneticPr fontId="1" type="noConversion"/>
  </si>
  <si>
    <r>
      <t>Fertilised - (N:P:K: 21:17:17; 244 kg N ha</t>
    </r>
    <r>
      <rPr>
        <vertAlign val="superscript"/>
        <sz val="12"/>
        <color theme="1"/>
        <rFont val="Times New Roman"/>
        <family val="1"/>
      </rPr>
      <t>-1</t>
    </r>
    <r>
      <rPr>
        <sz val="12"/>
        <color theme="1"/>
        <rFont val="Times New Roman"/>
        <family val="1"/>
      </rPr>
      <t xml:space="preserve"> yr</t>
    </r>
    <r>
      <rPr>
        <vertAlign val="superscript"/>
        <sz val="12"/>
        <color theme="1"/>
        <rFont val="Times New Roman"/>
        <family val="1"/>
      </rPr>
      <t>-1</t>
    </r>
    <r>
      <rPr>
        <sz val="12"/>
        <color theme="1"/>
        <rFont val="Times New Roman"/>
        <family val="1"/>
      </rPr>
      <t>, 196 kg P ha</t>
    </r>
    <r>
      <rPr>
        <vertAlign val="superscript"/>
        <sz val="12"/>
        <color theme="1"/>
        <rFont val="Times New Roman"/>
        <family val="1"/>
      </rPr>
      <t>-1</t>
    </r>
    <r>
      <rPr>
        <sz val="12"/>
        <color theme="1"/>
        <rFont val="Times New Roman"/>
        <family val="1"/>
      </rPr>
      <t xml:space="preserve"> yr</t>
    </r>
    <r>
      <rPr>
        <vertAlign val="superscript"/>
        <sz val="12"/>
        <color theme="1"/>
        <rFont val="Times New Roman"/>
        <family val="1"/>
      </rPr>
      <t>-1</t>
    </r>
    <r>
      <rPr>
        <sz val="12"/>
        <color theme="1"/>
        <rFont val="Times New Roman"/>
        <family val="1"/>
      </rPr>
      <t>, 196 kg K ha</t>
    </r>
    <r>
      <rPr>
        <vertAlign val="superscript"/>
        <sz val="12"/>
        <color theme="1"/>
        <rFont val="Times New Roman"/>
        <family val="1"/>
      </rPr>
      <t>-1</t>
    </r>
    <r>
      <rPr>
        <sz val="12"/>
        <color theme="1"/>
        <rFont val="Times New Roman"/>
        <family val="1"/>
      </rPr>
      <t xml:space="preserve"> yr</t>
    </r>
    <r>
      <rPr>
        <vertAlign val="superscript"/>
        <sz val="12"/>
        <color theme="1"/>
        <rFont val="Times New Roman"/>
        <family val="1"/>
      </rPr>
      <t>-1</t>
    </r>
    <r>
      <rPr>
        <sz val="12"/>
        <color theme="1"/>
        <rFont val="Times New Roman"/>
        <family val="1"/>
      </rPr>
      <t xml:space="preserve">) </t>
    </r>
    <phoneticPr fontId="1" type="noConversion"/>
  </si>
  <si>
    <r>
      <t>Wang et al. (2009); This study (2021)</t>
    </r>
    <r>
      <rPr>
        <vertAlign val="superscript"/>
        <sz val="12"/>
        <color theme="1"/>
        <rFont val="Times New Roman"/>
        <family val="1"/>
      </rPr>
      <t>6</t>
    </r>
    <phoneticPr fontId="1" type="noConversion"/>
  </si>
  <si>
    <r>
      <t>Wang et al. (2009); This study (2021)</t>
    </r>
    <r>
      <rPr>
        <vertAlign val="superscript"/>
        <sz val="12"/>
        <color theme="1"/>
        <rFont val="Times New Roman"/>
        <family val="1"/>
      </rPr>
      <t>6</t>
    </r>
    <phoneticPr fontId="1" type="noConversion"/>
  </si>
  <si>
    <r>
      <t xml:space="preserve">Daan, (900-1,200m) mid </t>
    </r>
    <r>
      <rPr>
        <b/>
        <sz val="12"/>
        <color theme="1"/>
        <rFont val="Times New Roman"/>
        <family val="1"/>
      </rPr>
      <t>altitude</t>
    </r>
    <r>
      <rPr>
        <sz val="12"/>
        <color theme="1"/>
        <rFont val="Times New Roman"/>
        <family val="1"/>
      </rPr>
      <t xml:space="preserve"> area of central Taiwan, Nantou County</t>
    </r>
    <phoneticPr fontId="1" type="noConversion"/>
  </si>
  <si>
    <r>
      <rPr>
        <vertAlign val="superscript"/>
        <sz val="12"/>
        <color theme="1"/>
        <rFont val="Times New Roman"/>
        <family val="1"/>
      </rPr>
      <t>1</t>
    </r>
    <r>
      <rPr>
        <sz val="12"/>
        <color theme="1"/>
        <rFont val="Times New Roman"/>
        <family val="1"/>
      </rPr>
      <t xml:space="preserve"> Components not attached to standing crop (Eg. litter, liana) excluded from AGC </t>
    </r>
    <phoneticPr fontId="1" type="noConversion"/>
  </si>
  <si>
    <r>
      <rPr>
        <vertAlign val="superscript"/>
        <sz val="12"/>
        <color theme="1"/>
        <rFont val="Times New Roman"/>
        <family val="1"/>
      </rPr>
      <t>2</t>
    </r>
    <r>
      <rPr>
        <sz val="12"/>
        <color theme="1"/>
        <rFont val="Times New Roman"/>
        <family val="1"/>
      </rPr>
      <t xml:space="preserve"> Average or range reported. Unit of measurement as specified unless otherwise stated </t>
    </r>
    <phoneticPr fontId="1" type="noConversion"/>
  </si>
  <si>
    <r>
      <rPr>
        <vertAlign val="superscript"/>
        <sz val="12"/>
        <color theme="1"/>
        <rFont val="Times New Roman"/>
        <family val="1"/>
      </rPr>
      <t>4</t>
    </r>
    <r>
      <rPr>
        <sz val="12"/>
        <color theme="1"/>
        <rFont val="Times New Roman"/>
        <family val="1"/>
      </rPr>
      <t xml:space="preserve"> Midpoint values reported (max+min/2) if a range was given </t>
    </r>
    <phoneticPr fontId="1" type="noConversion"/>
  </si>
  <si>
    <r>
      <rPr>
        <vertAlign val="superscript"/>
        <sz val="12"/>
        <color theme="1"/>
        <rFont val="Times New Roman"/>
        <family val="1"/>
      </rPr>
      <t>5</t>
    </r>
    <r>
      <rPr>
        <sz val="12"/>
        <color theme="1"/>
        <rFont val="Times New Roman"/>
        <family val="1"/>
      </rPr>
      <t xml:space="preserve"> Weather factors referance from the cloest weather station if they are not mentioned in original researh articles. We check the nearest weather station's data and input it the data sheet (in Japan https://www.data.jma.go.jp/gmd/risk/obsdl/index.php) (in Taiwan https://e-service.cwb.gov.tw/HistoryDataQuery/index.jsp)</t>
    </r>
    <phoneticPr fontId="1" type="noConversion"/>
  </si>
  <si>
    <r>
      <rPr>
        <vertAlign val="superscript"/>
        <sz val="12"/>
        <color theme="1"/>
        <rFont val="Times New Roman"/>
        <family val="1"/>
      </rPr>
      <t>6</t>
    </r>
    <r>
      <rPr>
        <sz val="12"/>
        <color theme="1"/>
        <rFont val="Times New Roman"/>
        <family val="1"/>
      </rPr>
      <t xml:space="preserve"> In this study, we reveal the soil nutrients and belowground carbon ratio in Huisun Experimental Forest Station</t>
    </r>
    <phoneticPr fontId="1" type="noConversion"/>
  </si>
  <si>
    <r>
      <rPr>
        <vertAlign val="superscript"/>
        <sz val="12"/>
        <color theme="1"/>
        <rFont val="Times New Roman"/>
        <family val="1"/>
      </rPr>
      <t>7</t>
    </r>
    <r>
      <rPr>
        <sz val="12"/>
        <color theme="1"/>
        <rFont val="Times New Roman"/>
        <family val="1"/>
      </rPr>
      <t xml:space="preserve"> Managed, fertilised, weeded and selective cutting, shoots dug, clear cutting, and mixed with other forests are dummy variables set via description of original resaerch articles. 1 means yes, and 0 means no.</t>
    </r>
    <phoneticPr fontId="1" type="noConversion"/>
  </si>
  <si>
    <r>
      <t>cmole kg</t>
    </r>
    <r>
      <rPr>
        <vertAlign val="superscript"/>
        <sz val="12"/>
        <color theme="1"/>
        <rFont val="Times New Roman"/>
        <family val="1"/>
      </rPr>
      <t>-1</t>
    </r>
    <phoneticPr fontId="1" type="noConversion"/>
  </si>
  <si>
    <r>
      <t>m</t>
    </r>
    <r>
      <rPr>
        <vertAlign val="superscript"/>
        <sz val="12"/>
        <color theme="1"/>
        <rFont val="Times New Roman"/>
        <family val="1"/>
      </rPr>
      <t xml:space="preserve">2 </t>
    </r>
    <r>
      <rPr>
        <sz val="12"/>
        <color theme="1"/>
        <rFont val="Times New Roman"/>
        <family val="1"/>
      </rPr>
      <t>ha</t>
    </r>
    <r>
      <rPr>
        <vertAlign val="superscript"/>
        <sz val="12"/>
        <color theme="1"/>
        <rFont val="Times New Roman"/>
        <family val="1"/>
      </rPr>
      <t>-1</t>
    </r>
    <phoneticPr fontId="1" type="noConversion"/>
  </si>
  <si>
    <r>
      <t>kg kg</t>
    </r>
    <r>
      <rPr>
        <vertAlign val="superscript"/>
        <sz val="12"/>
        <color theme="1"/>
        <rFont val="Times New Roman"/>
        <family val="1"/>
      </rPr>
      <t>-1</t>
    </r>
    <phoneticPr fontId="1" type="noConversion"/>
  </si>
  <si>
    <t>Litter layer</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</si>
</sst>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Red]\(0.00\)"/>
    <numFmt numFmtId="177" formatCode="0_);[Red]\(0\)"/>
  </numFmts>
  <fonts count="10" x14ac:knownFonts="1">
    <font>
      <sz val="12"/>
      <color theme="1"/>
      <name val="新細明體"/>
      <family val="2"/>
      <charset val="136"/>
      <scheme val="minor"/>
    </font>
    <font>
      <sz val="9"/>
      <name val="新細明體"/>
      <family val="2"/>
      <charset val="136"/>
      <scheme val="minor"/>
    </font>
    <font>
      <sz val="10"/>
      <color theme="1"/>
      <name val="Times New Roman"/>
      <family val="1"/>
    </font>
    <font>
      <u/>
      <sz val="12"/>
      <color theme="10"/>
      <name val="新細明體"/>
      <family val="2"/>
      <charset val="136"/>
      <scheme val="minor"/>
    </font>
    <font>
      <sz val="12"/>
      <color theme="1"/>
      <name val="Times New Roman"/>
      <family val="1"/>
    </font>
    <font>
      <i/>
      <sz val="12"/>
      <color theme="1"/>
      <name val="Times New Roman"/>
      <family val="1"/>
    </font>
    <font>
      <vertAlign val="superscript"/>
      <sz val="12"/>
      <color theme="1"/>
      <name val="Times New Roman"/>
      <family val="1"/>
    </font>
    <font>
      <vertAlign val="subscript"/>
      <sz val="12"/>
      <color theme="1"/>
      <name val="Times New Roman"/>
      <family val="1"/>
    </font>
    <font>
      <u/>
      <sz val="12"/>
      <color theme="1"/>
      <name val="Times New Roman"/>
      <family val="1"/>
    </font>
    <font>
      <b/>
      <sz val="12"/>
      <color theme="1"/>
      <name val="Times New Roman"/>
      <family val="1"/>
    </font>
  </fonts>
  <fills count="2">
    <fill>
      <patternFill patternType="none"/>
    </fill>
    <fill>
      <patternFill patternType="gray125"/>
    </fill>
  </fills>
  <borders count="4">
    <border>
      <left/>
      <right/>
      <top/>
      <bottom/>
      <diagonal/>
    </border>
    <border>
      <left/>
      <right/>
      <top style="thin">
        <color indexed="64"/>
      </top>
      <bottom/>
      <diagonal/>
    </border>
    <border>
      <left/>
      <right/>
      <top/>
      <bottom style="thin">
        <color indexed="64"/>
      </bottom>
      <diagonal/>
    </border>
    <border>
      <left/>
      <right/>
      <top/>
      <bottom style="medium">
        <color indexed="64"/>
      </bottom>
      <diagonal/>
    </border>
  </borders>
  <cellStyleXfs count="2">
    <xf numFmtId="0" fontId="0" fillId="0" borderId="0">
      <alignment vertical="center"/>
    </xf>
    <xf numFmtId="0" fontId="3" fillId="0" borderId="0" applyNumberFormat="0" applyFill="0" applyBorder="0" applyAlignment="0" applyProtection="0">
      <alignment vertical="center"/>
    </xf>
  </cellStyleXfs>
  <cellXfs count="31">
    <xf numFmtId="0" fontId="0" fillId="0" borderId="0" xfId="0">
      <alignment vertical="center"/>
    </xf>
    <xf numFmtId="0" fontId="2" fillId="0" borderId="0" xfId="0" applyFont="1">
      <alignment vertical="center"/>
    </xf>
    <xf numFmtId="0" fontId="0" fillId="0" borderId="0" xfId="0" applyFont="1" applyFill="1">
      <alignment vertical="center"/>
    </xf>
    <xf numFmtId="0" fontId="4" fillId="0" borderId="0" xfId="0" applyFont="1">
      <alignment vertical="center"/>
    </xf>
    <xf numFmtId="0" fontId="0" fillId="0" borderId="0" xfId="0" applyFont="1">
      <alignment vertical="center"/>
    </xf>
    <xf numFmtId="176" fontId="4" fillId="0" borderId="0" xfId="0" applyNumberFormat="1" applyFont="1" applyFill="1" applyBorder="1">
      <alignment vertical="center"/>
    </xf>
    <xf numFmtId="0" fontId="4" fillId="0" borderId="1" xfId="0" applyFont="1" applyFill="1" applyBorder="1">
      <alignment vertical="center"/>
    </xf>
    <xf numFmtId="176" fontId="4" fillId="0" borderId="1" xfId="0" applyNumberFormat="1" applyFont="1" applyFill="1" applyBorder="1">
      <alignment vertical="center"/>
    </xf>
    <xf numFmtId="0" fontId="8" fillId="0" borderId="1" xfId="1" applyFont="1" applyFill="1" applyBorder="1">
      <alignment vertical="center"/>
    </xf>
    <xf numFmtId="0" fontId="4" fillId="0" borderId="1" xfId="0" applyFont="1" applyFill="1" applyBorder="1" applyAlignment="1">
      <alignment horizontal="center" vertical="center"/>
    </xf>
    <xf numFmtId="0" fontId="4" fillId="0" borderId="0" xfId="0" applyFont="1" applyFill="1" applyBorder="1">
      <alignment vertical="center"/>
    </xf>
    <xf numFmtId="0" fontId="8" fillId="0" borderId="0" xfId="1" applyFont="1" applyFill="1" applyBorder="1">
      <alignment vertical="center"/>
    </xf>
    <xf numFmtId="0" fontId="4" fillId="0" borderId="0" xfId="0" applyFont="1" applyFill="1" applyBorder="1" applyAlignment="1">
      <alignment horizontal="center" vertical="center"/>
    </xf>
    <xf numFmtId="177" fontId="4" fillId="0" borderId="0" xfId="0" applyNumberFormat="1" applyFont="1" applyFill="1" applyBorder="1">
      <alignment vertical="center"/>
    </xf>
    <xf numFmtId="177" fontId="4" fillId="0" borderId="0" xfId="0" applyNumberFormat="1" applyFont="1" applyFill="1" applyBorder="1" applyAlignment="1">
      <alignment horizontal="right" vertical="center"/>
    </xf>
    <xf numFmtId="176" fontId="4" fillId="0" borderId="0" xfId="0" applyNumberFormat="1" applyFont="1" applyFill="1" applyBorder="1" applyAlignment="1">
      <alignment horizontal="right" vertical="center"/>
    </xf>
    <xf numFmtId="0" fontId="4" fillId="0" borderId="0" xfId="0" applyFont="1" applyFill="1" applyBorder="1" applyAlignment="1">
      <alignment vertical="center" wrapText="1"/>
    </xf>
    <xf numFmtId="176" fontId="4" fillId="0" borderId="2" xfId="0" applyNumberFormat="1" applyFont="1" applyFill="1" applyBorder="1">
      <alignment vertical="center"/>
    </xf>
    <xf numFmtId="176" fontId="4" fillId="0" borderId="0" xfId="0" applyNumberFormat="1" applyFont="1">
      <alignment vertical="center"/>
    </xf>
    <xf numFmtId="0" fontId="4" fillId="0" borderId="2" xfId="0" applyFont="1" applyFill="1" applyBorder="1" applyAlignment="1">
      <alignment horizontal="center" vertical="center"/>
    </xf>
    <xf numFmtId="176" fontId="4" fillId="0" borderId="2" xfId="0" applyNumberFormat="1" applyFont="1" applyFill="1" applyBorder="1" applyAlignment="1">
      <alignment horizontal="center" vertical="center"/>
    </xf>
    <xf numFmtId="0" fontId="4" fillId="0" borderId="2" xfId="0" applyFont="1" applyFill="1" applyBorder="1" applyAlignment="1">
      <alignment horizontal="left" vertical="center"/>
    </xf>
    <xf numFmtId="0" fontId="4" fillId="0" borderId="0" xfId="0" applyFont="1" applyFill="1" applyBorder="1" applyAlignment="1">
      <alignment horizontal="center" vertical="center"/>
    </xf>
    <xf numFmtId="176" fontId="4" fillId="0" borderId="0" xfId="0" applyNumberFormat="1" applyFont="1" applyFill="1" applyBorder="1" applyAlignment="1">
      <alignment horizontal="center" vertical="center"/>
    </xf>
    <xf numFmtId="0" fontId="4" fillId="0" borderId="0" xfId="0" applyFont="1" applyFill="1" applyBorder="1" applyAlignment="1">
      <alignment horizontal="left" vertical="center"/>
    </xf>
    <xf numFmtId="0" fontId="4" fillId="0" borderId="3" xfId="0" applyFont="1" applyBorder="1">
      <alignment vertical="center"/>
    </xf>
    <xf numFmtId="0" fontId="4" fillId="0" borderId="3" xfId="0" applyFont="1" applyFill="1" applyBorder="1">
      <alignment vertical="center"/>
    </xf>
    <xf numFmtId="176" fontId="4" fillId="0" borderId="3" xfId="0" applyNumberFormat="1" applyFont="1" applyFill="1" applyBorder="1">
      <alignment vertical="center"/>
    </xf>
    <xf numFmtId="0" fontId="4" fillId="0" borderId="3" xfId="0" applyFont="1" applyFill="1" applyBorder="1" applyAlignment="1">
      <alignment vertical="center" wrapText="1"/>
    </xf>
    <xf numFmtId="0" fontId="8" fillId="0" borderId="3" xfId="1" applyFont="1" applyFill="1" applyBorder="1">
      <alignment vertical="center"/>
    </xf>
    <xf numFmtId="0" fontId="4" fillId="0" borderId="3" xfId="0" applyFont="1" applyFill="1" applyBorder="1" applyAlignment="1">
      <alignment horizontal="center" vertical="center"/>
    </xf>
  </cellXfs>
  <cellStyles count="2">
    <cellStyle name="一般" xfId="0" builtinId="0"/>
    <cellStyle name="超連結"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link.springer.com/article/10.1023/A:1009711814070" TargetMode="External"/><Relationship Id="rId21" Type="http://schemas.openxmlformats.org/officeDocument/2006/relationships/hyperlink" Target="https://agupubs.onlinelibrary.wiley.com/doi/full/10.1029/2009JG001234" TargetMode="External"/><Relationship Id="rId42" Type="http://schemas.openxmlformats.org/officeDocument/2006/relationships/hyperlink" Target="https://catalog.lib.kyushu-u.ac.jp/opac_detail_md/?lang=0&amp;amode=MD100000&amp;bibid=1913975" TargetMode="External"/><Relationship Id="rId47" Type="http://schemas.openxmlformats.org/officeDocument/2006/relationships/hyperlink" Target="https://www.jstage.jst.go.jp/article/jjfs/100/4/100_124/_article/-char/ja" TargetMode="External"/><Relationship Id="rId63" Type="http://schemas.openxmlformats.org/officeDocument/2006/relationships/hyperlink" Target="http://ir.lib.nchu.edu.tw/bitstream/11455/74254/1/143838-3.pdf" TargetMode="External"/><Relationship Id="rId68" Type="http://schemas.openxmlformats.org/officeDocument/2006/relationships/hyperlink" Target="https://advances.sciencemag.org/content/6/12/eaaw5790" TargetMode="External"/><Relationship Id="rId2" Type="http://schemas.openxmlformats.org/officeDocument/2006/relationships/hyperlink" Target="http://ahnydxxb.ahau.edu.cn/ch/reader/view_abstract.aspx?file_no=201106005&amp;flag=1" TargetMode="External"/><Relationship Id="rId16" Type="http://schemas.openxmlformats.org/officeDocument/2006/relationships/hyperlink" Target="http://www.sisef.it/iforest/contents/?id=ifor1674-008" TargetMode="External"/><Relationship Id="rId29" Type="http://schemas.openxmlformats.org/officeDocument/2006/relationships/hyperlink" Target="https://www.jstage.jst.go.jp/article/jila/68/5/68_5_689/_article/-char/ja" TargetMode="External"/><Relationship Id="rId11" Type="http://schemas.openxmlformats.org/officeDocument/2006/relationships/hyperlink" Target="http://kiss.kstudy.com/thesis/thesis-view.asp?key=3042038" TargetMode="External"/><Relationship Id="rId24" Type="http://schemas.openxmlformats.org/officeDocument/2006/relationships/hyperlink" Target="http://www.airitilibrary.com/Publication/alDetailedMesh?DocID=10017488-201011-201101220039-201101220039-59-65" TargetMode="External"/><Relationship Id="rId32" Type="http://schemas.openxmlformats.org/officeDocument/2006/relationships/hyperlink" Target="http://web.kyoto-inet.or.jp/people/j-bamboo/bj-5.html" TargetMode="External"/><Relationship Id="rId37" Type="http://schemas.openxmlformats.org/officeDocument/2006/relationships/hyperlink" Target="http://web.kyoto-inet.or.jp/people/j-bamboo/bj-3.html" TargetMode="External"/><Relationship Id="rId40" Type="http://schemas.openxmlformats.org/officeDocument/2006/relationships/hyperlink" Target="https://www.jstage.jst.go.jp/article/jjsrt/35/1/35_1_57/_article/-char/ja" TargetMode="External"/><Relationship Id="rId45" Type="http://schemas.openxmlformats.org/officeDocument/2006/relationships/hyperlink" Target="https://ir.kagoshima-u.ac.jp/?action=pages_view_main&amp;active_action=repository_view_main_item_detail&amp;item_id=12611&amp;item_no=1&amp;page_id=13&amp;block_id=21" TargetMode="External"/><Relationship Id="rId53" Type="http://schemas.openxmlformats.org/officeDocument/2006/relationships/hyperlink" Target="https://www.jstage.jst.go.jp/article/jjsk/58/0/58_KJ00006203544/_article/-char/ja/" TargetMode="External"/><Relationship Id="rId58" Type="http://schemas.openxmlformats.org/officeDocument/2006/relationships/hyperlink" Target="http://ir.lib.nchu.edu.tw/bitstream/11455/74254/1/143838-3.pdf" TargetMode="External"/><Relationship Id="rId66" Type="http://schemas.openxmlformats.org/officeDocument/2006/relationships/hyperlink" Target="https://esj-journals.onlinelibrary.wiley.com/doi/full/10.1007/s11284-017-1497-5" TargetMode="External"/><Relationship Id="rId74" Type="http://schemas.openxmlformats.org/officeDocument/2006/relationships/hyperlink" Target="https://esj-journals.onlinelibrary.wiley.com/doi/full/10.1007/s11284-017-1497-5" TargetMode="External"/><Relationship Id="rId5" Type="http://schemas.openxmlformats.org/officeDocument/2006/relationships/hyperlink" Target="https://link.springer.com/article/10.1007/s11368-013-0665-7" TargetMode="External"/><Relationship Id="rId61" Type="http://schemas.openxmlformats.org/officeDocument/2006/relationships/hyperlink" Target="https://www.sciencedirect.com/science/article/pii/S0378112710007188" TargetMode="External"/><Relationship Id="rId19" Type="http://schemas.openxmlformats.org/officeDocument/2006/relationships/hyperlink" Target="http://zlxb.zafu.edu.cn/CN/10.11833/j.issn.2095-0756.2012.01.010" TargetMode="External"/><Relationship Id="rId14" Type="http://schemas.openxmlformats.org/officeDocument/2006/relationships/hyperlink" Target="https://www.jstor.org/stable/43595383?read-now=1&amp;seq=1" TargetMode="External"/><Relationship Id="rId22" Type="http://schemas.openxmlformats.org/officeDocument/2006/relationships/hyperlink" Target="http://kns.cnki.net/kcms/detail/detail.aspx?DbCode=CJFD&amp;dbname=CJFD9093&amp;filename=LYKX199305011" TargetMode="External"/><Relationship Id="rId27" Type="http://schemas.openxmlformats.org/officeDocument/2006/relationships/hyperlink" Target="https://www.jstage.jst.go.jp/article/jass/24/4/24_243/_article/-char/ja/" TargetMode="External"/><Relationship Id="rId30" Type="http://schemas.openxmlformats.org/officeDocument/2006/relationships/hyperlink" Target="https://www.jstage.jst.go.jp/article/jass/21/1/21_65/_pdf/-char/ja" TargetMode="External"/><Relationship Id="rId35" Type="http://schemas.openxmlformats.org/officeDocument/2006/relationships/hyperlink" Target="http://web.kyoto-inet.or.jp/people/j-bamboo/bj-3.html" TargetMode="External"/><Relationship Id="rId43" Type="http://schemas.openxmlformats.org/officeDocument/2006/relationships/hyperlink" Target="https://ir.kagoshima-u.ac.jp/?action=pages_view_main&amp;active_action=repository_view_main_item_detail&amp;item_id=12611&amp;item_no=1&amp;page_id=13&amp;block_id=21" TargetMode="External"/><Relationship Id="rId48" Type="http://schemas.openxmlformats.org/officeDocument/2006/relationships/hyperlink" Target="https://esj-journals.onlinelibrary.wiley.com/doi/pdf/10.1007/s11284-014-1150-5" TargetMode="External"/><Relationship Id="rId56" Type="http://schemas.openxmlformats.org/officeDocument/2006/relationships/hyperlink" Target="http://www.airitilibrary.com/Publication/alDetailedMesh?docid=05781345-201406-201503020016-201503020016-181-192" TargetMode="External"/><Relationship Id="rId64" Type="http://schemas.openxmlformats.org/officeDocument/2006/relationships/hyperlink" Target="https://www.researchgate.net/publication/333507633_The_Structures_Aboveground_Biomass_Carbon_Storage_of_Phyllostachys_pubescens_Stand_in_Huisun_Experimental_Forest_Station_and_Shi-Zhuo" TargetMode="External"/><Relationship Id="rId69" Type="http://schemas.openxmlformats.org/officeDocument/2006/relationships/hyperlink" Target="https://advances.sciencemag.org/content/6/12/eaaw5790" TargetMode="External"/><Relationship Id="rId8" Type="http://schemas.openxmlformats.org/officeDocument/2006/relationships/hyperlink" Target="https://www.jstor.org/stable/43595383?read-now=1&amp;seq=1" TargetMode="External"/><Relationship Id="rId51" Type="http://schemas.openxmlformats.org/officeDocument/2006/relationships/hyperlink" Target="http://web.kyoto-inet.or.jp/people/j-bamboo/bj-27.html" TargetMode="External"/><Relationship Id="rId72" Type="http://schemas.openxmlformats.org/officeDocument/2006/relationships/hyperlink" Target="https://www.researchgate.net/publication/306133854_The_trend_of_growth_characteristics_of_moso_bamboo_Phyllostachys_pubescens_forests_under_an_unmanaged_condition_in_central_Taiwan" TargetMode="External"/><Relationship Id="rId3" Type="http://schemas.openxmlformats.org/officeDocument/2006/relationships/hyperlink" Target="http://zlxb.zafu.edu.cn/EN/10.11833/j.issn.2095-0756.2012.03.001" TargetMode="External"/><Relationship Id="rId12" Type="http://schemas.openxmlformats.org/officeDocument/2006/relationships/hyperlink" Target="http://kiss.kstudy.com/thesis/thesis-view.asp?key=2459514" TargetMode="External"/><Relationship Id="rId17" Type="http://schemas.openxmlformats.org/officeDocument/2006/relationships/hyperlink" Target="https://link.springer.com/article/10.1007/s11368-013-0665-7" TargetMode="External"/><Relationship Id="rId25" Type="http://schemas.openxmlformats.org/officeDocument/2006/relationships/hyperlink" Target="https://www.jstage.jst.go.jp/article/jass/24/4/24_243/_article/-char/ja/" TargetMode="External"/><Relationship Id="rId33" Type="http://schemas.openxmlformats.org/officeDocument/2006/relationships/hyperlink" Target="http://web.kyoto-inet.or.jp/people/j-bamboo/bj-5.html" TargetMode="External"/><Relationship Id="rId38" Type="http://schemas.openxmlformats.org/officeDocument/2006/relationships/hyperlink" Target="http://web.kyoto-inet.or.jp/people/j-bamboo/bj-5.html" TargetMode="External"/><Relationship Id="rId46" Type="http://schemas.openxmlformats.org/officeDocument/2006/relationships/hyperlink" Target="https://catalog.lib.kyushu-u.ac.jp/opac_detail_md/?lang=0&amp;amode=MD100000&amp;bibid=1913975" TargetMode="External"/><Relationship Id="rId59" Type="http://schemas.openxmlformats.org/officeDocument/2006/relationships/hyperlink" Target="http://ir.lib.nchu.edu.tw/bitstream/11455/74254/1/143838-3.pdf" TargetMode="External"/><Relationship Id="rId67" Type="http://schemas.openxmlformats.org/officeDocument/2006/relationships/hyperlink" Target="http://www.airitilibrary.com/Publication/alDetailedMesh?docid=05781345-201406-201503020016-201503020016-181-192" TargetMode="External"/><Relationship Id="rId20" Type="http://schemas.openxmlformats.org/officeDocument/2006/relationships/hyperlink" Target="http://zlxb.zafu.edu.cn/CN/10.11833/j.issn.2095-0756.2012.01.010" TargetMode="External"/><Relationship Id="rId41" Type="http://schemas.openxmlformats.org/officeDocument/2006/relationships/hyperlink" Target="https://www.jstage.jst.go.jp/article/jjsrt/35/1/35_1_57/_article/-char/ja" TargetMode="External"/><Relationship Id="rId54" Type="http://schemas.openxmlformats.org/officeDocument/2006/relationships/hyperlink" Target="http://www.airitilibrary.com/Publication/alDetailedMesh?docid=05781345-201406-201503020016-201503020016-181-192" TargetMode="External"/><Relationship Id="rId62" Type="http://schemas.openxmlformats.org/officeDocument/2006/relationships/hyperlink" Target="https://www.sciencedirect.com/science/article/pii/S0378112710007188" TargetMode="External"/><Relationship Id="rId70" Type="http://schemas.openxmlformats.org/officeDocument/2006/relationships/hyperlink" Target="https://advances.sciencemag.org/content/6/12/eaaw5790" TargetMode="External"/><Relationship Id="rId1" Type="http://schemas.openxmlformats.org/officeDocument/2006/relationships/hyperlink" Target="http://zlxb.zafu.edu.cn/CN/10.11833/j.issn.2095-0756.2012.01.010" TargetMode="External"/><Relationship Id="rId6" Type="http://schemas.openxmlformats.org/officeDocument/2006/relationships/hyperlink" Target="https://www.ncbi.nlm.nih.gov/pmc/articles/PMC1635818/" TargetMode="External"/><Relationship Id="rId15" Type="http://schemas.openxmlformats.org/officeDocument/2006/relationships/hyperlink" Target="http://www.sisef.it/iforest/contents/?id=ifor1674-008" TargetMode="External"/><Relationship Id="rId23" Type="http://schemas.openxmlformats.org/officeDocument/2006/relationships/hyperlink" Target="http://kns.cnki.net/kcms/detail/detail.aspx?DbCode=CJFD&amp;dbname=CJFD9093&amp;filename=LYKX199305011" TargetMode="External"/><Relationship Id="rId28" Type="http://schemas.openxmlformats.org/officeDocument/2006/relationships/hyperlink" Target="https://www.jstage.jst.go.jp/article/jjsrt/35/1/35_1_57/_article/-char/ja" TargetMode="External"/><Relationship Id="rId36" Type="http://schemas.openxmlformats.org/officeDocument/2006/relationships/hyperlink" Target="http://web.kyoto-inet.or.jp/people/j-bamboo/bj-3.html" TargetMode="External"/><Relationship Id="rId49" Type="http://schemas.openxmlformats.org/officeDocument/2006/relationships/hyperlink" Target="https://esj-journals.onlinelibrary.wiley.com/doi/pdf/10.1007/s11284-014-1150-5" TargetMode="External"/><Relationship Id="rId57" Type="http://schemas.openxmlformats.org/officeDocument/2006/relationships/hyperlink" Target="http://www.airitilibrary.com/Publication/alDetailedMesh?docid=05781345-201406-201503020016-201503020016-181-192" TargetMode="External"/><Relationship Id="rId10" Type="http://schemas.openxmlformats.org/officeDocument/2006/relationships/hyperlink" Target="https://www.jstor.org/stable/43595383?read-now=1&amp;seq=1" TargetMode="External"/><Relationship Id="rId31" Type="http://schemas.openxmlformats.org/officeDocument/2006/relationships/hyperlink" Target="https://www.jstage.jst.go.jp/article/jjfe/57/1/57_KJ00009983906/_pdf/-char/ja" TargetMode="External"/><Relationship Id="rId44" Type="http://schemas.openxmlformats.org/officeDocument/2006/relationships/hyperlink" Target="https://ir.kagoshima-u.ac.jp/?action=pages_view_main&amp;active_action=repository_view_main_item_detail&amp;item_id=12611&amp;item_no=1&amp;page_id=13&amp;block_id=21" TargetMode="External"/><Relationship Id="rId52" Type="http://schemas.openxmlformats.org/officeDocument/2006/relationships/hyperlink" Target="https://www.jstage.jst.go.jp/article/jjsk/58/0/58_KJ00006203544/_article/-char/ja/" TargetMode="External"/><Relationship Id="rId60" Type="http://schemas.openxmlformats.org/officeDocument/2006/relationships/hyperlink" Target="https://www.sciencedirect.com/science/article/pii/S0378112710007188" TargetMode="External"/><Relationship Id="rId65" Type="http://schemas.openxmlformats.org/officeDocument/2006/relationships/hyperlink" Target="https://www.researchgate.net/publication/333507633_The_Structures_Aboveground_Biomass_Carbon_Storage_of_Phyllostachys_pubescens_Stand_in_Huisun_Experimental_Forest_Station_and_Shi-Zhuo" TargetMode="External"/><Relationship Id="rId73" Type="http://schemas.openxmlformats.org/officeDocument/2006/relationships/hyperlink" Target="https://www.researchgate.net/publication/306133854_The_trend_of_growth_characteristics_of_moso_bamboo_Phyllostachys_pubescens_forests_under_an_unmanaged_condition_in_central_Taiwan" TargetMode="External"/><Relationship Id="rId4" Type="http://schemas.openxmlformats.org/officeDocument/2006/relationships/hyperlink" Target="http://html.rhhz.net/linyekexue/html/20131125.htm" TargetMode="External"/><Relationship Id="rId9" Type="http://schemas.openxmlformats.org/officeDocument/2006/relationships/hyperlink" Target="https://www.jstor.org/stable/43595383?read-now=1&amp;seq=1" TargetMode="External"/><Relationship Id="rId13" Type="http://schemas.openxmlformats.org/officeDocument/2006/relationships/hyperlink" Target="http://kiss.kstudy.com/thesis/thesis-view.asp?key=74524" TargetMode="External"/><Relationship Id="rId18" Type="http://schemas.openxmlformats.org/officeDocument/2006/relationships/hyperlink" Target="https://link.springer.com/article/10.1007/s11368-013-0665-7" TargetMode="External"/><Relationship Id="rId39" Type="http://schemas.openxmlformats.org/officeDocument/2006/relationships/hyperlink" Target="https://www.jstage.jst.go.jp/article/jjsrt/35/1/35_1_57/_article/-char/ja" TargetMode="External"/><Relationship Id="rId34" Type="http://schemas.openxmlformats.org/officeDocument/2006/relationships/hyperlink" Target="http://web.kyoto-inet.or.jp/people/j-bamboo/bj-5.html" TargetMode="External"/><Relationship Id="rId50" Type="http://schemas.openxmlformats.org/officeDocument/2006/relationships/hyperlink" Target="https://esj-journals.onlinelibrary.wiley.com/doi/pdf/10.1007/s11284-014-1150-5" TargetMode="External"/><Relationship Id="rId55" Type="http://schemas.openxmlformats.org/officeDocument/2006/relationships/hyperlink" Target="http://www.airitilibrary.com/Publication/alDetailedMesh?docid=05781345-201406-201503020016-201503020016-181-192" TargetMode="External"/><Relationship Id="rId7" Type="http://schemas.openxmlformats.org/officeDocument/2006/relationships/hyperlink" Target="http://www.sisef.it/iforest/contents/?id=ifor1674-008" TargetMode="External"/><Relationship Id="rId71" Type="http://schemas.openxmlformats.org/officeDocument/2006/relationships/hyperlink" Target="https://advances.sciencemag.org/content/6/12/eaaw579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V501"/>
  <sheetViews>
    <sheetView tabSelected="1" topLeftCell="A79" zoomScaleNormal="100" workbookViewId="0">
      <selection activeCell="C95" sqref="C95"/>
    </sheetView>
  </sheetViews>
  <sheetFormatPr defaultRowHeight="16.5" x14ac:dyDescent="0.25"/>
  <cols>
    <col min="1" max="1" width="7" style="1" bestFit="1" customWidth="1"/>
    <col min="2" max="2" width="58.25" style="1" bestFit="1" customWidth="1"/>
    <col min="3" max="3" width="18.5" style="1" customWidth="1"/>
    <col min="4" max="4" width="114.625" style="1" customWidth="1"/>
    <col min="5" max="5" width="21.125" style="1" bestFit="1" customWidth="1"/>
    <col min="6" max="6" width="11.875" style="1" bestFit="1" customWidth="1"/>
    <col min="7" max="7" width="11.25" style="1" bestFit="1" customWidth="1"/>
    <col min="8" max="8" width="7.625" style="1" bestFit="1" customWidth="1"/>
    <col min="9" max="9" width="7.375" style="1" bestFit="1" customWidth="1"/>
    <col min="10" max="10" width="22.125" style="1" bestFit="1" customWidth="1"/>
    <col min="11" max="11" width="9.25" style="1" bestFit="1" customWidth="1"/>
    <col min="12" max="12" width="9.875" style="1" bestFit="1" customWidth="1"/>
    <col min="13" max="13" width="18.25" style="1" bestFit="1" customWidth="1"/>
    <col min="14" max="14" width="19.875" style="1" bestFit="1" customWidth="1"/>
    <col min="15" max="15" width="10.5" style="1" bestFit="1" customWidth="1"/>
    <col min="16" max="16" width="11.75" style="1" bestFit="1" customWidth="1"/>
    <col min="17" max="17" width="7.625" style="1" bestFit="1" customWidth="1"/>
    <col min="18" max="18" width="11.25" style="1" bestFit="1" customWidth="1"/>
    <col min="19" max="19" width="13" style="1" bestFit="1" customWidth="1"/>
    <col min="20" max="20" width="14.125" style="1" bestFit="1" customWidth="1"/>
    <col min="21" max="21" width="9.125" style="1" bestFit="1" customWidth="1"/>
    <col min="22" max="22" width="15" style="1" bestFit="1" customWidth="1"/>
    <col min="23" max="23" width="7.375" style="1" bestFit="1" customWidth="1"/>
    <col min="24" max="24" width="7.75" style="1" bestFit="1" customWidth="1"/>
    <col min="25" max="25" width="10.375" style="1" bestFit="1" customWidth="1"/>
    <col min="26" max="26" width="10.125" style="1" bestFit="1" customWidth="1"/>
    <col min="27" max="27" width="10.375" style="1" bestFit="1" customWidth="1"/>
    <col min="28" max="28" width="16" style="1" bestFit="1" customWidth="1"/>
    <col min="29" max="29" width="15.75" style="1" bestFit="1" customWidth="1"/>
    <col min="30" max="30" width="9" style="1" bestFit="1" customWidth="1"/>
    <col min="31" max="31" width="8" style="1" bestFit="1" customWidth="1"/>
    <col min="32" max="32" width="8.75" style="1" bestFit="1" customWidth="1"/>
    <col min="33" max="33" width="9.375" style="1" bestFit="1" customWidth="1"/>
    <col min="34" max="36" width="6.625" style="1" bestFit="1" customWidth="1"/>
    <col min="37" max="37" width="7.125" style="1" bestFit="1" customWidth="1"/>
    <col min="38" max="38" width="7.75" style="1" bestFit="1" customWidth="1"/>
    <col min="39" max="39" width="7.125" style="1" bestFit="1" customWidth="1"/>
    <col min="40" max="40" width="8.375" style="1" bestFit="1" customWidth="1"/>
    <col min="41" max="41" width="6.875" style="1" bestFit="1" customWidth="1"/>
    <col min="42" max="42" width="25.875" style="1" bestFit="1" customWidth="1"/>
    <col min="43" max="43" width="25.75" style="1" bestFit="1" customWidth="1"/>
    <col min="44" max="44" width="14" style="1" bestFit="1" customWidth="1"/>
    <col min="45" max="45" width="25.375" style="1" bestFit="1" customWidth="1"/>
    <col min="46" max="46" width="22.125" style="1" bestFit="1" customWidth="1"/>
    <col min="47" max="47" width="13" style="1" bestFit="1" customWidth="1"/>
    <col min="48" max="48" width="11.5" style="1" bestFit="1" customWidth="1"/>
    <col min="49" max="49" width="9.125" style="1" bestFit="1" customWidth="1"/>
    <col min="50" max="50" width="10.625" style="1" bestFit="1" customWidth="1"/>
    <col min="51" max="51" width="12.375" style="1" bestFit="1" customWidth="1"/>
    <col min="52" max="52" width="14.875" style="1" bestFit="1" customWidth="1"/>
    <col min="53" max="53" width="22.5" style="1" bestFit="1" customWidth="1"/>
    <col min="54" max="54" width="25.5" style="1" bestFit="1" customWidth="1"/>
    <col min="55" max="55" width="7.75" style="1" bestFit="1" customWidth="1"/>
    <col min="56" max="56" width="9.25" style="1" bestFit="1" customWidth="1"/>
    <col min="57" max="57" width="7.125" style="1" bestFit="1" customWidth="1"/>
    <col min="58" max="58" width="9.75" style="1" bestFit="1" customWidth="1"/>
    <col min="59" max="59" width="10.75" style="1" bestFit="1" customWidth="1"/>
    <col min="60" max="60" width="9.125" style="1" bestFit="1" customWidth="1"/>
    <col min="61" max="61" width="7.25" style="1" bestFit="1" customWidth="1"/>
    <col min="62" max="62" width="11.625" style="1" bestFit="1" customWidth="1"/>
    <col min="63" max="63" width="12.5" style="1" bestFit="1" customWidth="1"/>
    <col min="64" max="67" width="8.375" style="1" bestFit="1" customWidth="1"/>
    <col min="68" max="68" width="14" style="1" bestFit="1" customWidth="1"/>
    <col min="69" max="72" width="8.375" style="1" bestFit="1" customWidth="1"/>
    <col min="73" max="73" width="12.375" style="1" bestFit="1" customWidth="1"/>
    <col min="74" max="74" width="10.125" style="1" bestFit="1" customWidth="1"/>
    <col min="75" max="75" width="12.5" style="1" bestFit="1" customWidth="1"/>
    <col min="76" max="76" width="10.5" style="1" bestFit="1" customWidth="1"/>
    <col min="77" max="77" width="23.125" style="1" bestFit="1" customWidth="1"/>
    <col min="78" max="90" width="13" style="1" bestFit="1" customWidth="1"/>
    <col min="91" max="91" width="72.25" style="1" bestFit="1" customWidth="1"/>
    <col min="92" max="92" width="11.875" style="1" bestFit="1" customWidth="1"/>
    <col min="93" max="93" width="196.25" style="1" bestFit="1" customWidth="1"/>
    <col min="94" max="94" width="9" style="1"/>
  </cols>
  <sheetData>
    <row r="1" spans="1:100" ht="17.25" thickBot="1" x14ac:dyDescent="0.3">
      <c r="A1" s="25" t="s">
        <v>440</v>
      </c>
      <c r="B1" s="25"/>
      <c r="C1" s="25"/>
      <c r="D1" s="25"/>
      <c r="E1" s="25"/>
      <c r="F1" s="25"/>
      <c r="G1" s="25"/>
      <c r="H1" s="25"/>
      <c r="I1" s="25"/>
      <c r="J1" s="25"/>
      <c r="K1" s="25"/>
      <c r="L1" s="25"/>
      <c r="M1" s="25"/>
      <c r="N1" s="25"/>
      <c r="O1" s="25"/>
      <c r="P1" s="25"/>
      <c r="Q1" s="25"/>
      <c r="R1" s="25"/>
      <c r="S1" s="25"/>
      <c r="T1" s="25"/>
      <c r="U1" s="25"/>
      <c r="V1" s="25"/>
      <c r="W1" s="25"/>
      <c r="X1" s="25"/>
      <c r="Y1" s="25"/>
      <c r="Z1" s="25"/>
      <c r="AA1" s="25"/>
      <c r="AB1" s="25"/>
      <c r="AC1" s="25"/>
      <c r="AD1" s="25"/>
      <c r="AE1" s="25"/>
      <c r="AF1" s="25"/>
      <c r="AG1" s="25"/>
      <c r="AH1" s="25"/>
      <c r="AI1" s="25"/>
      <c r="AJ1" s="25"/>
      <c r="AK1" s="25"/>
      <c r="AL1" s="25"/>
      <c r="AM1" s="25"/>
      <c r="AN1" s="25"/>
      <c r="AO1" s="25"/>
      <c r="AP1" s="25"/>
      <c r="AQ1" s="25"/>
      <c r="AR1" s="25"/>
      <c r="AS1" s="25"/>
      <c r="AT1" s="25"/>
      <c r="AU1" s="25"/>
      <c r="AV1" s="25"/>
      <c r="AW1" s="25"/>
      <c r="AX1" s="25"/>
      <c r="AY1" s="25"/>
      <c r="AZ1" s="25"/>
      <c r="BA1" s="25"/>
      <c r="BB1" s="25"/>
      <c r="BC1" s="25"/>
      <c r="BD1" s="25"/>
      <c r="BE1" s="25"/>
      <c r="BF1" s="25"/>
      <c r="BG1" s="25"/>
      <c r="BH1" s="25"/>
      <c r="BI1" s="25"/>
      <c r="BJ1" s="25"/>
      <c r="BK1" s="25"/>
      <c r="BL1" s="25"/>
      <c r="BM1" s="25"/>
      <c r="BN1" s="25"/>
      <c r="BO1" s="25"/>
      <c r="BP1" s="25"/>
      <c r="BQ1" s="25"/>
      <c r="BR1" s="25"/>
      <c r="BS1" s="25"/>
      <c r="BT1" s="25"/>
      <c r="BU1" s="25"/>
      <c r="BV1" s="25"/>
      <c r="BW1" s="25"/>
      <c r="BX1" s="25"/>
      <c r="BY1" s="25"/>
      <c r="BZ1" s="25"/>
      <c r="CA1" s="25"/>
      <c r="CB1" s="25"/>
      <c r="CC1" s="25"/>
      <c r="CD1" s="25"/>
      <c r="CE1" s="25"/>
      <c r="CF1" s="25"/>
      <c r="CG1" s="25"/>
      <c r="CH1" s="25"/>
      <c r="CI1" s="25"/>
      <c r="CJ1" s="25"/>
      <c r="CK1" s="25"/>
      <c r="CL1" s="25"/>
      <c r="CM1" s="25"/>
      <c r="CN1" s="25"/>
      <c r="CO1" s="25"/>
      <c r="CP1" s="25"/>
      <c r="CQ1" s="4"/>
      <c r="CR1" s="4"/>
      <c r="CS1" s="4"/>
      <c r="CT1" s="4"/>
      <c r="CU1" s="4"/>
      <c r="CV1" s="4"/>
    </row>
    <row r="2" spans="1:100" s="2" customFormat="1" ht="18.75" x14ac:dyDescent="0.25">
      <c r="A2" s="22" t="s">
        <v>436</v>
      </c>
      <c r="B2" s="22" t="s">
        <v>435</v>
      </c>
      <c r="C2" s="23" t="s">
        <v>438</v>
      </c>
      <c r="D2" s="22" t="s">
        <v>434</v>
      </c>
      <c r="E2" s="22" t="s">
        <v>433</v>
      </c>
      <c r="F2" s="22" t="s">
        <v>432</v>
      </c>
      <c r="G2" s="22" t="s">
        <v>431</v>
      </c>
      <c r="H2" s="22" t="s">
        <v>430</v>
      </c>
      <c r="I2" s="22" t="s">
        <v>429</v>
      </c>
      <c r="J2" s="22" t="s">
        <v>428</v>
      </c>
      <c r="K2" s="22" t="s">
        <v>427</v>
      </c>
      <c r="L2" s="22" t="s">
        <v>426</v>
      </c>
      <c r="M2" s="22" t="s">
        <v>425</v>
      </c>
      <c r="N2" s="17" t="s">
        <v>441</v>
      </c>
      <c r="O2" s="17" t="s">
        <v>424</v>
      </c>
      <c r="P2" s="17" t="s">
        <v>442</v>
      </c>
      <c r="Q2" s="17" t="s">
        <v>423</v>
      </c>
      <c r="R2" s="17" t="s">
        <v>422</v>
      </c>
      <c r="S2" s="17" t="s">
        <v>421</v>
      </c>
      <c r="T2" s="17" t="s">
        <v>420</v>
      </c>
      <c r="U2" s="17" t="s">
        <v>419</v>
      </c>
      <c r="V2" s="17" t="s">
        <v>418</v>
      </c>
      <c r="W2" s="17" t="s">
        <v>417</v>
      </c>
      <c r="X2" s="17" t="s">
        <v>416</v>
      </c>
      <c r="Y2" s="17" t="s">
        <v>415</v>
      </c>
      <c r="Z2" s="17" t="s">
        <v>414</v>
      </c>
      <c r="AA2" s="17" t="s">
        <v>413</v>
      </c>
      <c r="AB2" s="17" t="s">
        <v>443</v>
      </c>
      <c r="AC2" s="17" t="s">
        <v>412</v>
      </c>
      <c r="AD2" s="17" t="s">
        <v>411</v>
      </c>
      <c r="AE2" s="17" t="s">
        <v>410</v>
      </c>
      <c r="AF2" s="17" t="s">
        <v>409</v>
      </c>
      <c r="AG2" s="17" t="s">
        <v>408</v>
      </c>
      <c r="AH2" s="17" t="s">
        <v>407</v>
      </c>
      <c r="AI2" s="17" t="s">
        <v>406</v>
      </c>
      <c r="AJ2" s="17" t="s">
        <v>405</v>
      </c>
      <c r="AK2" s="17" t="s">
        <v>404</v>
      </c>
      <c r="AL2" s="17" t="s">
        <v>403</v>
      </c>
      <c r="AM2" s="17" t="s">
        <v>402</v>
      </c>
      <c r="AN2" s="17" t="s">
        <v>401</v>
      </c>
      <c r="AO2" s="17" t="s">
        <v>400</v>
      </c>
      <c r="AP2" s="17" t="s">
        <v>399</v>
      </c>
      <c r="AQ2" s="17" t="s">
        <v>398</v>
      </c>
      <c r="AR2" s="17" t="s">
        <v>397</v>
      </c>
      <c r="AS2" s="17" t="s">
        <v>396</v>
      </c>
      <c r="AT2" s="17" t="s">
        <v>395</v>
      </c>
      <c r="AU2" s="17" t="s">
        <v>394</v>
      </c>
      <c r="AV2" s="17" t="s">
        <v>444</v>
      </c>
      <c r="AW2" s="17" t="s">
        <v>445</v>
      </c>
      <c r="AX2" s="17" t="s">
        <v>446</v>
      </c>
      <c r="AY2" s="17" t="s">
        <v>393</v>
      </c>
      <c r="AZ2" s="17" t="s">
        <v>392</v>
      </c>
      <c r="BA2" s="17" t="s">
        <v>391</v>
      </c>
      <c r="BB2" s="17" t="s">
        <v>390</v>
      </c>
      <c r="BC2" s="17" t="s">
        <v>389</v>
      </c>
      <c r="BD2" s="17" t="s">
        <v>388</v>
      </c>
      <c r="BE2" s="17" t="s">
        <v>387</v>
      </c>
      <c r="BF2" s="17" t="s">
        <v>386</v>
      </c>
      <c r="BG2" s="17" t="s">
        <v>385</v>
      </c>
      <c r="BH2" s="17" t="s">
        <v>384</v>
      </c>
      <c r="BI2" s="17" t="s">
        <v>383</v>
      </c>
      <c r="BJ2" s="17" t="s">
        <v>382</v>
      </c>
      <c r="BK2" s="17" t="s">
        <v>381</v>
      </c>
      <c r="BL2" s="17" t="s">
        <v>380</v>
      </c>
      <c r="BM2" s="17" t="s">
        <v>379</v>
      </c>
      <c r="BN2" s="17" t="s">
        <v>378</v>
      </c>
      <c r="BO2" s="17" t="s">
        <v>377</v>
      </c>
      <c r="BP2" s="17" t="s">
        <v>376</v>
      </c>
      <c r="BQ2" s="17" t="s">
        <v>375</v>
      </c>
      <c r="BR2" s="17" t="s">
        <v>374</v>
      </c>
      <c r="BS2" s="17" t="s">
        <v>373</v>
      </c>
      <c r="BT2" s="17" t="s">
        <v>372</v>
      </c>
      <c r="BU2" s="17" t="s">
        <v>371</v>
      </c>
      <c r="BV2" s="17" t="s">
        <v>480</v>
      </c>
      <c r="BW2" s="17" t="s">
        <v>370</v>
      </c>
      <c r="BX2" s="17" t="s">
        <v>369</v>
      </c>
      <c r="BY2" s="17" t="s">
        <v>368</v>
      </c>
      <c r="BZ2" s="17" t="s">
        <v>367</v>
      </c>
      <c r="CA2" s="17" t="s">
        <v>366</v>
      </c>
      <c r="CB2" s="17" t="s">
        <v>365</v>
      </c>
      <c r="CC2" s="17" t="s">
        <v>364</v>
      </c>
      <c r="CD2" s="17" t="s">
        <v>363</v>
      </c>
      <c r="CE2" s="17" t="s">
        <v>362</v>
      </c>
      <c r="CF2" s="17" t="s">
        <v>361</v>
      </c>
      <c r="CG2" s="17" t="s">
        <v>360</v>
      </c>
      <c r="CH2" s="17" t="s">
        <v>359</v>
      </c>
      <c r="CI2" s="17" t="s">
        <v>358</v>
      </c>
      <c r="CJ2" s="17" t="s">
        <v>357</v>
      </c>
      <c r="CK2" s="17" t="s">
        <v>356</v>
      </c>
      <c r="CL2" s="17" t="s">
        <v>355</v>
      </c>
      <c r="CM2" s="24" t="s">
        <v>354</v>
      </c>
      <c r="CN2" s="24" t="s">
        <v>439</v>
      </c>
      <c r="CO2" s="24" t="s">
        <v>353</v>
      </c>
      <c r="CP2" s="22" t="s">
        <v>352</v>
      </c>
    </row>
    <row r="3" spans="1:100" s="2" customFormat="1" ht="18.75" x14ac:dyDescent="0.25">
      <c r="A3" s="19"/>
      <c r="B3" s="19"/>
      <c r="C3" s="20"/>
      <c r="D3" s="19"/>
      <c r="E3" s="19"/>
      <c r="F3" s="19"/>
      <c r="G3" s="19"/>
      <c r="H3" s="19"/>
      <c r="I3" s="19"/>
      <c r="J3" s="19"/>
      <c r="K3" s="19"/>
      <c r="L3" s="19"/>
      <c r="M3" s="19"/>
      <c r="N3" s="5" t="s">
        <v>351</v>
      </c>
      <c r="O3" s="5"/>
      <c r="P3" s="5" t="s">
        <v>350</v>
      </c>
      <c r="Q3" s="5" t="s">
        <v>349</v>
      </c>
      <c r="R3" s="5" t="s">
        <v>345</v>
      </c>
      <c r="S3" s="5" t="s">
        <v>340</v>
      </c>
      <c r="T3" s="5" t="s">
        <v>447</v>
      </c>
      <c r="U3" s="5" t="s">
        <v>448</v>
      </c>
      <c r="V3" s="5" t="s">
        <v>479</v>
      </c>
      <c r="W3" s="5" t="s">
        <v>348</v>
      </c>
      <c r="X3" s="5" t="s">
        <v>449</v>
      </c>
      <c r="Y3" s="5" t="s">
        <v>450</v>
      </c>
      <c r="Z3" s="5" t="s">
        <v>450</v>
      </c>
      <c r="AA3" s="5" t="s">
        <v>451</v>
      </c>
      <c r="AB3" s="5" t="s">
        <v>452</v>
      </c>
      <c r="AC3" s="5" t="s">
        <v>452</v>
      </c>
      <c r="AD3" s="5" t="s">
        <v>477</v>
      </c>
      <c r="AE3" s="5" t="s">
        <v>453</v>
      </c>
      <c r="AF3" s="5" t="s">
        <v>453</v>
      </c>
      <c r="AG3" s="5" t="s">
        <v>454</v>
      </c>
      <c r="AH3" s="5" t="s">
        <v>347</v>
      </c>
      <c r="AI3" s="5" t="s">
        <v>347</v>
      </c>
      <c r="AJ3" s="5" t="s">
        <v>347</v>
      </c>
      <c r="AK3" s="5" t="s">
        <v>455</v>
      </c>
      <c r="AL3" s="5" t="s">
        <v>455</v>
      </c>
      <c r="AM3" s="5" t="s">
        <v>456</v>
      </c>
      <c r="AN3" s="5" t="s">
        <v>457</v>
      </c>
      <c r="AO3" s="5" t="s">
        <v>455</v>
      </c>
      <c r="AP3" s="5" t="s">
        <v>455</v>
      </c>
      <c r="AQ3" s="5" t="s">
        <v>455</v>
      </c>
      <c r="AR3" s="5" t="s">
        <v>458</v>
      </c>
      <c r="AS3" s="5" t="s">
        <v>459</v>
      </c>
      <c r="AT3" s="5" t="s">
        <v>459</v>
      </c>
      <c r="AU3" s="5" t="s">
        <v>460</v>
      </c>
      <c r="AV3" s="5" t="s">
        <v>461</v>
      </c>
      <c r="AW3" s="5" t="s">
        <v>346</v>
      </c>
      <c r="AX3" s="5" t="s">
        <v>345</v>
      </c>
      <c r="AY3" s="5" t="s">
        <v>478</v>
      </c>
      <c r="AZ3" s="5" t="s">
        <v>340</v>
      </c>
      <c r="BA3" s="5" t="s">
        <v>344</v>
      </c>
      <c r="BB3" s="5" t="s">
        <v>343</v>
      </c>
      <c r="BC3" s="5" t="s">
        <v>342</v>
      </c>
      <c r="BD3" s="5" t="s">
        <v>340</v>
      </c>
      <c r="BE3" s="5" t="s">
        <v>342</v>
      </c>
      <c r="BF3" s="5" t="s">
        <v>342</v>
      </c>
      <c r="BG3" s="5" t="s">
        <v>342</v>
      </c>
      <c r="BH3" s="5" t="s">
        <v>342</v>
      </c>
      <c r="BI3" s="5" t="s">
        <v>341</v>
      </c>
      <c r="BJ3" s="5" t="s">
        <v>340</v>
      </c>
      <c r="BK3" s="5" t="s">
        <v>340</v>
      </c>
      <c r="BL3" s="5" t="s">
        <v>462</v>
      </c>
      <c r="BM3" s="5" t="s">
        <v>462</v>
      </c>
      <c r="BN3" s="5" t="s">
        <v>462</v>
      </c>
      <c r="BO3" s="5" t="s">
        <v>462</v>
      </c>
      <c r="BP3" s="5"/>
      <c r="BQ3" s="5" t="s">
        <v>462</v>
      </c>
      <c r="BR3" s="5" t="s">
        <v>463</v>
      </c>
      <c r="BS3" s="5" t="s">
        <v>464</v>
      </c>
      <c r="BT3" s="5" t="s">
        <v>462</v>
      </c>
      <c r="BU3" s="5" t="s">
        <v>462</v>
      </c>
      <c r="BV3" s="5" t="s">
        <v>462</v>
      </c>
      <c r="BW3" s="5" t="s">
        <v>462</v>
      </c>
      <c r="BX3" s="5" t="s">
        <v>462</v>
      </c>
      <c r="BY3" s="5" t="s">
        <v>463</v>
      </c>
      <c r="BZ3" s="5" t="s">
        <v>465</v>
      </c>
      <c r="CA3" s="5" t="s">
        <v>465</v>
      </c>
      <c r="CB3" s="5" t="s">
        <v>465</v>
      </c>
      <c r="CC3" s="5" t="s">
        <v>465</v>
      </c>
      <c r="CD3" s="5" t="s">
        <v>465</v>
      </c>
      <c r="CE3" s="5" t="s">
        <v>465</v>
      </c>
      <c r="CF3" s="5" t="s">
        <v>465</v>
      </c>
      <c r="CG3" s="5" t="s">
        <v>465</v>
      </c>
      <c r="CH3" s="5" t="s">
        <v>465</v>
      </c>
      <c r="CI3" s="5" t="s">
        <v>465</v>
      </c>
      <c r="CJ3" s="5" t="s">
        <v>465</v>
      </c>
      <c r="CK3" s="5" t="s">
        <v>465</v>
      </c>
      <c r="CL3" s="5" t="s">
        <v>465</v>
      </c>
      <c r="CM3" s="21"/>
      <c r="CN3" s="21"/>
      <c r="CO3" s="21"/>
      <c r="CP3" s="19"/>
    </row>
    <row r="4" spans="1:100" s="2" customFormat="1" x14ac:dyDescent="0.25">
      <c r="A4" s="6" t="s">
        <v>228</v>
      </c>
      <c r="B4" s="6" t="s">
        <v>339</v>
      </c>
      <c r="C4" s="7" t="s">
        <v>338</v>
      </c>
      <c r="D4" s="6" t="s">
        <v>322</v>
      </c>
      <c r="E4" s="6" t="s">
        <v>337</v>
      </c>
      <c r="F4" s="6">
        <v>2011</v>
      </c>
      <c r="G4" s="6">
        <v>2011</v>
      </c>
      <c r="H4" s="6">
        <v>1</v>
      </c>
      <c r="I4" s="6">
        <v>1</v>
      </c>
      <c r="J4" s="6">
        <v>1</v>
      </c>
      <c r="K4" s="6">
        <v>1</v>
      </c>
      <c r="L4" s="6">
        <v>0</v>
      </c>
      <c r="M4" s="6">
        <v>0</v>
      </c>
      <c r="N4" s="7">
        <v>19.3</v>
      </c>
      <c r="O4" s="7">
        <f t="shared" ref="O4:O15" si="0">(N4-5)*12</f>
        <v>171.60000000000002</v>
      </c>
      <c r="P4" s="7">
        <v>1700</v>
      </c>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6"/>
      <c r="AU4" s="7"/>
      <c r="AV4" s="7">
        <v>3430</v>
      </c>
      <c r="AW4" s="7"/>
      <c r="AX4" s="7"/>
      <c r="AY4" s="7"/>
      <c r="AZ4" s="7"/>
      <c r="BA4" s="7"/>
      <c r="BB4" s="7"/>
      <c r="BC4" s="7"/>
      <c r="BD4" s="7"/>
      <c r="BE4" s="7"/>
      <c r="BF4" s="7"/>
      <c r="BG4" s="7"/>
      <c r="BH4" s="7"/>
      <c r="BI4" s="7"/>
      <c r="BJ4" s="7"/>
      <c r="BK4" s="7"/>
      <c r="BL4" s="7"/>
      <c r="BM4" s="7">
        <f>47.35*0.145</f>
        <v>6.8657499999999994</v>
      </c>
      <c r="BN4" s="7">
        <f>47.35*0.6</f>
        <v>28.41</v>
      </c>
      <c r="BO4" s="7">
        <f>SUM(BL4:BN4)</f>
        <v>35.275750000000002</v>
      </c>
      <c r="BP4" s="7">
        <f t="shared" ref="BP4:BP11" si="1">BT4/BO4</f>
        <v>0.34228187919463082</v>
      </c>
      <c r="BQ4" s="7">
        <f>47.35*0.125</f>
        <v>5.9187500000000002</v>
      </c>
      <c r="BR4" s="7">
        <f>47.35*0.13</f>
        <v>6.1555</v>
      </c>
      <c r="BS4" s="7"/>
      <c r="BT4" s="7">
        <f>SUM(BQ4:BS4)</f>
        <v>12.074249999999999</v>
      </c>
      <c r="BU4" s="7">
        <f t="shared" ref="BU4:BU11" si="2">BT4+BO4</f>
        <v>47.35</v>
      </c>
      <c r="BV4" s="7"/>
      <c r="BW4" s="7">
        <v>96.45</v>
      </c>
      <c r="BX4" s="7"/>
      <c r="BY4" s="7">
        <f>BU4+BW4</f>
        <v>143.80000000000001</v>
      </c>
      <c r="BZ4" s="7"/>
      <c r="CA4" s="7"/>
      <c r="CB4" s="7"/>
      <c r="CC4" s="7">
        <v>1.63</v>
      </c>
      <c r="CD4" s="7"/>
      <c r="CE4" s="7"/>
      <c r="CF4" s="7"/>
      <c r="CG4" s="7"/>
      <c r="CH4" s="7"/>
      <c r="CI4" s="7"/>
      <c r="CJ4" s="7"/>
      <c r="CK4" s="7"/>
      <c r="CL4" s="7"/>
      <c r="CM4" s="6" t="s">
        <v>336</v>
      </c>
      <c r="CN4" s="6" t="s">
        <v>3</v>
      </c>
      <c r="CO4" s="8" t="s">
        <v>331</v>
      </c>
      <c r="CP4" s="9" t="s">
        <v>1</v>
      </c>
    </row>
    <row r="5" spans="1:100" s="2" customFormat="1" x14ac:dyDescent="0.25">
      <c r="A5" s="10" t="s">
        <v>228</v>
      </c>
      <c r="B5" s="10" t="s">
        <v>335</v>
      </c>
      <c r="C5" s="5" t="s">
        <v>157</v>
      </c>
      <c r="D5" s="10" t="s">
        <v>322</v>
      </c>
      <c r="E5" s="10" t="s">
        <v>334</v>
      </c>
      <c r="F5" s="10">
        <v>2011</v>
      </c>
      <c r="G5" s="10">
        <v>2011</v>
      </c>
      <c r="H5" s="10">
        <v>1</v>
      </c>
      <c r="I5" s="10">
        <v>1</v>
      </c>
      <c r="J5" s="10">
        <v>1</v>
      </c>
      <c r="K5" s="10">
        <v>1</v>
      </c>
      <c r="L5" s="10">
        <v>0</v>
      </c>
      <c r="M5" s="10">
        <v>0</v>
      </c>
      <c r="N5" s="5">
        <v>19.3</v>
      </c>
      <c r="O5" s="5">
        <f t="shared" si="0"/>
        <v>171.60000000000002</v>
      </c>
      <c r="P5" s="5">
        <v>1700</v>
      </c>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10"/>
      <c r="AU5" s="5"/>
      <c r="AV5" s="5">
        <v>3800</v>
      </c>
      <c r="AW5" s="5"/>
      <c r="AX5" s="5"/>
      <c r="AY5" s="5"/>
      <c r="AZ5" s="5"/>
      <c r="BA5" s="5"/>
      <c r="BB5" s="5"/>
      <c r="BC5" s="5"/>
      <c r="BD5" s="5"/>
      <c r="BE5" s="5"/>
      <c r="BF5" s="5"/>
      <c r="BG5" s="5"/>
      <c r="BH5" s="5"/>
      <c r="BI5" s="5"/>
      <c r="BJ5" s="5"/>
      <c r="BK5" s="5"/>
      <c r="BL5" s="5"/>
      <c r="BM5" s="5">
        <f>51.95*0.145</f>
        <v>7.5327500000000001</v>
      </c>
      <c r="BN5" s="5">
        <f>51.95*0.6</f>
        <v>31.17</v>
      </c>
      <c r="BO5" s="5">
        <f>SUM(BL5:BN5)</f>
        <v>38.702750000000002</v>
      </c>
      <c r="BP5" s="5">
        <f t="shared" si="1"/>
        <v>0.34228187919463088</v>
      </c>
      <c r="BQ5" s="5">
        <f>51.95*0.125</f>
        <v>6.4937500000000004</v>
      </c>
      <c r="BR5" s="5">
        <f>51.95*0.13</f>
        <v>6.7535000000000007</v>
      </c>
      <c r="BS5" s="5"/>
      <c r="BT5" s="5">
        <f>SUM(BQ5:BS5)</f>
        <v>13.247250000000001</v>
      </c>
      <c r="BU5" s="5">
        <f t="shared" si="2"/>
        <v>51.95</v>
      </c>
      <c r="BV5" s="5"/>
      <c r="BW5" s="5">
        <v>107.54</v>
      </c>
      <c r="BX5" s="5"/>
      <c r="BY5" s="5">
        <f>BU5+BW5</f>
        <v>159.49</v>
      </c>
      <c r="BZ5" s="5"/>
      <c r="CA5" s="5"/>
      <c r="CB5" s="5"/>
      <c r="CC5" s="5">
        <v>1.58</v>
      </c>
      <c r="CD5" s="5"/>
      <c r="CE5" s="5"/>
      <c r="CF5" s="5"/>
      <c r="CG5" s="5"/>
      <c r="CH5" s="5"/>
      <c r="CI5" s="5"/>
      <c r="CJ5" s="5"/>
      <c r="CK5" s="5"/>
      <c r="CL5" s="5"/>
      <c r="CM5" s="10" t="s">
        <v>333</v>
      </c>
      <c r="CN5" s="10" t="s">
        <v>332</v>
      </c>
      <c r="CO5" s="11" t="s">
        <v>331</v>
      </c>
      <c r="CP5" s="12" t="s">
        <v>1</v>
      </c>
    </row>
    <row r="6" spans="1:100" s="2" customFormat="1" x14ac:dyDescent="0.25">
      <c r="A6" s="10" t="s">
        <v>228</v>
      </c>
      <c r="B6" s="10" t="s">
        <v>330</v>
      </c>
      <c r="C6" s="5" t="s">
        <v>63</v>
      </c>
      <c r="D6" s="10" t="s">
        <v>329</v>
      </c>
      <c r="E6" s="10" t="s">
        <v>328</v>
      </c>
      <c r="F6" s="10">
        <v>1993</v>
      </c>
      <c r="G6" s="10">
        <v>2000</v>
      </c>
      <c r="H6" s="10">
        <v>0</v>
      </c>
      <c r="I6" s="10">
        <v>0</v>
      </c>
      <c r="J6" s="10">
        <v>0</v>
      </c>
      <c r="K6" s="10">
        <v>0</v>
      </c>
      <c r="L6" s="10">
        <v>0</v>
      </c>
      <c r="M6" s="10">
        <v>0</v>
      </c>
      <c r="N6" s="5">
        <v>12.8</v>
      </c>
      <c r="O6" s="5">
        <f t="shared" si="0"/>
        <v>93.600000000000009</v>
      </c>
      <c r="P6" s="5">
        <v>2678.8</v>
      </c>
      <c r="Q6" s="5"/>
      <c r="R6" s="5">
        <v>1100</v>
      </c>
      <c r="S6" s="5">
        <v>86.6</v>
      </c>
      <c r="T6" s="5">
        <v>1434.3</v>
      </c>
      <c r="U6" s="5">
        <v>0.91</v>
      </c>
      <c r="V6" s="5"/>
      <c r="W6" s="5"/>
      <c r="X6" s="5">
        <v>5</v>
      </c>
      <c r="Y6" s="5"/>
      <c r="Z6" s="5"/>
      <c r="AA6" s="5"/>
      <c r="AB6" s="5"/>
      <c r="AC6" s="5"/>
      <c r="AD6" s="5"/>
      <c r="AE6" s="5"/>
      <c r="AF6" s="5"/>
      <c r="AG6" s="5"/>
      <c r="AH6" s="5"/>
      <c r="AI6" s="5"/>
      <c r="AJ6" s="5"/>
      <c r="AK6" s="5"/>
      <c r="AL6" s="5"/>
      <c r="AM6" s="5"/>
      <c r="AN6" s="5"/>
      <c r="AO6" s="5"/>
      <c r="AP6" s="5">
        <f>(448.91/1000/1000)*10000</f>
        <v>4.4891000000000005</v>
      </c>
      <c r="AQ6" s="5"/>
      <c r="AR6" s="5"/>
      <c r="AS6" s="5">
        <f>(95.75/1000/1000)*10000</f>
        <v>0.95750000000000002</v>
      </c>
      <c r="AT6" s="5">
        <f>(68.43/1000/1000)*10000</f>
        <v>0.68430000000000002</v>
      </c>
      <c r="AU6" s="5">
        <f>(27.32/1000/1000)*10000</f>
        <v>0.2732</v>
      </c>
      <c r="AV6" s="5"/>
      <c r="AW6" s="5"/>
      <c r="AX6" s="5"/>
      <c r="AY6" s="5"/>
      <c r="AZ6" s="5"/>
      <c r="BA6" s="5"/>
      <c r="BB6" s="5"/>
      <c r="BC6" s="5"/>
      <c r="BD6" s="5"/>
      <c r="BE6" s="5"/>
      <c r="BF6" s="5"/>
      <c r="BG6" s="5"/>
      <c r="BH6" s="5"/>
      <c r="BI6" s="5"/>
      <c r="BJ6" s="5"/>
      <c r="BK6" s="5"/>
      <c r="BL6" s="5"/>
      <c r="BM6" s="5"/>
      <c r="BN6" s="5"/>
      <c r="BO6" s="5">
        <f>71.6*0.5</f>
        <v>35.799999999999997</v>
      </c>
      <c r="BP6" s="5">
        <f t="shared" si="1"/>
        <v>0.85474860335195546</v>
      </c>
      <c r="BQ6" s="5"/>
      <c r="BR6" s="5"/>
      <c r="BS6" s="5"/>
      <c r="BT6" s="5">
        <f>61.2*0.5</f>
        <v>30.6</v>
      </c>
      <c r="BU6" s="5">
        <f t="shared" si="2"/>
        <v>66.400000000000006</v>
      </c>
      <c r="BV6" s="5"/>
      <c r="BW6" s="5"/>
      <c r="BX6" s="5"/>
      <c r="BY6" s="5"/>
      <c r="BZ6" s="5"/>
      <c r="CA6" s="5"/>
      <c r="CB6" s="5">
        <f>16.1281*0.5</f>
        <v>8.0640499999999999</v>
      </c>
      <c r="CC6" s="5">
        <f>(1.2989+0.2015+0.296)*0.5</f>
        <v>0.8982</v>
      </c>
      <c r="CD6" s="5">
        <f>SUM(BZ6:CC6)</f>
        <v>8.9622499999999992</v>
      </c>
      <c r="CE6" s="5"/>
      <c r="CF6" s="5"/>
      <c r="CG6" s="5"/>
      <c r="CH6" s="5"/>
      <c r="CI6" s="5"/>
      <c r="CJ6" s="5"/>
      <c r="CK6" s="5"/>
      <c r="CL6" s="5"/>
      <c r="CM6" s="10" t="s">
        <v>327</v>
      </c>
      <c r="CN6" s="10" t="s">
        <v>326</v>
      </c>
      <c r="CO6" s="11" t="s">
        <v>325</v>
      </c>
      <c r="CP6" s="12" t="s">
        <v>324</v>
      </c>
    </row>
    <row r="7" spans="1:100" s="2" customFormat="1" x14ac:dyDescent="0.25">
      <c r="A7" s="10" t="s">
        <v>228</v>
      </c>
      <c r="B7" s="10" t="s">
        <v>323</v>
      </c>
      <c r="C7" s="5" t="s">
        <v>157</v>
      </c>
      <c r="D7" s="10" t="s">
        <v>322</v>
      </c>
      <c r="E7" s="10" t="s">
        <v>321</v>
      </c>
      <c r="F7" s="10">
        <v>2011</v>
      </c>
      <c r="G7" s="10">
        <v>2011</v>
      </c>
      <c r="H7" s="10">
        <v>1</v>
      </c>
      <c r="I7" s="10">
        <v>1</v>
      </c>
      <c r="J7" s="10">
        <v>1</v>
      </c>
      <c r="K7" s="10">
        <v>1</v>
      </c>
      <c r="L7" s="10">
        <v>0</v>
      </c>
      <c r="M7" s="10">
        <v>0</v>
      </c>
      <c r="N7" s="5">
        <v>19.3</v>
      </c>
      <c r="O7" s="5">
        <f t="shared" si="0"/>
        <v>171.60000000000002</v>
      </c>
      <c r="P7" s="5">
        <v>1700</v>
      </c>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10"/>
      <c r="AU7" s="5"/>
      <c r="AV7" s="5">
        <v>3330</v>
      </c>
      <c r="AW7" s="5"/>
      <c r="AX7" s="5"/>
      <c r="AY7" s="5"/>
      <c r="AZ7" s="5"/>
      <c r="BA7" s="5"/>
      <c r="BB7" s="5"/>
      <c r="BC7" s="5"/>
      <c r="BD7" s="5"/>
      <c r="BE7" s="5"/>
      <c r="BF7" s="5"/>
      <c r="BG7" s="5"/>
      <c r="BH7" s="5"/>
      <c r="BI7" s="5"/>
      <c r="BJ7" s="5"/>
      <c r="BK7" s="5"/>
      <c r="BL7" s="5"/>
      <c r="BM7" s="5">
        <f>58.7*0.145</f>
        <v>8.5114999999999998</v>
      </c>
      <c r="BN7" s="5">
        <f>58.7*0.6</f>
        <v>35.22</v>
      </c>
      <c r="BO7" s="5">
        <f>SUM(BL7:BN7)</f>
        <v>43.731499999999997</v>
      </c>
      <c r="BP7" s="5">
        <f t="shared" si="1"/>
        <v>0.34228187919463093</v>
      </c>
      <c r="BQ7" s="5">
        <f>58.7*0.125</f>
        <v>7.3375000000000004</v>
      </c>
      <c r="BR7" s="5">
        <f>58.7*0.13</f>
        <v>7.6310000000000002</v>
      </c>
      <c r="BS7" s="5"/>
      <c r="BT7" s="5">
        <f>SUM(BQ7:BS7)</f>
        <v>14.968500000000001</v>
      </c>
      <c r="BU7" s="5">
        <f t="shared" si="2"/>
        <v>58.699999999999996</v>
      </c>
      <c r="BV7" s="5"/>
      <c r="BW7" s="5">
        <v>79.14</v>
      </c>
      <c r="BX7" s="5"/>
      <c r="BY7" s="5">
        <f>BU7+BW7</f>
        <v>137.84</v>
      </c>
      <c r="BZ7" s="5"/>
      <c r="CA7" s="5"/>
      <c r="CB7" s="5"/>
      <c r="CC7" s="5">
        <v>1.71</v>
      </c>
      <c r="CD7" s="5"/>
      <c r="CE7" s="5"/>
      <c r="CF7" s="5"/>
      <c r="CG7" s="5"/>
      <c r="CH7" s="5"/>
      <c r="CI7" s="5"/>
      <c r="CJ7" s="5"/>
      <c r="CK7" s="5"/>
      <c r="CL7" s="5"/>
      <c r="CM7" s="10" t="s">
        <v>320</v>
      </c>
      <c r="CN7" s="10" t="s">
        <v>3</v>
      </c>
      <c r="CO7" s="11" t="s">
        <v>319</v>
      </c>
      <c r="CP7" s="12" t="s">
        <v>1</v>
      </c>
    </row>
    <row r="8" spans="1:100" s="2" customFormat="1" x14ac:dyDescent="0.25">
      <c r="A8" s="10" t="s">
        <v>228</v>
      </c>
      <c r="B8" s="10" t="s">
        <v>310</v>
      </c>
      <c r="C8" s="5" t="s">
        <v>272</v>
      </c>
      <c r="D8" s="10" t="s">
        <v>318</v>
      </c>
      <c r="E8" s="10" t="s">
        <v>317</v>
      </c>
      <c r="F8" s="10">
        <v>1995</v>
      </c>
      <c r="G8" s="10">
        <v>2008</v>
      </c>
      <c r="H8" s="10">
        <v>1</v>
      </c>
      <c r="I8" s="10">
        <v>1</v>
      </c>
      <c r="J8" s="10">
        <v>1</v>
      </c>
      <c r="K8" s="10">
        <v>1</v>
      </c>
      <c r="L8" s="10">
        <v>0</v>
      </c>
      <c r="M8" s="10">
        <v>0</v>
      </c>
      <c r="N8" s="5">
        <v>23</v>
      </c>
      <c r="O8" s="5">
        <f t="shared" si="0"/>
        <v>216</v>
      </c>
      <c r="P8" s="5">
        <v>2000</v>
      </c>
      <c r="Q8" s="5"/>
      <c r="R8" s="5">
        <v>800</v>
      </c>
      <c r="S8" s="5"/>
      <c r="T8" s="5"/>
      <c r="U8" s="5"/>
      <c r="V8" s="5"/>
      <c r="W8" s="5"/>
      <c r="X8" s="5"/>
      <c r="Y8" s="5"/>
      <c r="Z8" s="5"/>
      <c r="AA8" s="5"/>
      <c r="AB8" s="5"/>
      <c r="AC8" s="5"/>
      <c r="AD8" s="5"/>
      <c r="AE8" s="5"/>
      <c r="AF8" s="5"/>
      <c r="AG8" s="5"/>
      <c r="AH8" s="5"/>
      <c r="AI8" s="5"/>
      <c r="AJ8" s="5"/>
      <c r="AK8" s="5"/>
      <c r="AL8" s="5"/>
      <c r="AM8" s="5"/>
      <c r="AN8" s="5"/>
      <c r="AO8" s="5"/>
      <c r="AP8" s="5"/>
      <c r="AQ8" s="5"/>
      <c r="AR8" s="5"/>
      <c r="AS8" s="5"/>
      <c r="AT8" s="10"/>
      <c r="AU8" s="10"/>
      <c r="AV8" s="5">
        <v>2566.67</v>
      </c>
      <c r="AW8" s="5">
        <f>(10.5+13.5)/2</f>
        <v>12</v>
      </c>
      <c r="AX8" s="5"/>
      <c r="AY8" s="5">
        <f>(AW8/2)^2*PI()*AV8/10000</f>
        <v>29.028353818281531</v>
      </c>
      <c r="AZ8" s="5"/>
      <c r="BA8" s="5"/>
      <c r="BB8" s="5"/>
      <c r="BC8" s="5"/>
      <c r="BD8" s="5"/>
      <c r="BE8" s="5"/>
      <c r="BF8" s="5"/>
      <c r="BG8" s="5"/>
      <c r="BH8" s="5"/>
      <c r="BI8" s="5"/>
      <c r="BJ8" s="5"/>
      <c r="BK8" s="5"/>
      <c r="BL8" s="5">
        <f>4.825*0.5</f>
        <v>2.4125000000000001</v>
      </c>
      <c r="BM8" s="5">
        <f>9.3586*0.5</f>
        <v>4.6792999999999996</v>
      </c>
      <c r="BN8" s="5">
        <f>58.5427*0.5</f>
        <v>29.271350000000002</v>
      </c>
      <c r="BO8" s="5">
        <f>SUM(BL8:BN8)</f>
        <v>36.363150000000005</v>
      </c>
      <c r="BP8" s="5">
        <f t="shared" si="1"/>
        <v>0.25643267978709211</v>
      </c>
      <c r="BQ8" s="5">
        <f>9.7892*0.5</f>
        <v>4.8945999999999996</v>
      </c>
      <c r="BR8" s="5"/>
      <c r="BS8" s="5">
        <f>8.8602*0.5</f>
        <v>4.4301000000000004</v>
      </c>
      <c r="BT8" s="5">
        <f>SUM(BQ8:BS8)</f>
        <v>9.3247</v>
      </c>
      <c r="BU8" s="5">
        <f t="shared" si="2"/>
        <v>45.687850000000005</v>
      </c>
      <c r="BV8" s="5"/>
      <c r="BW8" s="5"/>
      <c r="BX8" s="5"/>
      <c r="BY8" s="5"/>
      <c r="BZ8" s="5"/>
      <c r="CA8" s="5"/>
      <c r="CB8" s="5"/>
      <c r="CC8" s="5"/>
      <c r="CD8" s="5"/>
      <c r="CE8" s="5"/>
      <c r="CF8" s="5"/>
      <c r="CG8" s="5"/>
      <c r="CH8" s="5"/>
      <c r="CI8" s="5"/>
      <c r="CJ8" s="5"/>
      <c r="CK8" s="5"/>
      <c r="CL8" s="5"/>
      <c r="CM8" s="10" t="s">
        <v>307</v>
      </c>
      <c r="CN8" s="10" t="s">
        <v>3</v>
      </c>
      <c r="CO8" s="11" t="s">
        <v>306</v>
      </c>
      <c r="CP8" s="12" t="s">
        <v>37</v>
      </c>
    </row>
    <row r="9" spans="1:100" s="2" customFormat="1" ht="18.75" x14ac:dyDescent="0.25">
      <c r="A9" s="10" t="s">
        <v>228</v>
      </c>
      <c r="B9" s="10" t="s">
        <v>316</v>
      </c>
      <c r="C9" s="5" t="s">
        <v>272</v>
      </c>
      <c r="D9" s="10" t="s">
        <v>466</v>
      </c>
      <c r="E9" s="10" t="s">
        <v>315</v>
      </c>
      <c r="F9" s="10">
        <v>2007</v>
      </c>
      <c r="G9" s="10">
        <v>2008</v>
      </c>
      <c r="H9" s="10">
        <v>1</v>
      </c>
      <c r="I9" s="10">
        <v>1</v>
      </c>
      <c r="J9" s="10">
        <v>1</v>
      </c>
      <c r="K9" s="10">
        <v>1</v>
      </c>
      <c r="L9" s="10">
        <v>0</v>
      </c>
      <c r="M9" s="10">
        <v>0</v>
      </c>
      <c r="N9" s="5">
        <v>23</v>
      </c>
      <c r="O9" s="5">
        <f t="shared" si="0"/>
        <v>216</v>
      </c>
      <c r="P9" s="5">
        <v>2000</v>
      </c>
      <c r="Q9" s="5"/>
      <c r="R9" s="5">
        <f>(580+1604.8)/2</f>
        <v>1092.4000000000001</v>
      </c>
      <c r="S9" s="5">
        <v>80</v>
      </c>
      <c r="T9" s="5"/>
      <c r="U9" s="5"/>
      <c r="V9" s="5"/>
      <c r="W9" s="5"/>
      <c r="X9" s="5"/>
      <c r="Y9" s="5"/>
      <c r="Z9" s="5"/>
      <c r="AA9" s="5"/>
      <c r="AB9" s="5"/>
      <c r="AC9" s="5"/>
      <c r="AD9" s="5"/>
      <c r="AE9" s="5"/>
      <c r="AF9" s="5"/>
      <c r="AG9" s="5"/>
      <c r="AH9" s="5"/>
      <c r="AI9" s="5"/>
      <c r="AJ9" s="5"/>
      <c r="AK9" s="5"/>
      <c r="AL9" s="5"/>
      <c r="AM9" s="5"/>
      <c r="AN9" s="5"/>
      <c r="AO9" s="5"/>
      <c r="AP9" s="5"/>
      <c r="AQ9" s="5"/>
      <c r="AR9" s="5"/>
      <c r="AS9" s="5"/>
      <c r="AT9" s="10"/>
      <c r="AU9" s="10"/>
      <c r="AV9" s="5">
        <v>2770.33</v>
      </c>
      <c r="AW9" s="5">
        <f>(10.5+12.5)/2</f>
        <v>11.5</v>
      </c>
      <c r="AX9" s="5"/>
      <c r="AY9" s="5">
        <f>(AW9/2)^2*PI()*AV9/10000</f>
        <v>28.775114943214181</v>
      </c>
      <c r="AZ9" s="5"/>
      <c r="BA9" s="5"/>
      <c r="BB9" s="5"/>
      <c r="BC9" s="5"/>
      <c r="BD9" s="5"/>
      <c r="BE9" s="5"/>
      <c r="BF9" s="5"/>
      <c r="BG9" s="5"/>
      <c r="BH9" s="5"/>
      <c r="BI9" s="5"/>
      <c r="BJ9" s="5"/>
      <c r="BK9" s="5"/>
      <c r="BL9" s="5">
        <f>6.537*0.5</f>
        <v>3.2685</v>
      </c>
      <c r="BM9" s="5">
        <f>12.664*0.5</f>
        <v>6.3319999999999999</v>
      </c>
      <c r="BN9" s="5">
        <f>85.905*0.5</f>
        <v>42.952500000000001</v>
      </c>
      <c r="BO9" s="5">
        <f>SUM(BL9:BN9)</f>
        <v>52.552999999999997</v>
      </c>
      <c r="BP9" s="5">
        <f t="shared" si="1"/>
        <v>0.36447015393983223</v>
      </c>
      <c r="BQ9" s="5">
        <f>(13.56+3.552)*0.5</f>
        <v>8.5560000000000009</v>
      </c>
      <c r="BR9" s="5">
        <f>9.17*0.5</f>
        <v>4.585</v>
      </c>
      <c r="BS9" s="5">
        <f>12.026*0.5</f>
        <v>6.0129999999999999</v>
      </c>
      <c r="BT9" s="5">
        <f>SUM(BQ9:BS9)</f>
        <v>19.154000000000003</v>
      </c>
      <c r="BU9" s="5">
        <f t="shared" si="2"/>
        <v>71.706999999999994</v>
      </c>
      <c r="BV9" s="5"/>
      <c r="BW9" s="5"/>
      <c r="BX9" s="5"/>
      <c r="BY9" s="5"/>
      <c r="BZ9" s="5">
        <f>5.886*0.5</f>
        <v>2.9430000000000001</v>
      </c>
      <c r="CA9" s="5">
        <f>5.53581*0.5</f>
        <v>2.7679049999999998</v>
      </c>
      <c r="CB9" s="5">
        <f>35.28824*0.5</f>
        <v>17.644120000000001</v>
      </c>
      <c r="CC9" s="5"/>
      <c r="CD9" s="5">
        <f>SUM(BZ9:CC9)</f>
        <v>23.355025000000001</v>
      </c>
      <c r="CE9" s="5">
        <f>(3.18106+1.45924)*0.5</f>
        <v>2.3201499999999999</v>
      </c>
      <c r="CF9" s="5">
        <f>3.76702*0.5</f>
        <v>1.88351</v>
      </c>
      <c r="CG9" s="5">
        <f>4.66874*0.5</f>
        <v>2.3343699999999998</v>
      </c>
      <c r="CH9" s="5">
        <f>SUM(CE9:CG9)</f>
        <v>6.53803</v>
      </c>
      <c r="CI9" s="5">
        <f>CH9+CD9</f>
        <v>29.893055</v>
      </c>
      <c r="CJ9" s="5"/>
      <c r="CK9" s="5"/>
      <c r="CL9" s="5"/>
      <c r="CM9" s="10" t="s">
        <v>314</v>
      </c>
      <c r="CN9" s="10" t="s">
        <v>3</v>
      </c>
      <c r="CO9" s="11" t="s">
        <v>313</v>
      </c>
      <c r="CP9" s="12" t="s">
        <v>37</v>
      </c>
    </row>
    <row r="10" spans="1:100" s="2" customFormat="1" x14ac:dyDescent="0.25">
      <c r="A10" s="10" t="s">
        <v>228</v>
      </c>
      <c r="B10" s="10" t="s">
        <v>310</v>
      </c>
      <c r="C10" s="5" t="s">
        <v>272</v>
      </c>
      <c r="D10" s="10" t="s">
        <v>312</v>
      </c>
      <c r="E10" s="10" t="s">
        <v>311</v>
      </c>
      <c r="F10" s="10">
        <v>1995</v>
      </c>
      <c r="G10" s="10">
        <v>2008</v>
      </c>
      <c r="H10" s="10">
        <v>1</v>
      </c>
      <c r="I10" s="10">
        <v>1</v>
      </c>
      <c r="J10" s="10">
        <v>1</v>
      </c>
      <c r="K10" s="10">
        <v>1</v>
      </c>
      <c r="L10" s="10">
        <v>0</v>
      </c>
      <c r="M10" s="10">
        <v>0</v>
      </c>
      <c r="N10" s="5">
        <v>23</v>
      </c>
      <c r="O10" s="5">
        <f t="shared" si="0"/>
        <v>216</v>
      </c>
      <c r="P10" s="5">
        <v>2000</v>
      </c>
      <c r="Q10" s="5"/>
      <c r="R10" s="5">
        <v>800</v>
      </c>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10"/>
      <c r="AU10" s="10"/>
      <c r="AV10" s="5">
        <v>2833.33</v>
      </c>
      <c r="AW10" s="5">
        <f>(10.5+13.5)/2</f>
        <v>12</v>
      </c>
      <c r="AX10" s="5"/>
      <c r="AY10" s="5">
        <f>(AW10/2)^2*PI()*AV10/10000</f>
        <v>32.044207367504043</v>
      </c>
      <c r="AZ10" s="5"/>
      <c r="BA10" s="5"/>
      <c r="BB10" s="5"/>
      <c r="BC10" s="5"/>
      <c r="BD10" s="5"/>
      <c r="BE10" s="5"/>
      <c r="BF10" s="5"/>
      <c r="BG10" s="5"/>
      <c r="BH10" s="5"/>
      <c r="BI10" s="5"/>
      <c r="BJ10" s="5"/>
      <c r="BK10" s="5"/>
      <c r="BL10" s="5">
        <f>5.1296*0.5</f>
        <v>2.5648</v>
      </c>
      <c r="BM10" s="5">
        <f>9.8915*0.5</f>
        <v>4.9457500000000003</v>
      </c>
      <c r="BN10" s="5">
        <f>66.7851*0.5</f>
        <v>33.39255</v>
      </c>
      <c r="BO10" s="5">
        <f>SUM(BL10:BN10)</f>
        <v>40.903100000000002</v>
      </c>
      <c r="BP10" s="5">
        <f t="shared" si="1"/>
        <v>0.23887798235341573</v>
      </c>
      <c r="BQ10" s="5">
        <f>10.1972*0.5</f>
        <v>5.0986000000000002</v>
      </c>
      <c r="BR10" s="5"/>
      <c r="BS10" s="5">
        <f>9.3445*0.5</f>
        <v>4.67225</v>
      </c>
      <c r="BT10" s="5">
        <f>SUM(BQ10:BS10)</f>
        <v>9.7708499999999994</v>
      </c>
      <c r="BU10" s="5">
        <f t="shared" si="2"/>
        <v>50.673950000000005</v>
      </c>
      <c r="BV10" s="5"/>
      <c r="BW10" s="5"/>
      <c r="BX10" s="5"/>
      <c r="BY10" s="5"/>
      <c r="BZ10" s="5"/>
      <c r="CA10" s="5"/>
      <c r="CB10" s="5"/>
      <c r="CC10" s="5"/>
      <c r="CD10" s="5"/>
      <c r="CE10" s="5"/>
      <c r="CF10" s="5"/>
      <c r="CG10" s="5"/>
      <c r="CH10" s="5"/>
      <c r="CI10" s="5"/>
      <c r="CJ10" s="5"/>
      <c r="CK10" s="5"/>
      <c r="CL10" s="5"/>
      <c r="CM10" s="10" t="s">
        <v>307</v>
      </c>
      <c r="CN10" s="10" t="s">
        <v>3</v>
      </c>
      <c r="CO10" s="11" t="s">
        <v>306</v>
      </c>
      <c r="CP10" s="12" t="s">
        <v>37</v>
      </c>
    </row>
    <row r="11" spans="1:100" s="2" customFormat="1" x14ac:dyDescent="0.25">
      <c r="A11" s="10" t="s">
        <v>228</v>
      </c>
      <c r="B11" s="10" t="s">
        <v>310</v>
      </c>
      <c r="C11" s="5" t="s">
        <v>272</v>
      </c>
      <c r="D11" s="10" t="s">
        <v>309</v>
      </c>
      <c r="E11" s="10" t="s">
        <v>308</v>
      </c>
      <c r="F11" s="10">
        <v>1995</v>
      </c>
      <c r="G11" s="10">
        <v>2008</v>
      </c>
      <c r="H11" s="10">
        <v>1</v>
      </c>
      <c r="I11" s="10">
        <v>0</v>
      </c>
      <c r="J11" s="10">
        <v>1</v>
      </c>
      <c r="K11" s="10">
        <v>1</v>
      </c>
      <c r="L11" s="10">
        <v>0</v>
      </c>
      <c r="M11" s="10">
        <v>0</v>
      </c>
      <c r="N11" s="5">
        <v>23</v>
      </c>
      <c r="O11" s="5">
        <f t="shared" si="0"/>
        <v>216</v>
      </c>
      <c r="P11" s="5">
        <v>2000</v>
      </c>
      <c r="Q11" s="5"/>
      <c r="R11" s="5">
        <v>800</v>
      </c>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10"/>
      <c r="AU11" s="10"/>
      <c r="AV11" s="5">
        <v>2629</v>
      </c>
      <c r="AW11" s="5">
        <f>(8.5+11.5)/2</f>
        <v>10</v>
      </c>
      <c r="AX11" s="5"/>
      <c r="AY11" s="5">
        <f>(AW11/2)^2*PI()*AV11/10000</f>
        <v>20.648117715718918</v>
      </c>
      <c r="AZ11" s="5"/>
      <c r="BA11" s="5"/>
      <c r="BB11" s="5"/>
      <c r="BC11" s="5"/>
      <c r="BD11" s="5"/>
      <c r="BE11" s="5"/>
      <c r="BF11" s="5"/>
      <c r="BG11" s="5"/>
      <c r="BH11" s="5"/>
      <c r="BI11" s="5"/>
      <c r="BJ11" s="5"/>
      <c r="BK11" s="5"/>
      <c r="BL11" s="5">
        <f>3.0425*0.5</f>
        <v>1.52125</v>
      </c>
      <c r="BM11" s="5">
        <f>5.962*0.5</f>
        <v>2.9809999999999999</v>
      </c>
      <c r="BN11" s="5">
        <f>39.9792*0.5</f>
        <v>19.989599999999999</v>
      </c>
      <c r="BO11" s="5">
        <f>SUM(BL11:BN11)</f>
        <v>24.491849999999999</v>
      </c>
      <c r="BP11" s="5">
        <f t="shared" si="1"/>
        <v>0.23912648493274294</v>
      </c>
      <c r="BQ11" s="5">
        <f>6.2232*0.5</f>
        <v>3.1116000000000001</v>
      </c>
      <c r="BR11" s="5"/>
      <c r="BS11" s="5">
        <f>5.4901*0.5</f>
        <v>2.74505</v>
      </c>
      <c r="BT11" s="5">
        <f>SUM(BQ11:BS11)</f>
        <v>5.8566500000000001</v>
      </c>
      <c r="BU11" s="5">
        <f t="shared" si="2"/>
        <v>30.348500000000001</v>
      </c>
      <c r="BV11" s="5"/>
      <c r="BW11" s="5"/>
      <c r="BX11" s="5"/>
      <c r="BY11" s="5"/>
      <c r="BZ11" s="5"/>
      <c r="CA11" s="5"/>
      <c r="CB11" s="5"/>
      <c r="CC11" s="5"/>
      <c r="CD11" s="5"/>
      <c r="CE11" s="5"/>
      <c r="CF11" s="5"/>
      <c r="CG11" s="5"/>
      <c r="CH11" s="5"/>
      <c r="CI11" s="5"/>
      <c r="CJ11" s="5"/>
      <c r="CK11" s="5"/>
      <c r="CL11" s="5"/>
      <c r="CM11" s="10" t="s">
        <v>307</v>
      </c>
      <c r="CN11" s="10" t="s">
        <v>3</v>
      </c>
      <c r="CO11" s="11" t="s">
        <v>306</v>
      </c>
      <c r="CP11" s="12" t="s">
        <v>37</v>
      </c>
    </row>
    <row r="12" spans="1:100" s="2" customFormat="1" x14ac:dyDescent="0.25">
      <c r="A12" s="10" t="s">
        <v>228</v>
      </c>
      <c r="B12" s="10" t="s">
        <v>303</v>
      </c>
      <c r="C12" s="5" t="s">
        <v>163</v>
      </c>
      <c r="D12" s="10" t="s">
        <v>305</v>
      </c>
      <c r="E12" s="10" t="s">
        <v>304</v>
      </c>
      <c r="F12" s="10">
        <v>2000</v>
      </c>
      <c r="G12" s="10">
        <v>2011</v>
      </c>
      <c r="H12" s="10">
        <v>1</v>
      </c>
      <c r="I12" s="10">
        <v>0</v>
      </c>
      <c r="J12" s="10">
        <v>1</v>
      </c>
      <c r="K12" s="10">
        <v>1</v>
      </c>
      <c r="L12" s="10">
        <v>0</v>
      </c>
      <c r="M12" s="10">
        <v>0</v>
      </c>
      <c r="N12" s="5">
        <v>16.899999999999999</v>
      </c>
      <c r="O12" s="5">
        <f t="shared" si="0"/>
        <v>142.79999999999998</v>
      </c>
      <c r="P12" s="5">
        <f>(1251+1608)/2</f>
        <v>1429.5</v>
      </c>
      <c r="Q12" s="5"/>
      <c r="R12" s="5">
        <v>112</v>
      </c>
      <c r="S12" s="5"/>
      <c r="T12" s="5"/>
      <c r="U12" s="5"/>
      <c r="V12" s="5"/>
      <c r="W12" s="5"/>
      <c r="X12" s="5"/>
      <c r="Y12" s="5">
        <v>2.0299999999999998</v>
      </c>
      <c r="Z12" s="5">
        <v>0.37</v>
      </c>
      <c r="AA12" s="5">
        <v>15</v>
      </c>
      <c r="AB12" s="5"/>
      <c r="AC12" s="5"/>
      <c r="AD12" s="5"/>
      <c r="AE12" s="5"/>
      <c r="AF12" s="5"/>
      <c r="AG12" s="5"/>
      <c r="AH12" s="5"/>
      <c r="AI12" s="5"/>
      <c r="AJ12" s="5"/>
      <c r="AK12" s="5"/>
      <c r="AL12" s="5"/>
      <c r="AM12" s="5"/>
      <c r="AN12" s="5"/>
      <c r="AO12" s="5"/>
      <c r="AP12" s="5"/>
      <c r="AQ12" s="5"/>
      <c r="AR12" s="5"/>
      <c r="AS12" s="5"/>
      <c r="AT12" s="10"/>
      <c r="AU12" s="5"/>
      <c r="AV12" s="5"/>
      <c r="AW12" s="5">
        <v>8.3000000000000007</v>
      </c>
      <c r="AX12" s="5">
        <v>13.1</v>
      </c>
      <c r="AY12" s="5"/>
      <c r="AZ12" s="5"/>
      <c r="BA12" s="5"/>
      <c r="BB12" s="5"/>
      <c r="BC12" s="5"/>
      <c r="BD12" s="5"/>
      <c r="BE12" s="5"/>
      <c r="BF12" s="5"/>
      <c r="BG12" s="5"/>
      <c r="BH12" s="5"/>
      <c r="BI12" s="5"/>
      <c r="BJ12" s="5">
        <f>25.86/1000*100</f>
        <v>2.5860000000000003</v>
      </c>
      <c r="BK12" s="5">
        <f>25.86/1000*100</f>
        <v>2.5860000000000003</v>
      </c>
      <c r="BL12" s="5"/>
      <c r="BM12" s="5"/>
      <c r="BN12" s="5"/>
      <c r="BO12" s="5">
        <f>4006.1*10000/1000/1000*0.5</f>
        <v>20.0305</v>
      </c>
      <c r="BP12" s="5"/>
      <c r="BQ12" s="5">
        <f>(419.2+249.3)*10000/1000/1000*0.5</f>
        <v>3.3424999999999998</v>
      </c>
      <c r="BR12" s="5"/>
      <c r="BS12" s="5"/>
      <c r="BT12" s="5"/>
      <c r="BU12" s="5"/>
      <c r="BV12" s="5"/>
      <c r="BW12" s="5"/>
      <c r="BX12" s="5"/>
      <c r="BY12" s="5"/>
      <c r="BZ12" s="5"/>
      <c r="CA12" s="5"/>
      <c r="CB12" s="5"/>
      <c r="CC12" s="5">
        <f>384.9*10000/1000/1000*0.5</f>
        <v>1.9245000000000001</v>
      </c>
      <c r="CD12" s="5"/>
      <c r="CE12" s="5"/>
      <c r="CF12" s="5"/>
      <c r="CG12" s="5"/>
      <c r="CH12" s="5"/>
      <c r="CI12" s="5"/>
      <c r="CJ12" s="5"/>
      <c r="CK12" s="5"/>
      <c r="CL12" s="5"/>
      <c r="CM12" s="10" t="s">
        <v>296</v>
      </c>
      <c r="CN12" s="10" t="s">
        <v>3</v>
      </c>
      <c r="CO12" s="11" t="s">
        <v>295</v>
      </c>
      <c r="CP12" s="12" t="s">
        <v>37</v>
      </c>
    </row>
    <row r="13" spans="1:100" s="2" customFormat="1" x14ac:dyDescent="0.25">
      <c r="A13" s="10" t="s">
        <v>228</v>
      </c>
      <c r="B13" s="10" t="s">
        <v>303</v>
      </c>
      <c r="C13" s="5" t="s">
        <v>163</v>
      </c>
      <c r="D13" s="10" t="s">
        <v>302</v>
      </c>
      <c r="E13" s="10" t="s">
        <v>301</v>
      </c>
      <c r="F13" s="10">
        <v>2000</v>
      </c>
      <c r="G13" s="10">
        <v>2011</v>
      </c>
      <c r="H13" s="10">
        <v>1</v>
      </c>
      <c r="I13" s="10">
        <v>0</v>
      </c>
      <c r="J13" s="10">
        <v>1</v>
      </c>
      <c r="K13" s="10">
        <v>1</v>
      </c>
      <c r="L13" s="10">
        <v>0</v>
      </c>
      <c r="M13" s="10">
        <v>0</v>
      </c>
      <c r="N13" s="5">
        <v>16.899999999999999</v>
      </c>
      <c r="O13" s="5">
        <f t="shared" si="0"/>
        <v>142.79999999999998</v>
      </c>
      <c r="P13" s="5">
        <f>(1251+1608)/2</f>
        <v>1429.5</v>
      </c>
      <c r="Q13" s="5"/>
      <c r="R13" s="5">
        <v>168</v>
      </c>
      <c r="S13" s="5"/>
      <c r="T13" s="5"/>
      <c r="U13" s="5"/>
      <c r="V13" s="5"/>
      <c r="W13" s="5"/>
      <c r="X13" s="5"/>
      <c r="Y13" s="5">
        <v>1.1200000000000001</v>
      </c>
      <c r="Z13" s="5">
        <v>0.31</v>
      </c>
      <c r="AA13" s="5">
        <v>12.7</v>
      </c>
      <c r="AB13" s="5"/>
      <c r="AC13" s="5"/>
      <c r="AD13" s="5"/>
      <c r="AE13" s="5"/>
      <c r="AF13" s="5"/>
      <c r="AG13" s="5"/>
      <c r="AH13" s="5"/>
      <c r="AI13" s="5"/>
      <c r="AJ13" s="5"/>
      <c r="AK13" s="5"/>
      <c r="AL13" s="5"/>
      <c r="AM13" s="5"/>
      <c r="AN13" s="5"/>
      <c r="AO13" s="5"/>
      <c r="AP13" s="5"/>
      <c r="AQ13" s="5"/>
      <c r="AR13" s="5"/>
      <c r="AS13" s="5"/>
      <c r="AT13" s="10"/>
      <c r="AU13" s="5"/>
      <c r="AV13" s="5"/>
      <c r="AW13" s="5">
        <v>8.8000000000000007</v>
      </c>
      <c r="AX13" s="5">
        <v>12.3</v>
      </c>
      <c r="AY13" s="5"/>
      <c r="AZ13" s="5"/>
      <c r="BA13" s="5"/>
      <c r="BB13" s="5"/>
      <c r="BC13" s="5"/>
      <c r="BD13" s="5"/>
      <c r="BE13" s="5"/>
      <c r="BF13" s="5"/>
      <c r="BG13" s="5"/>
      <c r="BH13" s="5"/>
      <c r="BI13" s="5"/>
      <c r="BJ13" s="5">
        <f>23.72/1000*100</f>
        <v>2.3719999999999999</v>
      </c>
      <c r="BK13" s="5">
        <f>23.72/1000*100</f>
        <v>2.3719999999999999</v>
      </c>
      <c r="BL13" s="5"/>
      <c r="BM13" s="5"/>
      <c r="BN13" s="5"/>
      <c r="BO13" s="5">
        <f>3421.4*10000/1000/1000*0.5</f>
        <v>17.106999999999999</v>
      </c>
      <c r="BP13" s="5"/>
      <c r="BQ13" s="5">
        <f>(638.7+372.1)*10000/1000/1000*0.5</f>
        <v>5.0540000000000003</v>
      </c>
      <c r="BR13" s="5"/>
      <c r="BS13" s="5"/>
      <c r="BT13" s="5"/>
      <c r="BU13" s="5"/>
      <c r="BV13" s="5"/>
      <c r="BW13" s="5"/>
      <c r="BX13" s="5"/>
      <c r="BY13" s="5"/>
      <c r="BZ13" s="5"/>
      <c r="CA13" s="5"/>
      <c r="CB13" s="5"/>
      <c r="CC13" s="5">
        <f>246.1*10000/1000/1000*0.5</f>
        <v>1.2304999999999999</v>
      </c>
      <c r="CD13" s="5"/>
      <c r="CE13" s="5"/>
      <c r="CF13" s="5"/>
      <c r="CG13" s="5"/>
      <c r="CH13" s="5"/>
      <c r="CI13" s="5"/>
      <c r="CJ13" s="5"/>
      <c r="CK13" s="5"/>
      <c r="CL13" s="5"/>
      <c r="CM13" s="10" t="s">
        <v>300</v>
      </c>
      <c r="CN13" s="10" t="s">
        <v>19</v>
      </c>
      <c r="CO13" s="11" t="s">
        <v>295</v>
      </c>
      <c r="CP13" s="12" t="s">
        <v>37</v>
      </c>
    </row>
    <row r="14" spans="1:100" s="2" customFormat="1" x14ac:dyDescent="0.25">
      <c r="A14" s="10" t="s">
        <v>228</v>
      </c>
      <c r="B14" s="10" t="s">
        <v>299</v>
      </c>
      <c r="C14" s="5" t="s">
        <v>163</v>
      </c>
      <c r="D14" s="10" t="s">
        <v>298</v>
      </c>
      <c r="E14" s="10" t="s">
        <v>297</v>
      </c>
      <c r="F14" s="10">
        <v>2000</v>
      </c>
      <c r="G14" s="10">
        <v>2011</v>
      </c>
      <c r="H14" s="10">
        <v>0</v>
      </c>
      <c r="I14" s="10">
        <v>0</v>
      </c>
      <c r="J14" s="10">
        <v>0</v>
      </c>
      <c r="K14" s="10">
        <v>0</v>
      </c>
      <c r="L14" s="10">
        <v>0</v>
      </c>
      <c r="M14" s="10">
        <v>0</v>
      </c>
      <c r="N14" s="5">
        <v>16.899999999999999</v>
      </c>
      <c r="O14" s="5">
        <f t="shared" si="0"/>
        <v>142.79999999999998</v>
      </c>
      <c r="P14" s="5">
        <f>(1251+1608)/2</f>
        <v>1429.5</v>
      </c>
      <c r="Q14" s="5"/>
      <c r="R14" s="5">
        <v>161</v>
      </c>
      <c r="S14" s="5"/>
      <c r="T14" s="5"/>
      <c r="U14" s="5"/>
      <c r="V14" s="5"/>
      <c r="W14" s="5"/>
      <c r="X14" s="5"/>
      <c r="Y14" s="5">
        <v>1.33</v>
      </c>
      <c r="Z14" s="5">
        <v>0.32</v>
      </c>
      <c r="AA14" s="5">
        <v>9.68</v>
      </c>
      <c r="AB14" s="5"/>
      <c r="AC14" s="5"/>
      <c r="AD14" s="5"/>
      <c r="AE14" s="5"/>
      <c r="AF14" s="5"/>
      <c r="AG14" s="5"/>
      <c r="AH14" s="5"/>
      <c r="AI14" s="5"/>
      <c r="AJ14" s="5"/>
      <c r="AK14" s="5"/>
      <c r="AL14" s="5"/>
      <c r="AM14" s="5"/>
      <c r="AN14" s="5"/>
      <c r="AO14" s="5"/>
      <c r="AP14" s="5"/>
      <c r="AQ14" s="5"/>
      <c r="AR14" s="5"/>
      <c r="AS14" s="5"/>
      <c r="AT14" s="10"/>
      <c r="AU14" s="5"/>
      <c r="AV14" s="5"/>
      <c r="AW14" s="5">
        <v>8.1999999999999993</v>
      </c>
      <c r="AX14" s="5">
        <v>11.1</v>
      </c>
      <c r="AY14" s="5"/>
      <c r="AZ14" s="5"/>
      <c r="BA14" s="5"/>
      <c r="BB14" s="5"/>
      <c r="BC14" s="5"/>
      <c r="BD14" s="5"/>
      <c r="BE14" s="5"/>
      <c r="BF14" s="5"/>
      <c r="BG14" s="5"/>
      <c r="BH14" s="5"/>
      <c r="BI14" s="5"/>
      <c r="BJ14" s="5">
        <f>26.41/1000*100</f>
        <v>2.641</v>
      </c>
      <c r="BK14" s="5">
        <f>26.41/1000*100</f>
        <v>2.641</v>
      </c>
      <c r="BL14" s="5"/>
      <c r="BM14" s="5"/>
      <c r="BN14" s="5"/>
      <c r="BO14" s="5">
        <f>2857.7*10000/1000/1000*0.5</f>
        <v>14.288500000000001</v>
      </c>
      <c r="BP14" s="5">
        <f>BT14/BO14</f>
        <v>0.27361164572908281</v>
      </c>
      <c r="BQ14" s="5">
        <f>(781.9+371.3)*10000/1000/1000*0.5</f>
        <v>5.766</v>
      </c>
      <c r="BR14" s="5"/>
      <c r="BS14" s="5"/>
      <c r="BT14" s="5">
        <v>3.9095</v>
      </c>
      <c r="BU14" s="5">
        <v>18.1995</v>
      </c>
      <c r="BV14" s="5"/>
      <c r="BW14" s="5">
        <v>86.17</v>
      </c>
      <c r="BX14" s="5"/>
      <c r="BY14" s="5">
        <v>104.3695</v>
      </c>
      <c r="BZ14" s="5"/>
      <c r="CA14" s="5"/>
      <c r="CB14" s="5"/>
      <c r="CC14" s="5">
        <f>401.8*10000/1000/1000*0.5</f>
        <v>2.0089999999999999</v>
      </c>
      <c r="CD14" s="5"/>
      <c r="CE14" s="5"/>
      <c r="CF14" s="5"/>
      <c r="CG14" s="5"/>
      <c r="CH14" s="5"/>
      <c r="CI14" s="5"/>
      <c r="CJ14" s="5"/>
      <c r="CK14" s="5"/>
      <c r="CL14" s="5"/>
      <c r="CM14" s="10" t="s">
        <v>296</v>
      </c>
      <c r="CN14" s="10" t="s">
        <v>3</v>
      </c>
      <c r="CO14" s="11" t="s">
        <v>295</v>
      </c>
      <c r="CP14" s="12" t="s">
        <v>37</v>
      </c>
    </row>
    <row r="15" spans="1:100" s="2" customFormat="1" x14ac:dyDescent="0.25">
      <c r="A15" s="10" t="s">
        <v>228</v>
      </c>
      <c r="B15" s="10" t="s">
        <v>437</v>
      </c>
      <c r="C15" s="5" t="s">
        <v>163</v>
      </c>
      <c r="D15" s="10" t="s">
        <v>294</v>
      </c>
      <c r="E15" s="10" t="s">
        <v>293</v>
      </c>
      <c r="F15" s="10">
        <v>2005</v>
      </c>
      <c r="G15" s="10">
        <v>2006</v>
      </c>
      <c r="H15" s="10">
        <v>1</v>
      </c>
      <c r="I15" s="10">
        <v>0</v>
      </c>
      <c r="J15" s="10">
        <v>1</v>
      </c>
      <c r="K15" s="10">
        <v>0</v>
      </c>
      <c r="L15" s="10">
        <v>0</v>
      </c>
      <c r="M15" s="10">
        <v>0</v>
      </c>
      <c r="N15" s="5">
        <v>16.5</v>
      </c>
      <c r="O15" s="5">
        <f t="shared" si="0"/>
        <v>138</v>
      </c>
      <c r="P15" s="5">
        <f>1300</f>
        <v>1300</v>
      </c>
      <c r="Q15" s="5"/>
      <c r="R15" s="5">
        <v>379</v>
      </c>
      <c r="S15" s="5">
        <v>80</v>
      </c>
      <c r="T15" s="5">
        <v>1445.4</v>
      </c>
      <c r="U15" s="5"/>
      <c r="V15" s="5"/>
      <c r="W15" s="5"/>
      <c r="X15" s="5"/>
      <c r="Y15" s="5">
        <v>1.33</v>
      </c>
      <c r="Z15" s="5">
        <v>0.57999999999999996</v>
      </c>
      <c r="AA15" s="5">
        <v>21.6</v>
      </c>
      <c r="AB15" s="5">
        <f>((30.973762*2+15.999*5)/30.973762)*1.96</f>
        <v>8.9820328263644562</v>
      </c>
      <c r="AC15" s="5"/>
      <c r="AD15" s="5"/>
      <c r="AE15" s="5"/>
      <c r="AF15" s="5"/>
      <c r="AG15" s="5"/>
      <c r="AH15" s="5"/>
      <c r="AI15" s="5"/>
      <c r="AJ15" s="5"/>
      <c r="AK15" s="5"/>
      <c r="AL15" s="5"/>
      <c r="AM15" s="5"/>
      <c r="AN15" s="5"/>
      <c r="AO15" s="5"/>
      <c r="AP15" s="5"/>
      <c r="AQ15" s="5"/>
      <c r="AR15" s="5"/>
      <c r="AS15" s="5"/>
      <c r="AT15" s="10"/>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v>31.97</v>
      </c>
      <c r="BV15" s="5">
        <v>0.74</v>
      </c>
      <c r="BW15" s="5">
        <v>110.95</v>
      </c>
      <c r="BX15" s="5">
        <v>0.64</v>
      </c>
      <c r="BY15" s="5">
        <f>SUM(BU15:BX15)</f>
        <v>144.29999999999998</v>
      </c>
      <c r="BZ15" s="5"/>
      <c r="CA15" s="5"/>
      <c r="CB15" s="5">
        <v>8.2899999999999991</v>
      </c>
      <c r="CC15" s="5">
        <v>1.1100000000000001</v>
      </c>
      <c r="CD15" s="5">
        <f>SUM(BZ15:CC15)</f>
        <v>9.3999999999999986</v>
      </c>
      <c r="CE15" s="5">
        <v>0.96</v>
      </c>
      <c r="CF15" s="5"/>
      <c r="CG15" s="5"/>
      <c r="CH15" s="5">
        <f>SUM(CE15:CG15)</f>
        <v>0.96</v>
      </c>
      <c r="CI15" s="5">
        <f>CH15+CD15</f>
        <v>10.36</v>
      </c>
      <c r="CJ15" s="5">
        <f>33.941*12/44</f>
        <v>9.256636363636364</v>
      </c>
      <c r="CK15" s="5">
        <f>20.19*12/44</f>
        <v>5.5063636363636368</v>
      </c>
      <c r="CL15" s="5">
        <f>CI15-CK15</f>
        <v>4.8536363636363626</v>
      </c>
      <c r="CM15" s="10" t="s">
        <v>292</v>
      </c>
      <c r="CN15" s="10" t="s">
        <v>19</v>
      </c>
      <c r="CO15" s="11" t="s">
        <v>291</v>
      </c>
      <c r="CP15" s="12" t="s">
        <v>37</v>
      </c>
    </row>
    <row r="16" spans="1:100" s="2" customFormat="1" x14ac:dyDescent="0.25">
      <c r="A16" s="10" t="s">
        <v>228</v>
      </c>
      <c r="B16" s="10" t="s">
        <v>290</v>
      </c>
      <c r="C16" s="5" t="s">
        <v>163</v>
      </c>
      <c r="D16" s="10" t="s">
        <v>289</v>
      </c>
      <c r="E16" s="10" t="s">
        <v>288</v>
      </c>
      <c r="F16" s="10">
        <v>2011</v>
      </c>
      <c r="G16" s="10">
        <v>2011</v>
      </c>
      <c r="H16" s="10">
        <v>0</v>
      </c>
      <c r="I16" s="10">
        <v>0</v>
      </c>
      <c r="J16" s="10">
        <v>0</v>
      </c>
      <c r="K16" s="10">
        <v>0</v>
      </c>
      <c r="L16" s="10">
        <v>0</v>
      </c>
      <c r="M16" s="10">
        <v>0</v>
      </c>
      <c r="N16" s="5">
        <f>(15.8+17.7)/2</f>
        <v>16.75</v>
      </c>
      <c r="O16" s="5">
        <v>141</v>
      </c>
      <c r="P16" s="5">
        <v>1590.9</v>
      </c>
      <c r="Q16" s="5"/>
      <c r="R16" s="5">
        <v>500</v>
      </c>
      <c r="S16" s="5"/>
      <c r="T16" s="5">
        <v>1657</v>
      </c>
      <c r="U16" s="5"/>
      <c r="V16" s="5"/>
      <c r="W16" s="5"/>
      <c r="X16" s="5"/>
      <c r="Y16" s="5"/>
      <c r="Z16" s="5"/>
      <c r="AA16" s="5"/>
      <c r="AB16" s="5"/>
      <c r="AC16" s="5"/>
      <c r="AD16" s="5"/>
      <c r="AE16" s="5"/>
      <c r="AF16" s="5"/>
      <c r="AG16" s="5"/>
      <c r="AH16" s="5"/>
      <c r="AI16" s="5"/>
      <c r="AJ16" s="5"/>
      <c r="AK16" s="5"/>
      <c r="AL16" s="5"/>
      <c r="AM16" s="5"/>
      <c r="AN16" s="5"/>
      <c r="AO16" s="5"/>
      <c r="AP16" s="5"/>
      <c r="AQ16" s="5"/>
      <c r="AR16" s="5"/>
      <c r="AS16" s="5"/>
      <c r="AT16" s="10"/>
      <c r="AU16" s="5"/>
      <c r="AV16" s="5">
        <v>3000</v>
      </c>
      <c r="AW16" s="5">
        <v>9.5</v>
      </c>
      <c r="AX16" s="5"/>
      <c r="AY16" s="5">
        <f>(AW16/2)^2*PI()*AV16/10000</f>
        <v>21.264655273985909</v>
      </c>
      <c r="AZ16" s="5"/>
      <c r="BA16" s="5"/>
      <c r="BB16" s="5"/>
      <c r="BC16" s="5"/>
      <c r="BD16" s="5"/>
      <c r="BE16" s="5"/>
      <c r="BF16" s="5"/>
      <c r="BG16" s="5"/>
      <c r="BH16" s="5"/>
      <c r="BI16" s="5"/>
      <c r="BJ16" s="5"/>
      <c r="BK16" s="5"/>
      <c r="BL16" s="5"/>
      <c r="BM16" s="5"/>
      <c r="BN16" s="5"/>
      <c r="BO16" s="5">
        <f>16.42*100/37.73*0.5</f>
        <v>21.759872780280947</v>
      </c>
      <c r="BP16" s="5"/>
      <c r="BQ16" s="5"/>
      <c r="BR16" s="5"/>
      <c r="BS16" s="5"/>
      <c r="BT16" s="5"/>
      <c r="BU16" s="5"/>
      <c r="BV16" s="5"/>
      <c r="BW16" s="5"/>
      <c r="BX16" s="5"/>
      <c r="BY16" s="5"/>
      <c r="BZ16" s="5"/>
      <c r="CA16" s="5"/>
      <c r="CB16" s="5"/>
      <c r="CC16" s="5"/>
      <c r="CD16" s="5"/>
      <c r="CE16" s="5"/>
      <c r="CF16" s="5"/>
      <c r="CG16" s="5"/>
      <c r="CH16" s="5"/>
      <c r="CI16" s="5"/>
      <c r="CJ16" s="5"/>
      <c r="CK16" s="5"/>
      <c r="CL16" s="5"/>
      <c r="CM16" s="10" t="s">
        <v>287</v>
      </c>
      <c r="CN16" s="10" t="s">
        <v>3</v>
      </c>
      <c r="CO16" s="11" t="s">
        <v>286</v>
      </c>
      <c r="CP16" s="12" t="s">
        <v>37</v>
      </c>
    </row>
    <row r="17" spans="1:94" s="2" customFormat="1" x14ac:dyDescent="0.25">
      <c r="A17" s="10" t="s">
        <v>228</v>
      </c>
      <c r="B17" s="10" t="s">
        <v>285</v>
      </c>
      <c r="C17" s="5" t="s">
        <v>163</v>
      </c>
      <c r="D17" s="10" t="s">
        <v>284</v>
      </c>
      <c r="E17" s="10" t="s">
        <v>283</v>
      </c>
      <c r="F17" s="10">
        <v>1977</v>
      </c>
      <c r="G17" s="10">
        <v>2008</v>
      </c>
      <c r="H17" s="10">
        <v>1</v>
      </c>
      <c r="I17" s="10">
        <v>1</v>
      </c>
      <c r="J17" s="10">
        <v>1</v>
      </c>
      <c r="K17" s="10">
        <v>1</v>
      </c>
      <c r="L17" s="10">
        <v>0</v>
      </c>
      <c r="M17" s="10">
        <v>0</v>
      </c>
      <c r="N17" s="5">
        <f>(15.9+16.2+(15.8+17.7)/2+16.5+18.7)/5</f>
        <v>16.809999999999999</v>
      </c>
      <c r="O17" s="5">
        <f>(N17-5)*12</f>
        <v>141.71999999999997</v>
      </c>
      <c r="P17" s="5">
        <f>(1424+1350+1591+1300+1568)/5</f>
        <v>1446.6</v>
      </c>
      <c r="Q17" s="5"/>
      <c r="R17" s="5">
        <v>3</v>
      </c>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10"/>
      <c r="AU17" s="5"/>
      <c r="AV17" s="5"/>
      <c r="AW17" s="5"/>
      <c r="AX17" s="5"/>
      <c r="AY17" s="5"/>
      <c r="AZ17" s="5"/>
      <c r="BA17" s="5"/>
      <c r="BB17" s="5"/>
      <c r="BC17" s="5"/>
      <c r="BD17" s="5"/>
      <c r="BE17" s="5"/>
      <c r="BF17" s="5"/>
      <c r="BG17" s="5"/>
      <c r="BH17" s="5"/>
      <c r="BI17" s="5"/>
      <c r="BJ17" s="5"/>
      <c r="BK17" s="5"/>
      <c r="BL17" s="5"/>
      <c r="BM17" s="5"/>
      <c r="BN17" s="5"/>
      <c r="BO17" s="5">
        <f>105.76*0.5</f>
        <v>52.88</v>
      </c>
      <c r="BP17" s="5">
        <f>BT17/BO17</f>
        <v>0.63350983358547652</v>
      </c>
      <c r="BQ17" s="5"/>
      <c r="BR17" s="5"/>
      <c r="BS17" s="5"/>
      <c r="BT17" s="5">
        <f>67*0.5</f>
        <v>33.5</v>
      </c>
      <c r="BU17" s="5">
        <f>BT17+BO17</f>
        <v>86.38</v>
      </c>
      <c r="BV17" s="5"/>
      <c r="BW17" s="5"/>
      <c r="BX17" s="5"/>
      <c r="BY17" s="5">
        <v>95.42</v>
      </c>
      <c r="BZ17" s="5"/>
      <c r="CA17" s="5"/>
      <c r="CB17" s="5"/>
      <c r="CC17" s="5"/>
      <c r="CD17" s="5"/>
      <c r="CE17" s="5"/>
      <c r="CF17" s="5"/>
      <c r="CG17" s="5"/>
      <c r="CH17" s="5"/>
      <c r="CI17" s="5"/>
      <c r="CJ17" s="5"/>
      <c r="CK17" s="5"/>
      <c r="CL17" s="5"/>
      <c r="CM17" s="10" t="s">
        <v>282</v>
      </c>
      <c r="CN17" s="10" t="s">
        <v>3</v>
      </c>
      <c r="CO17" s="11" t="s">
        <v>268</v>
      </c>
      <c r="CP17" s="12" t="s">
        <v>37</v>
      </c>
    </row>
    <row r="18" spans="1:94" s="2" customFormat="1" x14ac:dyDescent="0.25">
      <c r="A18" s="10" t="s">
        <v>228</v>
      </c>
      <c r="B18" s="10" t="s">
        <v>281</v>
      </c>
      <c r="C18" s="5" t="s">
        <v>163</v>
      </c>
      <c r="D18" s="10" t="s">
        <v>280</v>
      </c>
      <c r="E18" s="10" t="s">
        <v>279</v>
      </c>
      <c r="F18" s="10">
        <v>1977</v>
      </c>
      <c r="G18" s="10">
        <v>2008</v>
      </c>
      <c r="H18" s="10">
        <v>1</v>
      </c>
      <c r="I18" s="10">
        <v>1</v>
      </c>
      <c r="J18" s="10">
        <v>1</v>
      </c>
      <c r="K18" s="10">
        <v>1</v>
      </c>
      <c r="L18" s="10">
        <v>0</v>
      </c>
      <c r="M18" s="10">
        <v>0</v>
      </c>
      <c r="N18" s="5">
        <f>((14+19)/2+(12.2+15.6)/2)/2</f>
        <v>15.2</v>
      </c>
      <c r="O18" s="5">
        <f>(N18-5)*12</f>
        <v>122.39999999999999</v>
      </c>
      <c r="P18" s="5">
        <f>((1150+1490)/2+(1100+1900)/2)/2</f>
        <v>1410</v>
      </c>
      <c r="Q18" s="5"/>
      <c r="R18" s="5">
        <v>49</v>
      </c>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10"/>
      <c r="AU18" s="5"/>
      <c r="AV18" s="5"/>
      <c r="AW18" s="5"/>
      <c r="AX18" s="5"/>
      <c r="AY18" s="5"/>
      <c r="AZ18" s="5"/>
      <c r="BA18" s="5"/>
      <c r="BB18" s="5"/>
      <c r="BC18" s="5"/>
      <c r="BD18" s="5"/>
      <c r="BE18" s="5"/>
      <c r="BF18" s="5"/>
      <c r="BG18" s="5"/>
      <c r="BH18" s="5"/>
      <c r="BI18" s="5"/>
      <c r="BJ18" s="5"/>
      <c r="BK18" s="5"/>
      <c r="BL18" s="5"/>
      <c r="BM18" s="5"/>
      <c r="BN18" s="5"/>
      <c r="BO18" s="5">
        <f>96.54*0.5</f>
        <v>48.27</v>
      </c>
      <c r="BP18" s="5">
        <f>BT18/BO18</f>
        <v>0.48839859125750978</v>
      </c>
      <c r="BQ18" s="5"/>
      <c r="BR18" s="5"/>
      <c r="BS18" s="5"/>
      <c r="BT18" s="5">
        <f>47.15*0.5</f>
        <v>23.574999999999999</v>
      </c>
      <c r="BU18" s="5">
        <f>BT18+BO18</f>
        <v>71.844999999999999</v>
      </c>
      <c r="BV18" s="5"/>
      <c r="BW18" s="5"/>
      <c r="BX18" s="5"/>
      <c r="BY18" s="5">
        <v>69.63000000000001</v>
      </c>
      <c r="BZ18" s="5"/>
      <c r="CA18" s="5"/>
      <c r="CB18" s="5"/>
      <c r="CC18" s="5"/>
      <c r="CD18" s="5"/>
      <c r="CE18" s="5"/>
      <c r="CF18" s="5"/>
      <c r="CG18" s="5"/>
      <c r="CH18" s="5"/>
      <c r="CI18" s="5"/>
      <c r="CJ18" s="5"/>
      <c r="CK18" s="5"/>
      <c r="CL18" s="10"/>
      <c r="CM18" s="10" t="s">
        <v>278</v>
      </c>
      <c r="CN18" s="10" t="s">
        <v>3</v>
      </c>
      <c r="CO18" s="11" t="s">
        <v>268</v>
      </c>
      <c r="CP18" s="12" t="s">
        <v>37</v>
      </c>
    </row>
    <row r="19" spans="1:94" s="2" customFormat="1" x14ac:dyDescent="0.25">
      <c r="A19" s="10" t="s">
        <v>228</v>
      </c>
      <c r="B19" s="10" t="s">
        <v>277</v>
      </c>
      <c r="C19" s="5" t="s">
        <v>272</v>
      </c>
      <c r="D19" s="10" t="s">
        <v>276</v>
      </c>
      <c r="E19" s="10" t="s">
        <v>275</v>
      </c>
      <c r="F19" s="10">
        <v>1977</v>
      </c>
      <c r="G19" s="10">
        <v>2008</v>
      </c>
      <c r="H19" s="10">
        <v>1</v>
      </c>
      <c r="I19" s="10">
        <v>0</v>
      </c>
      <c r="J19" s="10">
        <v>1</v>
      </c>
      <c r="K19" s="10">
        <v>1</v>
      </c>
      <c r="L19" s="10">
        <v>0</v>
      </c>
      <c r="M19" s="10">
        <v>0</v>
      </c>
      <c r="N19" s="5">
        <f>(18.3+19)/2</f>
        <v>18.649999999999999</v>
      </c>
      <c r="O19" s="5">
        <f>(N19-5)*12</f>
        <v>163.79999999999998</v>
      </c>
      <c r="P19" s="5">
        <f>(1104+1250)/2</f>
        <v>1177</v>
      </c>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10"/>
      <c r="AU19" s="5"/>
      <c r="AV19" s="5"/>
      <c r="AW19" s="5"/>
      <c r="AX19" s="5"/>
      <c r="AY19" s="5"/>
      <c r="AZ19" s="5"/>
      <c r="BA19" s="5"/>
      <c r="BB19" s="5"/>
      <c r="BC19" s="5"/>
      <c r="BD19" s="5"/>
      <c r="BE19" s="5"/>
      <c r="BF19" s="5"/>
      <c r="BG19" s="5"/>
      <c r="BH19" s="5"/>
      <c r="BI19" s="5"/>
      <c r="BJ19" s="5"/>
      <c r="BK19" s="5"/>
      <c r="BL19" s="5"/>
      <c r="BM19" s="5"/>
      <c r="BN19" s="5"/>
      <c r="BO19" s="5">
        <f>44.78*0.5</f>
        <v>22.39</v>
      </c>
      <c r="BP19" s="5">
        <f>BT19/BO19</f>
        <v>0.47543546225993744</v>
      </c>
      <c r="BQ19" s="5"/>
      <c r="BR19" s="5"/>
      <c r="BS19" s="5"/>
      <c r="BT19" s="5">
        <f>21.29*0.5</f>
        <v>10.645</v>
      </c>
      <c r="BU19" s="5">
        <f>BT19+BO19</f>
        <v>33.034999999999997</v>
      </c>
      <c r="BV19" s="5"/>
      <c r="BW19" s="5"/>
      <c r="BX19" s="5"/>
      <c r="BY19" s="5"/>
      <c r="BZ19" s="5"/>
      <c r="CA19" s="5"/>
      <c r="CB19" s="5"/>
      <c r="CC19" s="5"/>
      <c r="CD19" s="5"/>
      <c r="CE19" s="5"/>
      <c r="CF19" s="5"/>
      <c r="CG19" s="5"/>
      <c r="CH19" s="5"/>
      <c r="CI19" s="5"/>
      <c r="CJ19" s="5"/>
      <c r="CK19" s="5"/>
      <c r="CL19" s="5"/>
      <c r="CM19" s="10" t="s">
        <v>274</v>
      </c>
      <c r="CN19" s="10" t="s">
        <v>3</v>
      </c>
      <c r="CO19" s="11" t="s">
        <v>268</v>
      </c>
      <c r="CP19" s="12" t="s">
        <v>37</v>
      </c>
    </row>
    <row r="20" spans="1:94" s="2" customFormat="1" x14ac:dyDescent="0.25">
      <c r="A20" s="10" t="s">
        <v>228</v>
      </c>
      <c r="B20" s="10" t="s">
        <v>273</v>
      </c>
      <c r="C20" s="5" t="s">
        <v>272</v>
      </c>
      <c r="D20" s="10" t="s">
        <v>271</v>
      </c>
      <c r="E20" s="10" t="s">
        <v>270</v>
      </c>
      <c r="F20" s="10">
        <v>1977</v>
      </c>
      <c r="G20" s="10">
        <v>2008</v>
      </c>
      <c r="H20" s="10">
        <v>1</v>
      </c>
      <c r="I20" s="10">
        <v>1</v>
      </c>
      <c r="J20" s="10">
        <v>1</v>
      </c>
      <c r="K20" s="10">
        <v>1</v>
      </c>
      <c r="L20" s="10">
        <v>0</v>
      </c>
      <c r="M20" s="10">
        <v>0</v>
      </c>
      <c r="N20" s="5">
        <f>23</f>
        <v>23</v>
      </c>
      <c r="O20" s="5">
        <f>(N20-5)*12</f>
        <v>216</v>
      </c>
      <c r="P20" s="5">
        <f>2000</f>
        <v>2000</v>
      </c>
      <c r="Q20" s="5"/>
      <c r="R20" s="5">
        <v>877</v>
      </c>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10"/>
      <c r="AU20" s="5"/>
      <c r="AV20" s="5"/>
      <c r="AW20" s="5"/>
      <c r="AX20" s="5"/>
      <c r="AY20" s="5"/>
      <c r="AZ20" s="5"/>
      <c r="BA20" s="5"/>
      <c r="BB20" s="5"/>
      <c r="BC20" s="5"/>
      <c r="BD20" s="5"/>
      <c r="BE20" s="5"/>
      <c r="BF20" s="5"/>
      <c r="BG20" s="5"/>
      <c r="BH20" s="5"/>
      <c r="BI20" s="5"/>
      <c r="BJ20" s="5"/>
      <c r="BK20" s="5"/>
      <c r="BL20" s="5"/>
      <c r="BM20" s="5"/>
      <c r="BN20" s="5"/>
      <c r="BO20" s="5">
        <f>64.72*0.5</f>
        <v>32.36</v>
      </c>
      <c r="BP20" s="5">
        <f>BT20/BO20</f>
        <v>0.57586526576019781</v>
      </c>
      <c r="BQ20" s="5"/>
      <c r="BR20" s="5"/>
      <c r="BS20" s="5"/>
      <c r="BT20" s="5">
        <f>37.27*0.5</f>
        <v>18.635000000000002</v>
      </c>
      <c r="BU20" s="5">
        <f>BT20+BO20</f>
        <v>50.995000000000005</v>
      </c>
      <c r="BV20" s="5"/>
      <c r="BW20" s="5"/>
      <c r="BX20" s="5"/>
      <c r="BY20" s="5">
        <v>119.88</v>
      </c>
      <c r="BZ20" s="5"/>
      <c r="CA20" s="5"/>
      <c r="CB20" s="5"/>
      <c r="CC20" s="5"/>
      <c r="CD20" s="5"/>
      <c r="CE20" s="5"/>
      <c r="CF20" s="5"/>
      <c r="CG20" s="5"/>
      <c r="CH20" s="5"/>
      <c r="CI20" s="5"/>
      <c r="CJ20" s="5"/>
      <c r="CK20" s="5"/>
      <c r="CL20" s="5"/>
      <c r="CM20" s="10" t="s">
        <v>269</v>
      </c>
      <c r="CN20" s="10" t="s">
        <v>3</v>
      </c>
      <c r="CO20" s="11" t="s">
        <v>268</v>
      </c>
      <c r="CP20" s="12" t="s">
        <v>1</v>
      </c>
    </row>
    <row r="21" spans="1:94" s="2" customFormat="1" x14ac:dyDescent="0.25">
      <c r="A21" s="10" t="s">
        <v>228</v>
      </c>
      <c r="B21" s="10" t="s">
        <v>267</v>
      </c>
      <c r="C21" s="5" t="s">
        <v>163</v>
      </c>
      <c r="D21" s="10" t="s">
        <v>266</v>
      </c>
      <c r="E21" s="10" t="s">
        <v>265</v>
      </c>
      <c r="F21" s="10">
        <v>2008</v>
      </c>
      <c r="G21" s="10">
        <v>2008</v>
      </c>
      <c r="H21" s="10">
        <v>1</v>
      </c>
      <c r="I21" s="10">
        <v>0</v>
      </c>
      <c r="J21" s="10">
        <v>1</v>
      </c>
      <c r="K21" s="10">
        <v>1</v>
      </c>
      <c r="L21" s="10">
        <v>0</v>
      </c>
      <c r="M21" s="10">
        <v>0</v>
      </c>
      <c r="N21" s="5">
        <f>(15.6+17.6)/2</f>
        <v>16.600000000000001</v>
      </c>
      <c r="O21" s="5">
        <f>(N21-5)*12</f>
        <v>139.20000000000002</v>
      </c>
      <c r="P21" s="5">
        <v>1550</v>
      </c>
      <c r="Q21" s="5"/>
      <c r="R21" s="5">
        <v>354</v>
      </c>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10"/>
      <c r="AU21" s="10"/>
      <c r="AV21" s="5">
        <v>2734</v>
      </c>
      <c r="AW21" s="5">
        <f>(12.9+10/1)/2</f>
        <v>11.45</v>
      </c>
      <c r="AX21" s="5"/>
      <c r="AY21" s="5">
        <f>(AW21/2)^2*PI()*AV21/10000</f>
        <v>28.151358986776938</v>
      </c>
      <c r="AZ21" s="5"/>
      <c r="BA21" s="5"/>
      <c r="BB21" s="5"/>
      <c r="BC21" s="5"/>
      <c r="BD21" s="5"/>
      <c r="BE21" s="5"/>
      <c r="BF21" s="5"/>
      <c r="BG21" s="5"/>
      <c r="BH21" s="5"/>
      <c r="BI21" s="5"/>
      <c r="BJ21" s="5"/>
      <c r="BK21" s="5"/>
      <c r="BL21" s="5"/>
      <c r="BM21" s="5"/>
      <c r="BN21" s="5"/>
      <c r="BO21" s="5">
        <v>23.718</v>
      </c>
      <c r="BP21" s="5"/>
      <c r="BQ21" s="5"/>
      <c r="BR21" s="5"/>
      <c r="BS21" s="5"/>
      <c r="BT21" s="5"/>
      <c r="BU21" s="5"/>
      <c r="BV21" s="5"/>
      <c r="BW21" s="5"/>
      <c r="BX21" s="5"/>
      <c r="BY21" s="5"/>
      <c r="BZ21" s="5"/>
      <c r="CA21" s="5"/>
      <c r="CB21" s="5"/>
      <c r="CC21" s="5"/>
      <c r="CD21" s="5"/>
      <c r="CE21" s="5"/>
      <c r="CF21" s="5"/>
      <c r="CG21" s="5"/>
      <c r="CH21" s="5"/>
      <c r="CI21" s="5"/>
      <c r="CJ21" s="5"/>
      <c r="CK21" s="5"/>
      <c r="CL21" s="5"/>
      <c r="CM21" s="10" t="s">
        <v>264</v>
      </c>
      <c r="CN21" s="10" t="s">
        <v>3</v>
      </c>
      <c r="CO21" s="11" t="s">
        <v>263</v>
      </c>
      <c r="CP21" s="12" t="s">
        <v>37</v>
      </c>
    </row>
    <row r="22" spans="1:94" s="2" customFormat="1" x14ac:dyDescent="0.25">
      <c r="A22" s="10" t="s">
        <v>228</v>
      </c>
      <c r="B22" s="10" t="s">
        <v>262</v>
      </c>
      <c r="C22" s="5" t="s">
        <v>163</v>
      </c>
      <c r="D22" s="10" t="s">
        <v>261</v>
      </c>
      <c r="E22" s="10" t="s">
        <v>260</v>
      </c>
      <c r="F22" s="10">
        <v>2014</v>
      </c>
      <c r="G22" s="10">
        <v>2014</v>
      </c>
      <c r="H22" s="10">
        <v>1</v>
      </c>
      <c r="I22" s="10">
        <v>0</v>
      </c>
      <c r="J22" s="10">
        <v>0</v>
      </c>
      <c r="K22" s="10">
        <v>1</v>
      </c>
      <c r="L22" s="10">
        <v>0</v>
      </c>
      <c r="M22" s="10">
        <v>0</v>
      </c>
      <c r="N22" s="5">
        <v>15.6</v>
      </c>
      <c r="O22" s="5">
        <v>127.19999999999999</v>
      </c>
      <c r="P22" s="5">
        <v>1400</v>
      </c>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10"/>
      <c r="AU22" s="10"/>
      <c r="AV22" s="5">
        <v>3129</v>
      </c>
      <c r="AW22" s="5">
        <v>9.09</v>
      </c>
      <c r="AX22" s="5"/>
      <c r="AY22" s="5">
        <f>(AW22/2)^2*PI()*AV22/10000</f>
        <v>20.305945253512977</v>
      </c>
      <c r="AZ22" s="5"/>
      <c r="BA22" s="5"/>
      <c r="BB22" s="5"/>
      <c r="BC22" s="5"/>
      <c r="BD22" s="5"/>
      <c r="BE22" s="5"/>
      <c r="BF22" s="5"/>
      <c r="BG22" s="5"/>
      <c r="BH22" s="5"/>
      <c r="BI22" s="5"/>
      <c r="BJ22" s="5"/>
      <c r="BK22" s="5"/>
      <c r="BL22" s="5"/>
      <c r="BM22" s="5"/>
      <c r="BN22" s="5"/>
      <c r="BO22" s="5">
        <v>18.899999999999999</v>
      </c>
      <c r="BP22" s="5"/>
      <c r="BQ22" s="5"/>
      <c r="BR22" s="5"/>
      <c r="BS22" s="5"/>
      <c r="BT22" s="5"/>
      <c r="BU22" s="5"/>
      <c r="BV22" s="5"/>
      <c r="BW22" s="5">
        <v>120.2</v>
      </c>
      <c r="BX22" s="5"/>
      <c r="BY22" s="5"/>
      <c r="BZ22" s="5"/>
      <c r="CA22" s="5"/>
      <c r="CB22" s="5"/>
      <c r="CC22" s="5"/>
      <c r="CD22" s="5"/>
      <c r="CE22" s="5"/>
      <c r="CF22" s="5"/>
      <c r="CG22" s="5"/>
      <c r="CH22" s="5"/>
      <c r="CI22" s="5"/>
      <c r="CJ22" s="5"/>
      <c r="CK22" s="5"/>
      <c r="CL22" s="5"/>
      <c r="CM22" s="10" t="s">
        <v>259</v>
      </c>
      <c r="CN22" s="10" t="s">
        <v>3</v>
      </c>
      <c r="CO22" s="11" t="s">
        <v>252</v>
      </c>
      <c r="CP22" s="12" t="s">
        <v>1</v>
      </c>
    </row>
    <row r="23" spans="1:94" s="2" customFormat="1" x14ac:dyDescent="0.25">
      <c r="A23" s="10" t="s">
        <v>228</v>
      </c>
      <c r="B23" s="10" t="s">
        <v>256</v>
      </c>
      <c r="C23" s="5" t="s">
        <v>163</v>
      </c>
      <c r="D23" s="10" t="s">
        <v>258</v>
      </c>
      <c r="E23" s="10" t="s">
        <v>257</v>
      </c>
      <c r="F23" s="10">
        <v>2014</v>
      </c>
      <c r="G23" s="10">
        <v>2014</v>
      </c>
      <c r="H23" s="10">
        <v>1</v>
      </c>
      <c r="I23" s="10">
        <v>1</v>
      </c>
      <c r="J23" s="10">
        <v>1</v>
      </c>
      <c r="K23" s="10">
        <v>1</v>
      </c>
      <c r="L23" s="10">
        <v>0</v>
      </c>
      <c r="M23" s="10">
        <v>0</v>
      </c>
      <c r="N23" s="5">
        <v>15.6</v>
      </c>
      <c r="O23" s="5">
        <v>127.19999999999999</v>
      </c>
      <c r="P23" s="5">
        <v>1400</v>
      </c>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10"/>
      <c r="AU23" s="10"/>
      <c r="AV23" s="5">
        <v>3555</v>
      </c>
      <c r="AW23" s="5">
        <v>9.73</v>
      </c>
      <c r="AX23" s="5"/>
      <c r="AY23" s="5">
        <f>(AW23/2)^2*PI()*AV23/10000</f>
        <v>26.433530194037907</v>
      </c>
      <c r="AZ23" s="5"/>
      <c r="BA23" s="5"/>
      <c r="BB23" s="5"/>
      <c r="BC23" s="5"/>
      <c r="BD23" s="5"/>
      <c r="BE23" s="5"/>
      <c r="BF23" s="5"/>
      <c r="BG23" s="5"/>
      <c r="BH23" s="5"/>
      <c r="BI23" s="5"/>
      <c r="BJ23" s="5"/>
      <c r="BK23" s="5"/>
      <c r="BL23" s="5"/>
      <c r="BM23" s="5"/>
      <c r="BN23" s="5"/>
      <c r="BO23" s="5">
        <v>24.75</v>
      </c>
      <c r="BP23" s="5"/>
      <c r="BQ23" s="5"/>
      <c r="BR23" s="5"/>
      <c r="BS23" s="5"/>
      <c r="BT23" s="5"/>
      <c r="BU23" s="5"/>
      <c r="BV23" s="5"/>
      <c r="BW23" s="5">
        <v>108.1</v>
      </c>
      <c r="BX23" s="5"/>
      <c r="BY23" s="5"/>
      <c r="BZ23" s="5"/>
      <c r="CA23" s="5"/>
      <c r="CB23" s="5"/>
      <c r="CC23" s="5"/>
      <c r="CD23" s="5"/>
      <c r="CE23" s="5"/>
      <c r="CF23" s="5"/>
      <c r="CG23" s="5"/>
      <c r="CH23" s="5"/>
      <c r="CI23" s="5"/>
      <c r="CJ23" s="5"/>
      <c r="CK23" s="5"/>
      <c r="CL23" s="5"/>
      <c r="CM23" s="10" t="s">
        <v>253</v>
      </c>
      <c r="CN23" s="10" t="s">
        <v>3</v>
      </c>
      <c r="CO23" s="11" t="s">
        <v>252</v>
      </c>
      <c r="CP23" s="12" t="s">
        <v>37</v>
      </c>
    </row>
    <row r="24" spans="1:94" s="2" customFormat="1" x14ac:dyDescent="0.25">
      <c r="A24" s="10" t="s">
        <v>228</v>
      </c>
      <c r="B24" s="10" t="s">
        <v>256</v>
      </c>
      <c r="C24" s="5" t="s">
        <v>163</v>
      </c>
      <c r="D24" s="10" t="s">
        <v>255</v>
      </c>
      <c r="E24" s="10" t="s">
        <v>254</v>
      </c>
      <c r="F24" s="10">
        <v>2014</v>
      </c>
      <c r="G24" s="10">
        <v>2014</v>
      </c>
      <c r="H24" s="10">
        <v>1</v>
      </c>
      <c r="I24" s="10">
        <v>0</v>
      </c>
      <c r="J24" s="10">
        <v>1</v>
      </c>
      <c r="K24" s="10">
        <v>1</v>
      </c>
      <c r="L24" s="10">
        <v>0</v>
      </c>
      <c r="M24" s="10">
        <v>0</v>
      </c>
      <c r="N24" s="5">
        <v>15.6</v>
      </c>
      <c r="O24" s="5">
        <v>127.19999999999999</v>
      </c>
      <c r="P24" s="5">
        <v>1400</v>
      </c>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10"/>
      <c r="AU24" s="10"/>
      <c r="AV24" s="5">
        <v>3182</v>
      </c>
      <c r="AW24" s="5">
        <v>9.35</v>
      </c>
      <c r="AX24" s="5"/>
      <c r="AY24" s="5">
        <f>(AW24/2)^2*PI()*AV24/10000</f>
        <v>21.848080052984994</v>
      </c>
      <c r="AZ24" s="5"/>
      <c r="BA24" s="5"/>
      <c r="BB24" s="5"/>
      <c r="BC24" s="5"/>
      <c r="BD24" s="5"/>
      <c r="BE24" s="5"/>
      <c r="BF24" s="5"/>
      <c r="BG24" s="5"/>
      <c r="BH24" s="5"/>
      <c r="BI24" s="5"/>
      <c r="BJ24" s="5"/>
      <c r="BK24" s="5"/>
      <c r="BL24" s="5"/>
      <c r="BM24" s="5"/>
      <c r="BN24" s="5"/>
      <c r="BO24" s="5">
        <v>20.76</v>
      </c>
      <c r="BP24" s="5"/>
      <c r="BQ24" s="5"/>
      <c r="BR24" s="5"/>
      <c r="BS24" s="5"/>
      <c r="BT24" s="5"/>
      <c r="BU24" s="5"/>
      <c r="BV24" s="5"/>
      <c r="BW24" s="5">
        <v>111.7</v>
      </c>
      <c r="BX24" s="5"/>
      <c r="BY24" s="5"/>
      <c r="BZ24" s="5"/>
      <c r="CA24" s="5"/>
      <c r="CB24" s="5"/>
      <c r="CC24" s="5"/>
      <c r="CD24" s="5"/>
      <c r="CE24" s="5"/>
      <c r="CF24" s="5"/>
      <c r="CG24" s="5"/>
      <c r="CH24" s="5"/>
      <c r="CI24" s="5"/>
      <c r="CJ24" s="5"/>
      <c r="CK24" s="5"/>
      <c r="CL24" s="5"/>
      <c r="CM24" s="10" t="s">
        <v>253</v>
      </c>
      <c r="CN24" s="10" t="s">
        <v>3</v>
      </c>
      <c r="CO24" s="11" t="s">
        <v>252</v>
      </c>
      <c r="CP24" s="12" t="s">
        <v>1</v>
      </c>
    </row>
    <row r="25" spans="1:94" s="2" customFormat="1" x14ac:dyDescent="0.25">
      <c r="A25" s="10" t="s">
        <v>228</v>
      </c>
      <c r="B25" s="10" t="s">
        <v>251</v>
      </c>
      <c r="C25" s="5" t="s">
        <v>163</v>
      </c>
      <c r="D25" s="10" t="s">
        <v>250</v>
      </c>
      <c r="E25" s="10" t="s">
        <v>249</v>
      </c>
      <c r="F25" s="10">
        <v>2010</v>
      </c>
      <c r="G25" s="10">
        <v>2010</v>
      </c>
      <c r="H25" s="10">
        <v>1</v>
      </c>
      <c r="I25" s="10">
        <v>1</v>
      </c>
      <c r="J25" s="10">
        <v>1</v>
      </c>
      <c r="K25" s="10">
        <v>1</v>
      </c>
      <c r="L25" s="10">
        <v>0</v>
      </c>
      <c r="M25" s="10">
        <v>0</v>
      </c>
      <c r="N25" s="5">
        <v>15.9</v>
      </c>
      <c r="O25" s="5">
        <f>(N25-5)*12</f>
        <v>130.80000000000001</v>
      </c>
      <c r="P25" s="5">
        <v>1424</v>
      </c>
      <c r="Q25" s="5"/>
      <c r="R25" s="5">
        <f>(100+250)/2</f>
        <v>175</v>
      </c>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10"/>
      <c r="AU25" s="10"/>
      <c r="AV25" s="5">
        <f>(3475+3325+3300+3250+4025+3625+3625+3575+4250+3375+2750+3025+2550+2475+3075+3550+2425+3225)/18</f>
        <v>3272.2222222222222</v>
      </c>
      <c r="AW25" s="5">
        <f>(9.7+9.1+8.8+9.5+8+8.3+9+10.1+8.8+8.3+8.7+9+9+9.5+9.2+8.8+11.3+10.7)/18</f>
        <v>9.2111111111111104</v>
      </c>
      <c r="AX25" s="5"/>
      <c r="AY25" s="5">
        <f>(AW25/2)^2*PI()*AV25/10000</f>
        <v>21.805031242491747</v>
      </c>
      <c r="AZ25" s="5"/>
      <c r="BA25" s="5"/>
      <c r="BB25" s="5"/>
      <c r="BC25" s="5"/>
      <c r="BD25" s="5"/>
      <c r="BE25" s="5"/>
      <c r="BF25" s="5"/>
      <c r="BG25" s="5"/>
      <c r="BH25" s="5"/>
      <c r="BI25" s="5"/>
      <c r="BJ25" s="5"/>
      <c r="BK25" s="5"/>
      <c r="BL25" s="5"/>
      <c r="BM25" s="5"/>
      <c r="BN25" s="5"/>
      <c r="BO25" s="5">
        <f>40.708*0.5</f>
        <v>20.353999999999999</v>
      </c>
      <c r="BP25" s="5"/>
      <c r="BQ25" s="5"/>
      <c r="BR25" s="5"/>
      <c r="BS25" s="5"/>
      <c r="BT25" s="5"/>
      <c r="BU25" s="5"/>
      <c r="BV25" s="5"/>
      <c r="BW25" s="5">
        <v>80.834999999999994</v>
      </c>
      <c r="BX25" s="5"/>
      <c r="BY25" s="5"/>
      <c r="BZ25" s="5"/>
      <c r="CA25" s="5"/>
      <c r="CB25" s="5"/>
      <c r="CC25" s="5"/>
      <c r="CD25" s="5"/>
      <c r="CE25" s="5"/>
      <c r="CF25" s="5"/>
      <c r="CG25" s="5"/>
      <c r="CH25" s="5"/>
      <c r="CI25" s="5"/>
      <c r="CJ25" s="5"/>
      <c r="CK25" s="5"/>
      <c r="CL25" s="5"/>
      <c r="CM25" s="10" t="s">
        <v>248</v>
      </c>
      <c r="CN25" s="10" t="s">
        <v>3</v>
      </c>
      <c r="CO25" s="11" t="s">
        <v>247</v>
      </c>
      <c r="CP25" s="12" t="s">
        <v>37</v>
      </c>
    </row>
    <row r="26" spans="1:94" s="2" customFormat="1" x14ac:dyDescent="0.25">
      <c r="A26" s="10" t="s">
        <v>228</v>
      </c>
      <c r="B26" s="10" t="s">
        <v>240</v>
      </c>
      <c r="C26" s="5" t="s">
        <v>163</v>
      </c>
      <c r="D26" s="10" t="s">
        <v>246</v>
      </c>
      <c r="E26" s="10" t="s">
        <v>245</v>
      </c>
      <c r="F26" s="10">
        <v>2013</v>
      </c>
      <c r="G26" s="10">
        <v>2016</v>
      </c>
      <c r="H26" s="10">
        <v>1</v>
      </c>
      <c r="I26" s="10">
        <v>0</v>
      </c>
      <c r="J26" s="10">
        <v>1</v>
      </c>
      <c r="K26" s="10">
        <v>1</v>
      </c>
      <c r="L26" s="10">
        <v>0</v>
      </c>
      <c r="M26" s="13">
        <v>0</v>
      </c>
      <c r="N26" s="5">
        <v>15.6</v>
      </c>
      <c r="O26" s="5">
        <f>(N26-5)*12+(5-3)</f>
        <v>129.19999999999999</v>
      </c>
      <c r="P26" s="5">
        <v>1420</v>
      </c>
      <c r="Q26" s="5"/>
      <c r="R26" s="5"/>
      <c r="S26" s="5"/>
      <c r="T26" s="5">
        <v>1847</v>
      </c>
      <c r="U26" s="5"/>
      <c r="V26" s="5"/>
      <c r="W26" s="5"/>
      <c r="X26" s="5"/>
      <c r="Y26" s="5"/>
      <c r="Z26" s="5"/>
      <c r="AA26" s="5"/>
      <c r="AB26" s="5"/>
      <c r="AC26" s="5"/>
      <c r="AD26" s="5"/>
      <c r="AE26" s="5"/>
      <c r="AF26" s="5"/>
      <c r="AG26" s="5"/>
      <c r="AH26" s="5"/>
      <c r="AI26" s="5"/>
      <c r="AJ26" s="5"/>
      <c r="AK26" s="5"/>
      <c r="AL26" s="5"/>
      <c r="AM26" s="5"/>
      <c r="AN26" s="5"/>
      <c r="AO26" s="5"/>
      <c r="AP26" s="5"/>
      <c r="AQ26" s="5"/>
      <c r="AR26" s="5"/>
      <c r="AS26" s="5"/>
      <c r="AT26" s="10"/>
      <c r="AU26" s="10"/>
      <c r="AV26" s="5"/>
      <c r="AW26" s="5"/>
      <c r="AX26" s="5"/>
      <c r="AY26" s="5"/>
      <c r="AZ26" s="5"/>
      <c r="BA26" s="5"/>
      <c r="BB26" s="5"/>
      <c r="BC26" s="5"/>
      <c r="BD26" s="5"/>
      <c r="BE26" s="5"/>
      <c r="BF26" s="5"/>
      <c r="BG26" s="5"/>
      <c r="BH26" s="5"/>
      <c r="BI26" s="5"/>
      <c r="BJ26" s="5"/>
      <c r="BK26" s="5"/>
      <c r="BL26" s="5"/>
      <c r="BM26" s="5"/>
      <c r="BN26" s="5"/>
      <c r="BO26" s="5">
        <v>27</v>
      </c>
      <c r="BP26" s="5"/>
      <c r="BQ26" s="5"/>
      <c r="BR26" s="5"/>
      <c r="BS26" s="5"/>
      <c r="BT26" s="5">
        <v>19</v>
      </c>
      <c r="BU26" s="5">
        <f t="shared" ref="BU26:BU34" si="3">BT26+BO26</f>
        <v>46</v>
      </c>
      <c r="BV26" s="5"/>
      <c r="BW26" s="5">
        <v>68.099999999999994</v>
      </c>
      <c r="BX26" s="5"/>
      <c r="BY26" s="5">
        <f>BU26+BW26</f>
        <v>114.1</v>
      </c>
      <c r="BZ26" s="5"/>
      <c r="CA26" s="5"/>
      <c r="CB26" s="5"/>
      <c r="CC26" s="5"/>
      <c r="CD26" s="5">
        <v>4.17</v>
      </c>
      <c r="CE26" s="5"/>
      <c r="CF26" s="5"/>
      <c r="CG26" s="5"/>
      <c r="CH26" s="5">
        <v>3.11</v>
      </c>
      <c r="CI26" s="5">
        <v>7.28</v>
      </c>
      <c r="CJ26" s="5"/>
      <c r="CK26" s="5">
        <v>0.51</v>
      </c>
      <c r="CL26" s="5">
        <f>CI26-CK26</f>
        <v>6.7700000000000005</v>
      </c>
      <c r="CM26" s="10" t="s">
        <v>237</v>
      </c>
      <c r="CN26" s="10" t="s">
        <v>3</v>
      </c>
      <c r="CO26" s="11" t="s">
        <v>244</v>
      </c>
      <c r="CP26" s="12" t="s">
        <v>37</v>
      </c>
    </row>
    <row r="27" spans="1:94" s="2" customFormat="1" x14ac:dyDescent="0.25">
      <c r="A27" s="10" t="s">
        <v>228</v>
      </c>
      <c r="B27" s="10" t="s">
        <v>240</v>
      </c>
      <c r="C27" s="5" t="s">
        <v>163</v>
      </c>
      <c r="D27" s="10" t="s">
        <v>243</v>
      </c>
      <c r="E27" s="10" t="s">
        <v>242</v>
      </c>
      <c r="F27" s="10">
        <v>2013</v>
      </c>
      <c r="G27" s="10">
        <v>2016</v>
      </c>
      <c r="H27" s="10">
        <v>1</v>
      </c>
      <c r="I27" s="10">
        <v>3</v>
      </c>
      <c r="J27" s="10">
        <v>1</v>
      </c>
      <c r="K27" s="10">
        <v>1</v>
      </c>
      <c r="L27" s="10">
        <v>1</v>
      </c>
      <c r="M27" s="13">
        <v>1</v>
      </c>
      <c r="N27" s="5">
        <v>15.6</v>
      </c>
      <c r="O27" s="5">
        <f>(N27-5)*12+(5-3)</f>
        <v>129.19999999999999</v>
      </c>
      <c r="P27" s="5">
        <v>1420</v>
      </c>
      <c r="Q27" s="5"/>
      <c r="R27" s="5"/>
      <c r="S27" s="5"/>
      <c r="T27" s="5">
        <v>1847</v>
      </c>
      <c r="U27" s="5"/>
      <c r="V27" s="5"/>
      <c r="W27" s="5"/>
      <c r="X27" s="5"/>
      <c r="Y27" s="5"/>
      <c r="Z27" s="5"/>
      <c r="AA27" s="5"/>
      <c r="AB27" s="5"/>
      <c r="AC27" s="5"/>
      <c r="AD27" s="5"/>
      <c r="AE27" s="5"/>
      <c r="AF27" s="5"/>
      <c r="AG27" s="5"/>
      <c r="AH27" s="5"/>
      <c r="AI27" s="5"/>
      <c r="AJ27" s="5"/>
      <c r="AK27" s="5"/>
      <c r="AL27" s="5"/>
      <c r="AM27" s="5"/>
      <c r="AN27" s="5"/>
      <c r="AO27" s="5"/>
      <c r="AP27" s="5"/>
      <c r="AQ27" s="5"/>
      <c r="AR27" s="5"/>
      <c r="AS27" s="5"/>
      <c r="AT27" s="10"/>
      <c r="AU27" s="10"/>
      <c r="AV27" s="5"/>
      <c r="AW27" s="5"/>
      <c r="AX27" s="5"/>
      <c r="AY27" s="5"/>
      <c r="AZ27" s="5"/>
      <c r="BA27" s="5"/>
      <c r="BB27" s="5"/>
      <c r="BC27" s="5"/>
      <c r="BD27" s="5"/>
      <c r="BE27" s="5"/>
      <c r="BF27" s="5"/>
      <c r="BG27" s="5"/>
      <c r="BH27" s="5"/>
      <c r="BI27" s="5"/>
      <c r="BJ27" s="5"/>
      <c r="BK27" s="5"/>
      <c r="BL27" s="5"/>
      <c r="BM27" s="5"/>
      <c r="BN27" s="5"/>
      <c r="BO27" s="5">
        <v>33</v>
      </c>
      <c r="BP27" s="5"/>
      <c r="BQ27" s="5"/>
      <c r="BR27" s="5"/>
      <c r="BS27" s="5"/>
      <c r="BT27" s="5">
        <v>24</v>
      </c>
      <c r="BU27" s="5">
        <f t="shared" si="3"/>
        <v>57</v>
      </c>
      <c r="BV27" s="5"/>
      <c r="BW27" s="5">
        <v>66</v>
      </c>
      <c r="BX27" s="5"/>
      <c r="BY27" s="5">
        <f>BU27+BW27</f>
        <v>123</v>
      </c>
      <c r="BZ27" s="5"/>
      <c r="CA27" s="5"/>
      <c r="CB27" s="5"/>
      <c r="CC27" s="5"/>
      <c r="CD27" s="5">
        <v>5.08</v>
      </c>
      <c r="CE27" s="5"/>
      <c r="CF27" s="5"/>
      <c r="CG27" s="5"/>
      <c r="CH27" s="5">
        <v>4.0199999999999996</v>
      </c>
      <c r="CI27" s="5">
        <v>9.1</v>
      </c>
      <c r="CJ27" s="5"/>
      <c r="CK27" s="5">
        <v>1.0900000000000001</v>
      </c>
      <c r="CL27" s="5">
        <f>CI27-CK27</f>
        <v>8.01</v>
      </c>
      <c r="CM27" s="10" t="s">
        <v>232</v>
      </c>
      <c r="CN27" s="10" t="s">
        <v>19</v>
      </c>
      <c r="CO27" s="11" t="s">
        <v>241</v>
      </c>
      <c r="CP27" s="12" t="s">
        <v>1</v>
      </c>
    </row>
    <row r="28" spans="1:94" s="2" customFormat="1" x14ac:dyDescent="0.25">
      <c r="A28" s="10" t="s">
        <v>228</v>
      </c>
      <c r="B28" s="10" t="s">
        <v>240</v>
      </c>
      <c r="C28" s="5" t="s">
        <v>163</v>
      </c>
      <c r="D28" s="10" t="s">
        <v>239</v>
      </c>
      <c r="E28" s="10" t="s">
        <v>238</v>
      </c>
      <c r="F28" s="10">
        <v>2013</v>
      </c>
      <c r="G28" s="10">
        <v>2016</v>
      </c>
      <c r="H28" s="10">
        <v>1</v>
      </c>
      <c r="I28" s="10">
        <v>1</v>
      </c>
      <c r="J28" s="10">
        <v>1</v>
      </c>
      <c r="K28" s="10">
        <v>1</v>
      </c>
      <c r="L28" s="10">
        <v>1</v>
      </c>
      <c r="M28" s="13">
        <v>1</v>
      </c>
      <c r="N28" s="5">
        <v>15.6</v>
      </c>
      <c r="O28" s="5">
        <f>(N28-5)*12+(5-3)</f>
        <v>129.19999999999999</v>
      </c>
      <c r="P28" s="5">
        <v>1420</v>
      </c>
      <c r="Q28" s="5"/>
      <c r="R28" s="5"/>
      <c r="S28" s="5"/>
      <c r="T28" s="5">
        <v>1847</v>
      </c>
      <c r="U28" s="5"/>
      <c r="V28" s="5"/>
      <c r="W28" s="5"/>
      <c r="X28" s="5"/>
      <c r="Y28" s="5"/>
      <c r="Z28" s="5"/>
      <c r="AA28" s="5"/>
      <c r="AB28" s="5"/>
      <c r="AC28" s="5"/>
      <c r="AD28" s="5"/>
      <c r="AE28" s="5"/>
      <c r="AF28" s="5"/>
      <c r="AG28" s="5"/>
      <c r="AH28" s="5"/>
      <c r="AI28" s="5"/>
      <c r="AJ28" s="5"/>
      <c r="AK28" s="5"/>
      <c r="AL28" s="5"/>
      <c r="AM28" s="5"/>
      <c r="AN28" s="5"/>
      <c r="AO28" s="5"/>
      <c r="AP28" s="5"/>
      <c r="AQ28" s="5"/>
      <c r="AR28" s="5"/>
      <c r="AS28" s="5"/>
      <c r="AT28" s="10"/>
      <c r="AU28" s="10"/>
      <c r="AV28" s="5"/>
      <c r="AW28" s="5"/>
      <c r="AX28" s="5"/>
      <c r="AY28" s="5"/>
      <c r="AZ28" s="5"/>
      <c r="BA28" s="5"/>
      <c r="BB28" s="5"/>
      <c r="BC28" s="5"/>
      <c r="BD28" s="5"/>
      <c r="BE28" s="5"/>
      <c r="BF28" s="5"/>
      <c r="BG28" s="5"/>
      <c r="BH28" s="5"/>
      <c r="BI28" s="5"/>
      <c r="BJ28" s="5"/>
      <c r="BK28" s="5"/>
      <c r="BL28" s="5"/>
      <c r="BM28" s="5"/>
      <c r="BN28" s="5"/>
      <c r="BO28" s="5">
        <v>35.1</v>
      </c>
      <c r="BP28" s="5"/>
      <c r="BQ28" s="5"/>
      <c r="BR28" s="5"/>
      <c r="BS28" s="5"/>
      <c r="BT28" s="5">
        <v>26.1</v>
      </c>
      <c r="BU28" s="5">
        <f t="shared" si="3"/>
        <v>61.2</v>
      </c>
      <c r="BV28" s="5"/>
      <c r="BW28" s="5">
        <v>64.099999999999994</v>
      </c>
      <c r="BX28" s="5"/>
      <c r="BY28" s="5">
        <f>BU28+BW28</f>
        <v>125.3</v>
      </c>
      <c r="BZ28" s="5"/>
      <c r="CA28" s="5"/>
      <c r="CB28" s="5"/>
      <c r="CC28" s="5"/>
      <c r="CD28" s="5">
        <v>5.46</v>
      </c>
      <c r="CE28" s="5"/>
      <c r="CF28" s="5"/>
      <c r="CG28" s="5"/>
      <c r="CH28" s="5">
        <v>4.34</v>
      </c>
      <c r="CI28" s="5">
        <v>9.8000000000000007</v>
      </c>
      <c r="CJ28" s="5"/>
      <c r="CK28" s="5">
        <v>1.37</v>
      </c>
      <c r="CL28" s="5">
        <f>CI28-CK28</f>
        <v>8.43</v>
      </c>
      <c r="CM28" s="10" t="s">
        <v>237</v>
      </c>
      <c r="CN28" s="10" t="s">
        <v>3</v>
      </c>
      <c r="CO28" s="11" t="s">
        <v>236</v>
      </c>
      <c r="CP28" s="12" t="s">
        <v>37</v>
      </c>
    </row>
    <row r="29" spans="1:94" s="2" customFormat="1" x14ac:dyDescent="0.25">
      <c r="A29" s="10" t="s">
        <v>228</v>
      </c>
      <c r="B29" s="10" t="s">
        <v>235</v>
      </c>
      <c r="C29" s="5" t="s">
        <v>163</v>
      </c>
      <c r="D29" s="10" t="s">
        <v>234</v>
      </c>
      <c r="E29" s="10" t="s">
        <v>233</v>
      </c>
      <c r="F29" s="10">
        <v>2013</v>
      </c>
      <c r="G29" s="10">
        <v>2016</v>
      </c>
      <c r="H29" s="10">
        <v>1</v>
      </c>
      <c r="I29" s="10">
        <v>2</v>
      </c>
      <c r="J29" s="10">
        <v>1</v>
      </c>
      <c r="K29" s="10">
        <v>1</v>
      </c>
      <c r="L29" s="10">
        <v>1</v>
      </c>
      <c r="M29" s="13">
        <v>1</v>
      </c>
      <c r="N29" s="5">
        <v>15.6</v>
      </c>
      <c r="O29" s="5">
        <f>(N29-5)*12+(5-3)</f>
        <v>129.19999999999999</v>
      </c>
      <c r="P29" s="5">
        <v>1420</v>
      </c>
      <c r="Q29" s="5"/>
      <c r="R29" s="5"/>
      <c r="S29" s="5"/>
      <c r="T29" s="5">
        <v>1847</v>
      </c>
      <c r="U29" s="5"/>
      <c r="V29" s="5"/>
      <c r="W29" s="5"/>
      <c r="X29" s="5"/>
      <c r="Y29" s="5"/>
      <c r="Z29" s="5"/>
      <c r="AA29" s="5"/>
      <c r="AB29" s="5"/>
      <c r="AC29" s="5"/>
      <c r="AD29" s="5"/>
      <c r="AE29" s="5"/>
      <c r="AF29" s="5"/>
      <c r="AG29" s="5"/>
      <c r="AH29" s="5"/>
      <c r="AI29" s="5"/>
      <c r="AJ29" s="5"/>
      <c r="AK29" s="5"/>
      <c r="AL29" s="5"/>
      <c r="AM29" s="5"/>
      <c r="AN29" s="5"/>
      <c r="AO29" s="5"/>
      <c r="AP29" s="5"/>
      <c r="AQ29" s="5"/>
      <c r="AR29" s="5"/>
      <c r="AS29" s="5"/>
      <c r="AT29" s="10"/>
      <c r="AU29" s="10"/>
      <c r="AV29" s="5"/>
      <c r="AW29" s="5"/>
      <c r="AX29" s="5"/>
      <c r="AY29" s="5"/>
      <c r="AZ29" s="5"/>
      <c r="BA29" s="5"/>
      <c r="BB29" s="5"/>
      <c r="BC29" s="5"/>
      <c r="BD29" s="5"/>
      <c r="BE29" s="5"/>
      <c r="BF29" s="5"/>
      <c r="BG29" s="5"/>
      <c r="BH29" s="5"/>
      <c r="BI29" s="5"/>
      <c r="BJ29" s="5"/>
      <c r="BK29" s="5"/>
      <c r="BL29" s="5"/>
      <c r="BM29" s="5"/>
      <c r="BN29" s="5"/>
      <c r="BO29" s="5">
        <v>37.700000000000003</v>
      </c>
      <c r="BP29" s="5"/>
      <c r="BQ29" s="5"/>
      <c r="BR29" s="5"/>
      <c r="BS29" s="5"/>
      <c r="BT29" s="5">
        <v>26</v>
      </c>
      <c r="BU29" s="5">
        <f t="shared" si="3"/>
        <v>63.7</v>
      </c>
      <c r="BV29" s="5"/>
      <c r="BW29" s="5">
        <v>63</v>
      </c>
      <c r="BX29" s="5"/>
      <c r="BY29" s="5">
        <f>BU29+BW29</f>
        <v>126.7</v>
      </c>
      <c r="BZ29" s="5"/>
      <c r="CA29" s="5"/>
      <c r="CB29" s="5"/>
      <c r="CC29" s="5"/>
      <c r="CD29" s="5">
        <v>5.76</v>
      </c>
      <c r="CE29" s="5"/>
      <c r="CF29" s="5"/>
      <c r="CG29" s="5"/>
      <c r="CH29" s="5">
        <v>4.33</v>
      </c>
      <c r="CI29" s="5">
        <v>10.09</v>
      </c>
      <c r="CJ29" s="5"/>
      <c r="CK29" s="5">
        <v>1.29</v>
      </c>
      <c r="CL29" s="5">
        <f>CI29-CK29</f>
        <v>8.8000000000000007</v>
      </c>
      <c r="CM29" s="10" t="s">
        <v>232</v>
      </c>
      <c r="CN29" s="10" t="s">
        <v>19</v>
      </c>
      <c r="CO29" s="11" t="s">
        <v>231</v>
      </c>
      <c r="CP29" s="12" t="s">
        <v>37</v>
      </c>
    </row>
    <row r="30" spans="1:94" s="2" customFormat="1" x14ac:dyDescent="0.25">
      <c r="A30" s="10" t="s">
        <v>228</v>
      </c>
      <c r="B30" s="10" t="s">
        <v>227</v>
      </c>
      <c r="C30" s="5" t="s">
        <v>163</v>
      </c>
      <c r="D30" s="10" t="s">
        <v>230</v>
      </c>
      <c r="E30" s="10" t="s">
        <v>229</v>
      </c>
      <c r="F30" s="10">
        <v>1980</v>
      </c>
      <c r="G30" s="10">
        <v>1989</v>
      </c>
      <c r="H30" s="10">
        <v>1</v>
      </c>
      <c r="I30" s="10">
        <v>1</v>
      </c>
      <c r="J30" s="10">
        <v>1</v>
      </c>
      <c r="K30" s="10">
        <v>1</v>
      </c>
      <c r="L30" s="10">
        <v>0</v>
      </c>
      <c r="M30" s="13">
        <v>0</v>
      </c>
      <c r="N30" s="5">
        <v>16</v>
      </c>
      <c r="O30" s="5">
        <f>(N30-5)*12</f>
        <v>132</v>
      </c>
      <c r="P30" s="5">
        <v>1800</v>
      </c>
      <c r="Q30" s="5"/>
      <c r="R30" s="5">
        <v>31</v>
      </c>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10"/>
      <c r="AU30" s="10"/>
      <c r="AV30" s="5">
        <v>3750</v>
      </c>
      <c r="AW30" s="5"/>
      <c r="AX30" s="5"/>
      <c r="AY30" s="5"/>
      <c r="AZ30" s="5"/>
      <c r="BA30" s="5"/>
      <c r="BB30" s="5">
        <v>11.17</v>
      </c>
      <c r="BC30" s="5"/>
      <c r="BD30" s="5"/>
      <c r="BE30" s="5"/>
      <c r="BF30" s="5"/>
      <c r="BG30" s="5"/>
      <c r="BH30" s="5"/>
      <c r="BI30" s="5"/>
      <c r="BJ30" s="5"/>
      <c r="BK30" s="5"/>
      <c r="BL30" s="5">
        <f>0.4314*10000/1000*50%</f>
        <v>2.157</v>
      </c>
      <c r="BM30" s="5">
        <f>1.305*10000/1000*50%</f>
        <v>6.5250000000000004</v>
      </c>
      <c r="BN30" s="5">
        <f>(9.889)*10000/1000*50%</f>
        <v>49.445</v>
      </c>
      <c r="BO30" s="5">
        <f>SUM(BL30:BN30)</f>
        <v>58.127000000000002</v>
      </c>
      <c r="BP30" s="5">
        <f>BT30/BO30</f>
        <v>0.56884064204242424</v>
      </c>
      <c r="BQ30" s="5">
        <f>(3.864)*10000/1000*50%</f>
        <v>19.32</v>
      </c>
      <c r="BR30" s="5">
        <f>(1.449)*10000/1000*50%</f>
        <v>7.2450000000000001</v>
      </c>
      <c r="BS30" s="5">
        <f>(1.3)*10000/1000*50%</f>
        <v>6.5</v>
      </c>
      <c r="BT30" s="5">
        <f>SUM(BQ30:BS30)</f>
        <v>33.064999999999998</v>
      </c>
      <c r="BU30" s="5">
        <f t="shared" si="3"/>
        <v>91.192000000000007</v>
      </c>
      <c r="BV30" s="5"/>
      <c r="BW30" s="5"/>
      <c r="BX30" s="5"/>
      <c r="BY30" s="5"/>
      <c r="BZ30" s="5"/>
      <c r="CA30" s="5"/>
      <c r="CB30" s="5"/>
      <c r="CC30" s="5"/>
      <c r="CD30" s="5">
        <f>((10.0169+1.0598)/10)*10000/1000*50%</f>
        <v>5.5383499999999994</v>
      </c>
      <c r="CE30" s="5"/>
      <c r="CF30" s="5"/>
      <c r="CG30" s="5"/>
      <c r="CH30" s="5"/>
      <c r="CI30" s="5"/>
      <c r="CJ30" s="5"/>
      <c r="CK30" s="5"/>
      <c r="CL30" s="10"/>
      <c r="CM30" s="10" t="s">
        <v>224</v>
      </c>
      <c r="CN30" s="10" t="s">
        <v>3</v>
      </c>
      <c r="CO30" s="11" t="s">
        <v>223</v>
      </c>
      <c r="CP30" s="12" t="s">
        <v>1</v>
      </c>
    </row>
    <row r="31" spans="1:94" s="2" customFormat="1" x14ac:dyDescent="0.25">
      <c r="A31" s="10" t="s">
        <v>228</v>
      </c>
      <c r="B31" s="10" t="s">
        <v>227</v>
      </c>
      <c r="C31" s="5" t="s">
        <v>163</v>
      </c>
      <c r="D31" s="10" t="s">
        <v>226</v>
      </c>
      <c r="E31" s="10" t="s">
        <v>225</v>
      </c>
      <c r="F31" s="10">
        <v>1982</v>
      </c>
      <c r="G31" s="10">
        <v>1989</v>
      </c>
      <c r="H31" s="10">
        <v>1</v>
      </c>
      <c r="I31" s="10">
        <v>0</v>
      </c>
      <c r="J31" s="10">
        <v>1</v>
      </c>
      <c r="K31" s="10">
        <v>1</v>
      </c>
      <c r="L31" s="10">
        <v>0</v>
      </c>
      <c r="M31" s="13">
        <v>0</v>
      </c>
      <c r="N31" s="5">
        <v>16</v>
      </c>
      <c r="O31" s="5">
        <f>(N31-5)*12</f>
        <v>132</v>
      </c>
      <c r="P31" s="5">
        <v>1800</v>
      </c>
      <c r="Q31" s="5"/>
      <c r="R31" s="5">
        <v>31</v>
      </c>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10"/>
      <c r="AU31" s="10"/>
      <c r="AV31" s="5">
        <v>2700</v>
      </c>
      <c r="AW31" s="5"/>
      <c r="AX31" s="5"/>
      <c r="AY31" s="5"/>
      <c r="AZ31" s="5"/>
      <c r="BA31" s="5"/>
      <c r="BB31" s="5">
        <v>8.02</v>
      </c>
      <c r="BC31" s="5"/>
      <c r="BD31" s="5"/>
      <c r="BE31" s="5"/>
      <c r="BF31" s="5"/>
      <c r="BG31" s="5"/>
      <c r="BH31" s="5"/>
      <c r="BI31" s="5"/>
      <c r="BJ31" s="5"/>
      <c r="BK31" s="5"/>
      <c r="BL31" s="5">
        <f>0.2886*10000/1000*50%</f>
        <v>1.4430000000000003</v>
      </c>
      <c r="BM31" s="5">
        <f>0.8213*10000/1000*50%</f>
        <v>4.1064999999999996</v>
      </c>
      <c r="BN31" s="5">
        <f>4.199*10000/1000*50%</f>
        <v>20.995000000000001</v>
      </c>
      <c r="BO31" s="5">
        <f>SUM(BL31:BN31)</f>
        <v>26.544499999999999</v>
      </c>
      <c r="BP31" s="5"/>
      <c r="BQ31" s="5">
        <f>(4.857)*10000/1000*50%</f>
        <v>24.285</v>
      </c>
      <c r="BR31" s="5">
        <f>(1.337)*10000/1000*50%</f>
        <v>6.6849999999999996</v>
      </c>
      <c r="BS31" s="5">
        <f>(0.5091)*10000/1000*50%</f>
        <v>2.5455000000000001</v>
      </c>
      <c r="BT31" s="5">
        <f>SUM(BQ31:BS31)</f>
        <v>33.515499999999996</v>
      </c>
      <c r="BU31" s="5">
        <f t="shared" si="3"/>
        <v>60.059999999999995</v>
      </c>
      <c r="BV31" s="5"/>
      <c r="BW31" s="5"/>
      <c r="BX31" s="5"/>
      <c r="BY31" s="5"/>
      <c r="BZ31" s="5"/>
      <c r="CA31" s="5"/>
      <c r="CB31" s="5"/>
      <c r="CC31" s="5"/>
      <c r="CD31" s="5">
        <f>((4.2415+0.3274)/8)*10000/1000*50%</f>
        <v>2.8555625</v>
      </c>
      <c r="CE31" s="5"/>
      <c r="CF31" s="5"/>
      <c r="CG31" s="5"/>
      <c r="CH31" s="5"/>
      <c r="CI31" s="5"/>
      <c r="CJ31" s="5"/>
      <c r="CK31" s="5"/>
      <c r="CL31" s="10"/>
      <c r="CM31" s="10" t="s">
        <v>224</v>
      </c>
      <c r="CN31" s="10" t="s">
        <v>3</v>
      </c>
      <c r="CO31" s="11" t="s">
        <v>223</v>
      </c>
      <c r="CP31" s="12" t="s">
        <v>37</v>
      </c>
    </row>
    <row r="32" spans="1:94" s="2" customFormat="1" x14ac:dyDescent="0.25">
      <c r="A32" s="10" t="s">
        <v>93</v>
      </c>
      <c r="B32" s="10" t="s">
        <v>216</v>
      </c>
      <c r="C32" s="5" t="s">
        <v>142</v>
      </c>
      <c r="D32" s="10" t="s">
        <v>222</v>
      </c>
      <c r="E32" s="10" t="s">
        <v>221</v>
      </c>
      <c r="F32" s="10">
        <v>2008</v>
      </c>
      <c r="G32" s="10">
        <v>2009</v>
      </c>
      <c r="H32" s="10">
        <v>0</v>
      </c>
      <c r="I32" s="10">
        <v>0</v>
      </c>
      <c r="J32" s="10">
        <v>0</v>
      </c>
      <c r="K32" s="10">
        <v>0</v>
      </c>
      <c r="L32" s="10">
        <v>0</v>
      </c>
      <c r="M32" s="14">
        <v>0</v>
      </c>
      <c r="N32" s="5">
        <v>14.8</v>
      </c>
      <c r="O32" s="5">
        <f>(N32-5)*12</f>
        <v>117.60000000000001</v>
      </c>
      <c r="P32" s="5">
        <v>1451.4</v>
      </c>
      <c r="Q32" s="5">
        <v>7</v>
      </c>
      <c r="R32" s="5">
        <v>110</v>
      </c>
      <c r="S32" s="5">
        <v>61.208329999999997</v>
      </c>
      <c r="T32" s="5">
        <v>2161.15</v>
      </c>
      <c r="U32" s="5">
        <v>1.5333300000000001</v>
      </c>
      <c r="V32" s="5">
        <v>0.4</v>
      </c>
      <c r="W32" s="5"/>
      <c r="X32" s="5">
        <v>4.55</v>
      </c>
      <c r="Y32" s="5"/>
      <c r="Z32" s="5"/>
      <c r="AA32" s="5"/>
      <c r="AB32" s="5"/>
      <c r="AC32" s="5">
        <f>(0.023)*1000</f>
        <v>23</v>
      </c>
      <c r="AD32" s="5"/>
      <c r="AE32" s="5"/>
      <c r="AF32" s="5"/>
      <c r="AG32" s="5"/>
      <c r="AH32" s="5"/>
      <c r="AI32" s="5"/>
      <c r="AJ32" s="5"/>
      <c r="AK32" s="5"/>
      <c r="AL32" s="5"/>
      <c r="AM32" s="5"/>
      <c r="AN32" s="5"/>
      <c r="AO32" s="5"/>
      <c r="AP32" s="5">
        <v>203</v>
      </c>
      <c r="AQ32" s="5">
        <v>176</v>
      </c>
      <c r="AR32" s="5"/>
      <c r="AS32" s="5"/>
      <c r="AT32" s="10"/>
      <c r="AU32" s="5">
        <v>290</v>
      </c>
      <c r="AV32" s="5">
        <v>2660</v>
      </c>
      <c r="AW32" s="5">
        <v>8.1999999999999993</v>
      </c>
      <c r="AX32" s="5"/>
      <c r="AY32" s="5">
        <f t="shared" ref="AY32:AY40" si="4">(AW32/2)^2*PI()*AV32/10000</f>
        <v>14.047505886820614</v>
      </c>
      <c r="AZ32" s="5"/>
      <c r="BA32" s="5"/>
      <c r="BB32" s="5"/>
      <c r="BC32" s="5"/>
      <c r="BD32" s="5"/>
      <c r="BE32" s="5"/>
      <c r="BF32" s="5"/>
      <c r="BG32" s="5"/>
      <c r="BH32" s="5"/>
      <c r="BI32" s="5"/>
      <c r="BJ32" s="5"/>
      <c r="BK32" s="5"/>
      <c r="BL32" s="5">
        <f>1.29*50%</f>
        <v>0.64500000000000002</v>
      </c>
      <c r="BM32" s="5">
        <f>3.72*50%</f>
        <v>1.86</v>
      </c>
      <c r="BN32" s="5">
        <f>26.4*50%</f>
        <v>13.2</v>
      </c>
      <c r="BO32" s="5">
        <f>SUM(BL32:BN32)</f>
        <v>15.704999999999998</v>
      </c>
      <c r="BP32" s="5">
        <f>BT32/BO32</f>
        <v>1.1464501751034704</v>
      </c>
      <c r="BQ32" s="5">
        <f>(18.7+7.47)*50%</f>
        <v>13.084999999999999</v>
      </c>
      <c r="BR32" s="5">
        <f>9.84*50%</f>
        <v>4.92</v>
      </c>
      <c r="BS32" s="5"/>
      <c r="BT32" s="5">
        <f>SUM(BQ32:BS32)</f>
        <v>18.004999999999999</v>
      </c>
      <c r="BU32" s="5">
        <f t="shared" si="3"/>
        <v>33.709999999999994</v>
      </c>
      <c r="BV32" s="10"/>
      <c r="BW32" s="5"/>
      <c r="BX32" s="5"/>
      <c r="BY32" s="5"/>
      <c r="BZ32" s="5"/>
      <c r="CA32" s="5"/>
      <c r="CB32" s="5"/>
      <c r="CC32" s="5">
        <f>7.19*50%</f>
        <v>3.5950000000000002</v>
      </c>
      <c r="CD32" s="5"/>
      <c r="CE32" s="5"/>
      <c r="CF32" s="5"/>
      <c r="CG32" s="5"/>
      <c r="CH32" s="5"/>
      <c r="CI32" s="5"/>
      <c r="CJ32" s="5"/>
      <c r="CK32" s="5"/>
      <c r="CL32" s="10"/>
      <c r="CM32" s="10" t="s">
        <v>218</v>
      </c>
      <c r="CN32" s="10" t="s">
        <v>3</v>
      </c>
      <c r="CO32" s="11" t="s">
        <v>212</v>
      </c>
      <c r="CP32" s="12" t="s">
        <v>37</v>
      </c>
    </row>
    <row r="33" spans="1:94" s="2" customFormat="1" x14ac:dyDescent="0.25">
      <c r="A33" s="10" t="s">
        <v>93</v>
      </c>
      <c r="B33" s="10" t="s">
        <v>216</v>
      </c>
      <c r="C33" s="5" t="s">
        <v>142</v>
      </c>
      <c r="D33" s="10" t="s">
        <v>220</v>
      </c>
      <c r="E33" s="10" t="s">
        <v>219</v>
      </c>
      <c r="F33" s="10">
        <v>2008</v>
      </c>
      <c r="G33" s="10">
        <v>2009</v>
      </c>
      <c r="H33" s="10">
        <v>0</v>
      </c>
      <c r="I33" s="10">
        <v>0</v>
      </c>
      <c r="J33" s="10">
        <v>0</v>
      </c>
      <c r="K33" s="10">
        <v>0</v>
      </c>
      <c r="L33" s="10">
        <v>0</v>
      </c>
      <c r="M33" s="14">
        <v>0</v>
      </c>
      <c r="N33" s="5">
        <v>14.8</v>
      </c>
      <c r="O33" s="5">
        <f>(N33-5)*12</f>
        <v>117.60000000000001</v>
      </c>
      <c r="P33" s="5">
        <v>1451.4</v>
      </c>
      <c r="Q33" s="5">
        <v>7</v>
      </c>
      <c r="R33" s="5">
        <v>160</v>
      </c>
      <c r="S33" s="5">
        <v>61.208329999999997</v>
      </c>
      <c r="T33" s="5">
        <v>2161.15</v>
      </c>
      <c r="U33" s="5">
        <v>1.5333300000000001</v>
      </c>
      <c r="V33" s="5">
        <v>0.31</v>
      </c>
      <c r="W33" s="5"/>
      <c r="X33" s="5">
        <v>4.79</v>
      </c>
      <c r="Y33" s="5"/>
      <c r="Z33" s="5"/>
      <c r="AA33" s="5"/>
      <c r="AB33" s="5"/>
      <c r="AC33" s="5">
        <f>(0.025)*1000</f>
        <v>25</v>
      </c>
      <c r="AD33" s="5"/>
      <c r="AE33" s="5"/>
      <c r="AF33" s="5"/>
      <c r="AG33" s="5"/>
      <c r="AH33" s="5"/>
      <c r="AI33" s="5"/>
      <c r="AJ33" s="5"/>
      <c r="AK33" s="5"/>
      <c r="AL33" s="5"/>
      <c r="AM33" s="5"/>
      <c r="AN33" s="5"/>
      <c r="AO33" s="5"/>
      <c r="AP33" s="5">
        <v>357</v>
      </c>
      <c r="AQ33" s="5">
        <v>463</v>
      </c>
      <c r="AR33" s="5"/>
      <c r="AS33" s="5"/>
      <c r="AT33" s="10"/>
      <c r="AU33" s="5">
        <v>67</v>
      </c>
      <c r="AV33" s="5">
        <v>4790</v>
      </c>
      <c r="AW33" s="5">
        <v>11.2</v>
      </c>
      <c r="AX33" s="5"/>
      <c r="AY33" s="5">
        <f t="shared" si="4"/>
        <v>47.191245550339858</v>
      </c>
      <c r="AZ33" s="5"/>
      <c r="BA33" s="5"/>
      <c r="BB33" s="5"/>
      <c r="BC33" s="5"/>
      <c r="BD33" s="5"/>
      <c r="BE33" s="5"/>
      <c r="BF33" s="5"/>
      <c r="BG33" s="5"/>
      <c r="BH33" s="5"/>
      <c r="BI33" s="5"/>
      <c r="BJ33" s="5"/>
      <c r="BK33" s="5"/>
      <c r="BL33" s="5">
        <f>4.06*50%</f>
        <v>2.0299999999999998</v>
      </c>
      <c r="BM33" s="5">
        <f>10.9*50%</f>
        <v>5.45</v>
      </c>
      <c r="BN33" s="5">
        <f>92.2*50%</f>
        <v>46.1</v>
      </c>
      <c r="BO33" s="5">
        <f>SUM(BL33:BN33)</f>
        <v>53.58</v>
      </c>
      <c r="BP33" s="5">
        <f>BT33/BO33</f>
        <v>0.63176558417319884</v>
      </c>
      <c r="BQ33" s="5">
        <f>(23.9+17.4)*50%</f>
        <v>20.65</v>
      </c>
      <c r="BR33" s="5">
        <f>26.4*50%</f>
        <v>13.2</v>
      </c>
      <c r="BS33" s="5"/>
      <c r="BT33" s="5">
        <f>SUM(BQ33:BS33)</f>
        <v>33.849999999999994</v>
      </c>
      <c r="BU33" s="5">
        <f t="shared" si="3"/>
        <v>87.429999999999993</v>
      </c>
      <c r="BV33" s="10"/>
      <c r="BW33" s="5"/>
      <c r="BX33" s="5"/>
      <c r="BY33" s="5"/>
      <c r="BZ33" s="5"/>
      <c r="CA33" s="5"/>
      <c r="CB33" s="5"/>
      <c r="CC33" s="5">
        <f>3.03*50%</f>
        <v>1.5149999999999999</v>
      </c>
      <c r="CD33" s="5"/>
      <c r="CE33" s="5"/>
      <c r="CF33" s="5"/>
      <c r="CG33" s="5"/>
      <c r="CH33" s="5"/>
      <c r="CI33" s="5"/>
      <c r="CJ33" s="5"/>
      <c r="CK33" s="5"/>
      <c r="CL33" s="10"/>
      <c r="CM33" s="10" t="s">
        <v>218</v>
      </c>
      <c r="CN33" s="10" t="s">
        <v>19</v>
      </c>
      <c r="CO33" s="11" t="s">
        <v>212</v>
      </c>
      <c r="CP33" s="12" t="s">
        <v>37</v>
      </c>
    </row>
    <row r="34" spans="1:94" s="2" customFormat="1" x14ac:dyDescent="0.25">
      <c r="A34" s="10" t="s">
        <v>217</v>
      </c>
      <c r="B34" s="10" t="s">
        <v>216</v>
      </c>
      <c r="C34" s="5" t="s">
        <v>142</v>
      </c>
      <c r="D34" s="10" t="s">
        <v>215</v>
      </c>
      <c r="E34" s="10" t="s">
        <v>214</v>
      </c>
      <c r="F34" s="10">
        <v>2008</v>
      </c>
      <c r="G34" s="10">
        <v>2009</v>
      </c>
      <c r="H34" s="10">
        <v>0</v>
      </c>
      <c r="I34" s="10">
        <v>0</v>
      </c>
      <c r="J34" s="10">
        <v>0</v>
      </c>
      <c r="K34" s="10">
        <v>0</v>
      </c>
      <c r="L34" s="10">
        <v>0</v>
      </c>
      <c r="M34" s="14">
        <v>0</v>
      </c>
      <c r="N34" s="5">
        <v>14.8</v>
      </c>
      <c r="O34" s="5">
        <f>(N34-5)*12</f>
        <v>117.60000000000001</v>
      </c>
      <c r="P34" s="5">
        <v>1451.4</v>
      </c>
      <c r="Q34" s="5">
        <v>7</v>
      </c>
      <c r="R34" s="5">
        <v>200</v>
      </c>
      <c r="S34" s="5">
        <v>61.208329999999997</v>
      </c>
      <c r="T34" s="5">
        <v>2161.15</v>
      </c>
      <c r="U34" s="5">
        <v>1.5333300000000001</v>
      </c>
      <c r="V34" s="5">
        <v>0.48</v>
      </c>
      <c r="W34" s="5"/>
      <c r="X34" s="5">
        <v>4.6900000000000004</v>
      </c>
      <c r="Y34" s="5"/>
      <c r="Z34" s="5"/>
      <c r="AA34" s="5"/>
      <c r="AB34" s="5"/>
      <c r="AC34" s="5">
        <f>(0.025)*1000</f>
        <v>25</v>
      </c>
      <c r="AD34" s="5"/>
      <c r="AE34" s="5"/>
      <c r="AF34" s="5"/>
      <c r="AG34" s="5"/>
      <c r="AH34" s="5"/>
      <c r="AI34" s="5"/>
      <c r="AJ34" s="5"/>
      <c r="AK34" s="5"/>
      <c r="AL34" s="5"/>
      <c r="AM34" s="5"/>
      <c r="AN34" s="5"/>
      <c r="AO34" s="5"/>
      <c r="AP34" s="5">
        <v>256</v>
      </c>
      <c r="AQ34" s="5">
        <v>368</v>
      </c>
      <c r="AR34" s="5"/>
      <c r="AS34" s="5"/>
      <c r="AT34" s="10"/>
      <c r="AU34" s="5">
        <v>324</v>
      </c>
      <c r="AV34" s="5">
        <v>2400</v>
      </c>
      <c r="AW34" s="5">
        <v>10.1</v>
      </c>
      <c r="AX34" s="5"/>
      <c r="AY34" s="5">
        <f t="shared" si="4"/>
        <v>19.228431995561689</v>
      </c>
      <c r="AZ34" s="5"/>
      <c r="BA34" s="5"/>
      <c r="BB34" s="5"/>
      <c r="BC34" s="5"/>
      <c r="BD34" s="5"/>
      <c r="BE34" s="5"/>
      <c r="BF34" s="5"/>
      <c r="BG34" s="5"/>
      <c r="BH34" s="5"/>
      <c r="BI34" s="5"/>
      <c r="BJ34" s="5"/>
      <c r="BK34" s="5"/>
      <c r="BL34" s="5">
        <f>1.69*50%</f>
        <v>0.84499999999999997</v>
      </c>
      <c r="BM34" s="5">
        <f>4.64*50%</f>
        <v>2.3199999999999998</v>
      </c>
      <c r="BN34" s="5">
        <f>37.3*50%</f>
        <v>18.649999999999999</v>
      </c>
      <c r="BO34" s="5">
        <f>SUM(BL34:BN34)</f>
        <v>21.814999999999998</v>
      </c>
      <c r="BP34" s="5">
        <f>BT34/BO34</f>
        <v>1.3183589273435712</v>
      </c>
      <c r="BQ34" s="5">
        <f>(23.1+9.92)*50%</f>
        <v>16.510000000000002</v>
      </c>
      <c r="BR34" s="5">
        <f>24.5*50%</f>
        <v>12.25</v>
      </c>
      <c r="BS34" s="5"/>
      <c r="BT34" s="5">
        <f>SUM(BQ34:BS34)</f>
        <v>28.76</v>
      </c>
      <c r="BU34" s="5">
        <f t="shared" si="3"/>
        <v>50.575000000000003</v>
      </c>
      <c r="BV34" s="10"/>
      <c r="BW34" s="5"/>
      <c r="BX34" s="5"/>
      <c r="BY34" s="5"/>
      <c r="BZ34" s="5"/>
      <c r="CA34" s="5"/>
      <c r="CB34" s="5"/>
      <c r="CC34" s="5">
        <f>5.26*50%</f>
        <v>2.63</v>
      </c>
      <c r="CD34" s="5"/>
      <c r="CE34" s="5"/>
      <c r="CF34" s="5"/>
      <c r="CG34" s="5"/>
      <c r="CH34" s="5"/>
      <c r="CI34" s="5"/>
      <c r="CJ34" s="5"/>
      <c r="CK34" s="5"/>
      <c r="CL34" s="10"/>
      <c r="CM34" s="10" t="s">
        <v>213</v>
      </c>
      <c r="CN34" s="10" t="s">
        <v>3</v>
      </c>
      <c r="CO34" s="11" t="s">
        <v>212</v>
      </c>
      <c r="CP34" s="12" t="s">
        <v>1</v>
      </c>
    </row>
    <row r="35" spans="1:94" s="2" customFormat="1" x14ac:dyDescent="0.25">
      <c r="A35" s="10" t="s">
        <v>99</v>
      </c>
      <c r="B35" s="10" t="s">
        <v>211</v>
      </c>
      <c r="C35" s="5" t="s">
        <v>163</v>
      </c>
      <c r="D35" s="10" t="s">
        <v>210</v>
      </c>
      <c r="E35" s="10" t="s">
        <v>209</v>
      </c>
      <c r="F35" s="10">
        <v>2002</v>
      </c>
      <c r="G35" s="10">
        <v>2003</v>
      </c>
      <c r="H35" s="10">
        <v>0</v>
      </c>
      <c r="I35" s="10">
        <v>0</v>
      </c>
      <c r="J35" s="10">
        <v>0</v>
      </c>
      <c r="K35" s="10">
        <v>0</v>
      </c>
      <c r="L35" s="10">
        <v>0</v>
      </c>
      <c r="M35" s="10">
        <v>0</v>
      </c>
      <c r="N35" s="5">
        <v>16.087499999999999</v>
      </c>
      <c r="O35" s="5">
        <v>133.5</v>
      </c>
      <c r="P35" s="5">
        <v>1556.5</v>
      </c>
      <c r="Q35" s="5">
        <v>0</v>
      </c>
      <c r="R35" s="5">
        <f>(50+92)/2</f>
        <v>71</v>
      </c>
      <c r="S35" s="10"/>
      <c r="T35" s="15">
        <v>1659.6</v>
      </c>
      <c r="U35" s="5">
        <v>2.329167</v>
      </c>
      <c r="V35" s="5"/>
      <c r="W35" s="5"/>
      <c r="X35" s="5"/>
      <c r="Y35" s="5"/>
      <c r="Z35" s="5"/>
      <c r="AA35" s="5"/>
      <c r="AB35" s="5"/>
      <c r="AC35" s="5"/>
      <c r="AD35" s="5"/>
      <c r="AE35" s="5"/>
      <c r="AF35" s="5"/>
      <c r="AG35" s="5"/>
      <c r="AH35" s="5"/>
      <c r="AI35" s="5"/>
      <c r="AJ35" s="5"/>
      <c r="AK35" s="5"/>
      <c r="AL35" s="5"/>
      <c r="AM35" s="5"/>
      <c r="AN35" s="5"/>
      <c r="AO35" s="5"/>
      <c r="AP35" s="5"/>
      <c r="AQ35" s="5"/>
      <c r="AR35" s="5"/>
      <c r="AS35" s="5"/>
      <c r="AT35" s="10"/>
      <c r="AU35" s="5"/>
      <c r="AV35" s="5">
        <f>(8000+8791+5263)/3</f>
        <v>7351.333333333333</v>
      </c>
      <c r="AW35" s="5">
        <f>(8000*12.3+8791*9.8+5263*11.4)/(AV35*3)</f>
        <v>11.088691393851455</v>
      </c>
      <c r="AX35" s="5">
        <f>(8000*17+8791*14.2+5263*15.9)/(AV35*3)</f>
        <v>15.621379341616034</v>
      </c>
      <c r="AY35" s="5">
        <f t="shared" si="4"/>
        <v>70.993173583070003</v>
      </c>
      <c r="AZ35" s="5"/>
      <c r="BA35" s="5"/>
      <c r="BB35" s="5"/>
      <c r="BC35" s="5"/>
      <c r="BD35" s="5"/>
      <c r="BE35" s="5"/>
      <c r="BF35" s="5"/>
      <c r="BG35" s="5"/>
      <c r="BH35" s="5"/>
      <c r="BI35" s="5"/>
      <c r="BJ35" s="5"/>
      <c r="BK35" s="5"/>
      <c r="BL35" s="5"/>
      <c r="BM35" s="5"/>
      <c r="BN35" s="5"/>
      <c r="BO35" s="5">
        <f>((233.1+151.1+138.3)/3)*50%</f>
        <v>87.083333333333329</v>
      </c>
      <c r="BP35" s="5"/>
      <c r="BQ35" s="5"/>
      <c r="BR35" s="5"/>
      <c r="BS35" s="5"/>
      <c r="BT35" s="5"/>
      <c r="BU35" s="5"/>
      <c r="BV35" s="5"/>
      <c r="BW35" s="5"/>
      <c r="BX35" s="5"/>
      <c r="BY35" s="5"/>
      <c r="BZ35" s="5"/>
      <c r="CA35" s="5"/>
      <c r="CB35" s="5"/>
      <c r="CC35" s="5"/>
      <c r="CD35" s="5"/>
      <c r="CE35" s="5"/>
      <c r="CF35" s="5"/>
      <c r="CG35" s="5"/>
      <c r="CH35" s="5"/>
      <c r="CI35" s="5"/>
      <c r="CJ35" s="5"/>
      <c r="CK35" s="5"/>
      <c r="CL35" s="5"/>
      <c r="CM35" s="10" t="s">
        <v>208</v>
      </c>
      <c r="CN35" s="10" t="s">
        <v>3</v>
      </c>
      <c r="CO35" s="11" t="s">
        <v>207</v>
      </c>
      <c r="CP35" s="12" t="s">
        <v>37</v>
      </c>
    </row>
    <row r="36" spans="1:94" s="2" customFormat="1" x14ac:dyDescent="0.25">
      <c r="A36" s="10" t="s">
        <v>99</v>
      </c>
      <c r="B36" s="10" t="s">
        <v>195</v>
      </c>
      <c r="C36" s="5" t="s">
        <v>116</v>
      </c>
      <c r="D36" s="10" t="s">
        <v>206</v>
      </c>
      <c r="E36" s="10" t="s">
        <v>205</v>
      </c>
      <c r="F36" s="10">
        <v>2005</v>
      </c>
      <c r="G36" s="10">
        <v>2005</v>
      </c>
      <c r="H36" s="10">
        <v>0</v>
      </c>
      <c r="I36" s="10">
        <v>0</v>
      </c>
      <c r="J36" s="10">
        <v>0</v>
      </c>
      <c r="K36" s="10">
        <v>0</v>
      </c>
      <c r="L36" s="10">
        <v>0</v>
      </c>
      <c r="M36" s="14">
        <v>1</v>
      </c>
      <c r="N36" s="5">
        <v>11.3</v>
      </c>
      <c r="O36" s="5">
        <f>(N36-5)*12</f>
        <v>75.600000000000009</v>
      </c>
      <c r="P36" s="5">
        <v>3244</v>
      </c>
      <c r="Q36" s="5">
        <v>425</v>
      </c>
      <c r="R36" s="5">
        <v>330</v>
      </c>
      <c r="S36" s="5"/>
      <c r="T36" s="5">
        <v>1085.9000000000001</v>
      </c>
      <c r="U36" s="5">
        <v>0.74166699999999997</v>
      </c>
      <c r="V36" s="5"/>
      <c r="W36" s="5"/>
      <c r="X36" s="5"/>
      <c r="Y36" s="5"/>
      <c r="Z36" s="5"/>
      <c r="AA36" s="5"/>
      <c r="AB36" s="5"/>
      <c r="AC36" s="5"/>
      <c r="AD36" s="5"/>
      <c r="AE36" s="5"/>
      <c r="AF36" s="5"/>
      <c r="AG36" s="5"/>
      <c r="AH36" s="5"/>
      <c r="AI36" s="5"/>
      <c r="AJ36" s="5"/>
      <c r="AK36" s="5"/>
      <c r="AL36" s="5"/>
      <c r="AM36" s="5"/>
      <c r="AN36" s="5"/>
      <c r="AO36" s="5"/>
      <c r="AP36" s="5"/>
      <c r="AQ36" s="5"/>
      <c r="AR36" s="5"/>
      <c r="AS36" s="5"/>
      <c r="AT36" s="10"/>
      <c r="AU36" s="5"/>
      <c r="AV36" s="5">
        <v>12500</v>
      </c>
      <c r="AW36" s="5">
        <f>(4.63*70+1.78*55)/125</f>
        <v>3.3759999999999999</v>
      </c>
      <c r="AX36" s="5"/>
      <c r="AY36" s="5">
        <f t="shared" si="4"/>
        <v>11.189347722437693</v>
      </c>
      <c r="AZ36" s="5"/>
      <c r="BA36" s="5"/>
      <c r="BB36" s="5"/>
      <c r="BC36" s="5"/>
      <c r="BD36" s="5"/>
      <c r="BE36" s="5"/>
      <c r="BF36" s="5"/>
      <c r="BG36" s="5"/>
      <c r="BH36" s="5"/>
      <c r="BI36" s="5"/>
      <c r="BJ36" s="5"/>
      <c r="BK36" s="5"/>
      <c r="BL36" s="5"/>
      <c r="BM36" s="5"/>
      <c r="BN36" s="5"/>
      <c r="BO36" s="5">
        <f>23.31*50%</f>
        <v>11.654999999999999</v>
      </c>
      <c r="BP36" s="5">
        <f>BT36/BO36</f>
        <v>1.5096525096525097</v>
      </c>
      <c r="BQ36" s="5">
        <f>9.51*50%</f>
        <v>4.7549999999999999</v>
      </c>
      <c r="BR36" s="5">
        <f>15.67*50%</f>
        <v>7.835</v>
      </c>
      <c r="BS36" s="5">
        <f>(7.56+2.45)*50%</f>
        <v>5.0049999999999999</v>
      </c>
      <c r="BT36" s="5">
        <f>SUM(BQ36:BS36)</f>
        <v>17.594999999999999</v>
      </c>
      <c r="BU36" s="5">
        <f>BT36+BO36</f>
        <v>29.25</v>
      </c>
      <c r="BV36" s="5"/>
      <c r="BW36" s="5"/>
      <c r="BX36" s="5"/>
      <c r="BY36" s="5"/>
      <c r="BZ36" s="10"/>
      <c r="CA36" s="5"/>
      <c r="CB36" s="5"/>
      <c r="CC36" s="5"/>
      <c r="CD36" s="5"/>
      <c r="CE36" s="5"/>
      <c r="CF36" s="5"/>
      <c r="CG36" s="5"/>
      <c r="CH36" s="5"/>
      <c r="CI36" s="5"/>
      <c r="CJ36" s="5"/>
      <c r="CK36" s="5"/>
      <c r="CL36" s="10"/>
      <c r="CM36" s="10" t="s">
        <v>204</v>
      </c>
      <c r="CN36" s="10" t="s">
        <v>3</v>
      </c>
      <c r="CO36" s="11" t="s">
        <v>203</v>
      </c>
      <c r="CP36" s="12" t="s">
        <v>37</v>
      </c>
    </row>
    <row r="37" spans="1:94" s="2" customFormat="1" x14ac:dyDescent="0.25">
      <c r="A37" s="10" t="s">
        <v>99</v>
      </c>
      <c r="B37" s="10" t="s">
        <v>195</v>
      </c>
      <c r="C37" s="5" t="s">
        <v>142</v>
      </c>
      <c r="D37" s="10" t="s">
        <v>202</v>
      </c>
      <c r="E37" s="10" t="s">
        <v>201</v>
      </c>
      <c r="F37" s="10">
        <v>2002</v>
      </c>
      <c r="G37" s="10">
        <v>2005</v>
      </c>
      <c r="H37" s="10">
        <v>1</v>
      </c>
      <c r="I37" s="10">
        <v>0</v>
      </c>
      <c r="J37" s="10">
        <v>1</v>
      </c>
      <c r="K37" s="10">
        <v>0</v>
      </c>
      <c r="L37" s="10">
        <v>0</v>
      </c>
      <c r="M37" s="10">
        <v>0</v>
      </c>
      <c r="N37" s="5">
        <v>16.177083333333332</v>
      </c>
      <c r="O37" s="5">
        <v>135.35</v>
      </c>
      <c r="P37" s="5">
        <v>1759.125</v>
      </c>
      <c r="Q37" s="5">
        <v>56.75</v>
      </c>
      <c r="R37" s="5">
        <v>70</v>
      </c>
      <c r="S37" s="5">
        <v>64.9375</v>
      </c>
      <c r="T37" s="5">
        <v>2042.8500000000001</v>
      </c>
      <c r="U37" s="5">
        <v>2.5979166666666664</v>
      </c>
      <c r="V37" s="5"/>
      <c r="W37" s="5"/>
      <c r="X37" s="5"/>
      <c r="Y37" s="5"/>
      <c r="Z37" s="5"/>
      <c r="AA37" s="5"/>
      <c r="AB37" s="5"/>
      <c r="AC37" s="5"/>
      <c r="AD37" s="5"/>
      <c r="AE37" s="5"/>
      <c r="AF37" s="5"/>
      <c r="AG37" s="5"/>
      <c r="AH37" s="5"/>
      <c r="AI37" s="5"/>
      <c r="AJ37" s="5"/>
      <c r="AK37" s="5"/>
      <c r="AL37" s="5"/>
      <c r="AM37" s="5"/>
      <c r="AN37" s="5"/>
      <c r="AO37" s="5"/>
      <c r="AP37" s="5"/>
      <c r="AQ37" s="5"/>
      <c r="AR37" s="5"/>
      <c r="AS37" s="5"/>
      <c r="AT37" s="10"/>
      <c r="AU37" s="5"/>
      <c r="AV37" s="5">
        <v>3240</v>
      </c>
      <c r="AW37" s="5">
        <v>8.1999999999999993</v>
      </c>
      <c r="AX37" s="5"/>
      <c r="AY37" s="5">
        <f t="shared" si="4"/>
        <v>17.110495892217592</v>
      </c>
      <c r="AZ37" s="5"/>
      <c r="BA37" s="5"/>
      <c r="BB37" s="5"/>
      <c r="BC37" s="5">
        <v>45.2</v>
      </c>
      <c r="BD37" s="5">
        <v>48.2</v>
      </c>
      <c r="BE37" s="5">
        <v>48.9</v>
      </c>
      <c r="BF37" s="5">
        <v>44.8</v>
      </c>
      <c r="BG37" s="5"/>
      <c r="BH37" s="5">
        <v>45.6</v>
      </c>
      <c r="BI37" s="5"/>
      <c r="BJ37" s="5"/>
      <c r="BK37" s="5"/>
      <c r="BL37" s="5"/>
      <c r="BM37" s="5">
        <v>4.5999999999999996</v>
      </c>
      <c r="BN37" s="5">
        <v>18</v>
      </c>
      <c r="BO37" s="5">
        <f>SUM(BL37:BN37)</f>
        <v>22.6</v>
      </c>
      <c r="BP37" s="5">
        <f>BT37/BO37</f>
        <v>1.5088495575221239</v>
      </c>
      <c r="BQ37" s="5">
        <v>11.8</v>
      </c>
      <c r="BR37" s="5">
        <v>14</v>
      </c>
      <c r="BS37" s="5">
        <v>8.3000000000000007</v>
      </c>
      <c r="BT37" s="5">
        <f>SUM(BQ37:BS37)</f>
        <v>34.1</v>
      </c>
      <c r="BU37" s="5">
        <f>BT37+BO37</f>
        <v>56.7</v>
      </c>
      <c r="BV37" s="5"/>
      <c r="BW37" s="5">
        <v>84.3</v>
      </c>
      <c r="BX37" s="5"/>
      <c r="BY37" s="5">
        <f>BU37+BW37</f>
        <v>141</v>
      </c>
      <c r="BZ37" s="5"/>
      <c r="CA37" s="5"/>
      <c r="CB37" s="5"/>
      <c r="CC37" s="5">
        <v>2.8</v>
      </c>
      <c r="CD37" s="5"/>
      <c r="CE37" s="5"/>
      <c r="CF37" s="5"/>
      <c r="CG37" s="5"/>
      <c r="CH37" s="5"/>
      <c r="CI37" s="5"/>
      <c r="CJ37" s="5"/>
      <c r="CK37" s="5"/>
      <c r="CL37" s="5"/>
      <c r="CM37" s="10" t="s">
        <v>192</v>
      </c>
      <c r="CN37" s="10" t="s">
        <v>3</v>
      </c>
      <c r="CO37" s="11" t="s">
        <v>191</v>
      </c>
      <c r="CP37" s="12" t="s">
        <v>1</v>
      </c>
    </row>
    <row r="38" spans="1:94" s="2" customFormat="1" x14ac:dyDescent="0.25">
      <c r="A38" s="10" t="s">
        <v>99</v>
      </c>
      <c r="B38" s="10" t="s">
        <v>200</v>
      </c>
      <c r="C38" s="5" t="s">
        <v>142</v>
      </c>
      <c r="D38" s="10" t="s">
        <v>199</v>
      </c>
      <c r="E38" s="10" t="s">
        <v>198</v>
      </c>
      <c r="F38" s="10">
        <v>2002</v>
      </c>
      <c r="G38" s="10">
        <v>2005</v>
      </c>
      <c r="H38" s="10">
        <v>0</v>
      </c>
      <c r="I38" s="10">
        <v>0</v>
      </c>
      <c r="J38" s="10">
        <v>0</v>
      </c>
      <c r="K38" s="10">
        <v>0</v>
      </c>
      <c r="L38" s="10">
        <v>0</v>
      </c>
      <c r="M38" s="10">
        <v>0</v>
      </c>
      <c r="N38" s="5">
        <v>16.177083333333332</v>
      </c>
      <c r="O38" s="5">
        <v>135.35</v>
      </c>
      <c r="P38" s="5">
        <v>1759.125</v>
      </c>
      <c r="Q38" s="5">
        <v>56.75</v>
      </c>
      <c r="R38" s="5">
        <v>70</v>
      </c>
      <c r="S38" s="5">
        <v>64.9375</v>
      </c>
      <c r="T38" s="5">
        <v>2042.8500000000001</v>
      </c>
      <c r="U38" s="5">
        <v>2.5979166666666664</v>
      </c>
      <c r="V38" s="5"/>
      <c r="W38" s="5"/>
      <c r="X38" s="5"/>
      <c r="Y38" s="5"/>
      <c r="Z38" s="5"/>
      <c r="AA38" s="5"/>
      <c r="AB38" s="5"/>
      <c r="AC38" s="5"/>
      <c r="AD38" s="5"/>
      <c r="AE38" s="5"/>
      <c r="AF38" s="5"/>
      <c r="AG38" s="5"/>
      <c r="AH38" s="5"/>
      <c r="AI38" s="5"/>
      <c r="AJ38" s="5"/>
      <c r="AK38" s="5"/>
      <c r="AL38" s="5"/>
      <c r="AM38" s="5"/>
      <c r="AN38" s="5"/>
      <c r="AO38" s="5"/>
      <c r="AP38" s="5"/>
      <c r="AQ38" s="5"/>
      <c r="AR38" s="5"/>
      <c r="AS38" s="5"/>
      <c r="AT38" s="10"/>
      <c r="AU38" s="5"/>
      <c r="AV38" s="5">
        <v>8200</v>
      </c>
      <c r="AW38" s="5">
        <v>7.5</v>
      </c>
      <c r="AX38" s="5"/>
      <c r="AY38" s="5">
        <f t="shared" si="4"/>
        <v>36.226490286707303</v>
      </c>
      <c r="AZ38" s="5"/>
      <c r="BA38" s="5"/>
      <c r="BB38" s="5"/>
      <c r="BC38" s="5">
        <v>45.2</v>
      </c>
      <c r="BD38" s="5">
        <v>48.2</v>
      </c>
      <c r="BE38" s="5">
        <v>48.9</v>
      </c>
      <c r="BF38" s="5">
        <v>44.8</v>
      </c>
      <c r="BG38" s="5"/>
      <c r="BH38" s="5">
        <v>45.6</v>
      </c>
      <c r="BI38" s="5"/>
      <c r="BJ38" s="5"/>
      <c r="BK38" s="5"/>
      <c r="BL38" s="5"/>
      <c r="BM38" s="5">
        <v>8.1</v>
      </c>
      <c r="BN38" s="5">
        <v>31.6</v>
      </c>
      <c r="BO38" s="5">
        <f>SUM(BL38:BN38)</f>
        <v>39.700000000000003</v>
      </c>
      <c r="BP38" s="5">
        <f>BT38/BO38</f>
        <v>1.1435768261964734</v>
      </c>
      <c r="BQ38" s="5">
        <v>19.8</v>
      </c>
      <c r="BR38" s="5">
        <v>13</v>
      </c>
      <c r="BS38" s="5">
        <v>12.6</v>
      </c>
      <c r="BT38" s="5">
        <f>SUM(BQ38:BS38)</f>
        <v>45.4</v>
      </c>
      <c r="BU38" s="5">
        <f>BT38+BO38</f>
        <v>85.1</v>
      </c>
      <c r="BV38" s="5"/>
      <c r="BW38" s="5">
        <v>61.3</v>
      </c>
      <c r="BX38" s="5"/>
      <c r="BY38" s="5">
        <f>BU38+BW38</f>
        <v>146.39999999999998</v>
      </c>
      <c r="BZ38" s="5"/>
      <c r="CA38" s="5"/>
      <c r="CB38" s="5"/>
      <c r="CC38" s="5">
        <v>4.7</v>
      </c>
      <c r="CD38" s="5"/>
      <c r="CE38" s="5"/>
      <c r="CF38" s="5"/>
      <c r="CG38" s="5"/>
      <c r="CH38" s="5"/>
      <c r="CI38" s="5"/>
      <c r="CJ38" s="5"/>
      <c r="CK38" s="5"/>
      <c r="CL38" s="5"/>
      <c r="CM38" s="10" t="s">
        <v>197</v>
      </c>
      <c r="CN38" s="10" t="s">
        <v>3</v>
      </c>
      <c r="CO38" s="11" t="s">
        <v>196</v>
      </c>
      <c r="CP38" s="12" t="s">
        <v>37</v>
      </c>
    </row>
    <row r="39" spans="1:94" s="2" customFormat="1" x14ac:dyDescent="0.25">
      <c r="A39" s="10" t="s">
        <v>99</v>
      </c>
      <c r="B39" s="10" t="s">
        <v>195</v>
      </c>
      <c r="C39" s="5" t="s">
        <v>142</v>
      </c>
      <c r="D39" s="10" t="s">
        <v>194</v>
      </c>
      <c r="E39" s="10" t="s">
        <v>193</v>
      </c>
      <c r="F39" s="10">
        <v>2002</v>
      </c>
      <c r="G39" s="10">
        <v>2005</v>
      </c>
      <c r="H39" s="10">
        <v>0</v>
      </c>
      <c r="I39" s="10">
        <v>0</v>
      </c>
      <c r="J39" s="10">
        <v>0</v>
      </c>
      <c r="K39" s="10">
        <v>0</v>
      </c>
      <c r="L39" s="10">
        <v>0</v>
      </c>
      <c r="M39" s="10">
        <v>1</v>
      </c>
      <c r="N39" s="5">
        <v>13.062499999999995</v>
      </c>
      <c r="O39" s="5">
        <v>105.32499999999999</v>
      </c>
      <c r="P39" s="5">
        <v>3462.5</v>
      </c>
      <c r="Q39" s="5">
        <v>437.75</v>
      </c>
      <c r="R39" s="5">
        <v>330</v>
      </c>
      <c r="S39" s="5"/>
      <c r="T39" s="5">
        <v>1223.2</v>
      </c>
      <c r="U39" s="5">
        <v>0.89166666666666672</v>
      </c>
      <c r="V39" s="5"/>
      <c r="W39" s="5"/>
      <c r="X39" s="5"/>
      <c r="Y39" s="5"/>
      <c r="Z39" s="5"/>
      <c r="AA39" s="5"/>
      <c r="AB39" s="5"/>
      <c r="AC39" s="5"/>
      <c r="AD39" s="5"/>
      <c r="AE39" s="5"/>
      <c r="AF39" s="5"/>
      <c r="AG39" s="5"/>
      <c r="AH39" s="5"/>
      <c r="AI39" s="5"/>
      <c r="AJ39" s="5"/>
      <c r="AK39" s="5"/>
      <c r="AL39" s="5"/>
      <c r="AM39" s="5"/>
      <c r="AN39" s="5"/>
      <c r="AO39" s="5"/>
      <c r="AP39" s="5"/>
      <c r="AQ39" s="5"/>
      <c r="AR39" s="5"/>
      <c r="AS39" s="5"/>
      <c r="AT39" s="10"/>
      <c r="AU39" s="5"/>
      <c r="AV39" s="5">
        <v>8125</v>
      </c>
      <c r="AW39" s="5">
        <v>5.0999999999999996</v>
      </c>
      <c r="AX39" s="5"/>
      <c r="AY39" s="5">
        <f t="shared" si="4"/>
        <v>16.597917561848696</v>
      </c>
      <c r="AZ39" s="5"/>
      <c r="BA39" s="5"/>
      <c r="BB39" s="5"/>
      <c r="BC39" s="5">
        <v>45.2</v>
      </c>
      <c r="BD39" s="5">
        <v>48.2</v>
      </c>
      <c r="BE39" s="5">
        <v>48.9</v>
      </c>
      <c r="BF39" s="5">
        <v>44.8</v>
      </c>
      <c r="BG39" s="5"/>
      <c r="BH39" s="5">
        <v>45.6</v>
      </c>
      <c r="BI39" s="5"/>
      <c r="BJ39" s="5"/>
      <c r="BK39" s="5"/>
      <c r="BL39" s="5"/>
      <c r="BM39" s="5">
        <v>3.3</v>
      </c>
      <c r="BN39" s="5">
        <v>17.2</v>
      </c>
      <c r="BO39" s="5">
        <f>SUM(BL39:BN39)</f>
        <v>20.5</v>
      </c>
      <c r="BP39" s="5">
        <f>BT39/BO39</f>
        <v>2.1804878048780485</v>
      </c>
      <c r="BQ39" s="5">
        <v>23.9</v>
      </c>
      <c r="BR39" s="5">
        <v>15.7</v>
      </c>
      <c r="BS39" s="5">
        <v>5.0999999999999996</v>
      </c>
      <c r="BT39" s="5">
        <f>SUM(BQ39:BS39)</f>
        <v>44.699999999999996</v>
      </c>
      <c r="BU39" s="5">
        <f>BT39+BO39</f>
        <v>65.199999999999989</v>
      </c>
      <c r="BV39" s="5"/>
      <c r="BW39" s="5">
        <v>113.8</v>
      </c>
      <c r="BX39" s="5"/>
      <c r="BY39" s="5">
        <f>BU39+BW39</f>
        <v>179</v>
      </c>
      <c r="BZ39" s="5"/>
      <c r="CA39" s="5"/>
      <c r="CB39" s="5"/>
      <c r="CC39" s="5">
        <v>10.5</v>
      </c>
      <c r="CD39" s="5"/>
      <c r="CE39" s="5"/>
      <c r="CF39" s="5"/>
      <c r="CG39" s="5"/>
      <c r="CH39" s="5"/>
      <c r="CI39" s="5"/>
      <c r="CJ39" s="5"/>
      <c r="CK39" s="5"/>
      <c r="CL39" s="5"/>
      <c r="CM39" s="10" t="s">
        <v>192</v>
      </c>
      <c r="CN39" s="10" t="s">
        <v>3</v>
      </c>
      <c r="CO39" s="11" t="s">
        <v>191</v>
      </c>
      <c r="CP39" s="12" t="s">
        <v>37</v>
      </c>
    </row>
    <row r="40" spans="1:94" s="2" customFormat="1" x14ac:dyDescent="0.25">
      <c r="A40" s="10" t="s">
        <v>93</v>
      </c>
      <c r="B40" s="10" t="s">
        <v>190</v>
      </c>
      <c r="C40" s="5" t="s">
        <v>157</v>
      </c>
      <c r="D40" s="10" t="s">
        <v>189</v>
      </c>
      <c r="E40" s="10" t="s">
        <v>188</v>
      </c>
      <c r="F40" s="10">
        <v>2006</v>
      </c>
      <c r="G40" s="10">
        <v>2016</v>
      </c>
      <c r="H40" s="10">
        <v>0</v>
      </c>
      <c r="I40" s="10">
        <v>0</v>
      </c>
      <c r="J40" s="10">
        <v>0</v>
      </c>
      <c r="K40" s="10">
        <v>0</v>
      </c>
      <c r="L40" s="10">
        <v>0</v>
      </c>
      <c r="M40" s="10">
        <v>0</v>
      </c>
      <c r="N40" s="5">
        <v>17.5</v>
      </c>
      <c r="O40" s="5">
        <f>(N40-5)*12</f>
        <v>150</v>
      </c>
      <c r="P40" s="5">
        <v>2719</v>
      </c>
      <c r="Q40" s="5">
        <v>1.1000000000000001</v>
      </c>
      <c r="R40" s="5">
        <v>60</v>
      </c>
      <c r="S40" s="5">
        <v>69.340909999999994</v>
      </c>
      <c r="T40" s="5">
        <v>2353.88</v>
      </c>
      <c r="U40" s="5">
        <v>1.72197</v>
      </c>
      <c r="V40" s="5"/>
      <c r="W40" s="5"/>
      <c r="X40" s="5"/>
      <c r="Y40" s="5"/>
      <c r="Z40" s="5"/>
      <c r="AA40" s="5"/>
      <c r="AB40" s="5"/>
      <c r="AC40" s="5"/>
      <c r="AD40" s="5"/>
      <c r="AE40" s="5"/>
      <c r="AF40" s="5"/>
      <c r="AG40" s="5"/>
      <c r="AH40" s="5"/>
      <c r="AI40" s="5"/>
      <c r="AJ40" s="5"/>
      <c r="AK40" s="5"/>
      <c r="AL40" s="5"/>
      <c r="AM40" s="5"/>
      <c r="AN40" s="5"/>
      <c r="AO40" s="5"/>
      <c r="AP40" s="5"/>
      <c r="AQ40" s="5"/>
      <c r="AR40" s="5"/>
      <c r="AS40" s="5"/>
      <c r="AT40" s="10"/>
      <c r="AU40" s="5"/>
      <c r="AV40" s="5">
        <f>(9870+7307)/2</f>
        <v>8588.5</v>
      </c>
      <c r="AW40" s="5">
        <f>(11+13)/2</f>
        <v>12</v>
      </c>
      <c r="AX40" s="5"/>
      <c r="AY40" s="5">
        <f t="shared" si="4"/>
        <v>97.133646619281379</v>
      </c>
      <c r="AZ40" s="5"/>
      <c r="BA40" s="5">
        <v>6.9</v>
      </c>
      <c r="BB40" s="5"/>
      <c r="BC40" s="5"/>
      <c r="BD40" s="5"/>
      <c r="BE40" s="5"/>
      <c r="BF40" s="5"/>
      <c r="BG40" s="5"/>
      <c r="BH40" s="5"/>
      <c r="BI40" s="5"/>
      <c r="BJ40" s="5"/>
      <c r="BK40" s="5"/>
      <c r="BL40" s="5"/>
      <c r="BM40" s="5"/>
      <c r="BN40" s="5"/>
      <c r="BO40" s="5">
        <f>(170+200)/2*50%</f>
        <v>92.5</v>
      </c>
      <c r="BP40" s="5"/>
      <c r="BQ40" s="5"/>
      <c r="BR40" s="5"/>
      <c r="BS40" s="5"/>
      <c r="BT40" s="5"/>
      <c r="BU40" s="5"/>
      <c r="BV40" s="5"/>
      <c r="BW40" s="5"/>
      <c r="BX40" s="5"/>
      <c r="BY40" s="5"/>
      <c r="BZ40" s="5"/>
      <c r="CA40" s="5"/>
      <c r="CB40" s="5"/>
      <c r="CC40" s="5">
        <f>4.2*50%</f>
        <v>2.1</v>
      </c>
      <c r="CD40" s="5"/>
      <c r="CE40" s="5"/>
      <c r="CF40" s="5"/>
      <c r="CG40" s="5"/>
      <c r="CH40" s="5"/>
      <c r="CI40" s="5"/>
      <c r="CJ40" s="5"/>
      <c r="CK40" s="5"/>
      <c r="CL40" s="5"/>
      <c r="CM40" s="10" t="s">
        <v>187</v>
      </c>
      <c r="CN40" s="10" t="s">
        <v>19</v>
      </c>
      <c r="CO40" s="11" t="s">
        <v>186</v>
      </c>
      <c r="CP40" s="12" t="s">
        <v>37</v>
      </c>
    </row>
    <row r="41" spans="1:94" s="2" customFormat="1" x14ac:dyDescent="0.25">
      <c r="A41" s="10" t="s">
        <v>99</v>
      </c>
      <c r="B41" s="10" t="s">
        <v>185</v>
      </c>
      <c r="C41" s="5" t="s">
        <v>116</v>
      </c>
      <c r="D41" s="10" t="s">
        <v>184</v>
      </c>
      <c r="E41" s="10" t="s">
        <v>183</v>
      </c>
      <c r="F41" s="10">
        <v>2008</v>
      </c>
      <c r="G41" s="10">
        <v>2008</v>
      </c>
      <c r="H41" s="10">
        <v>0</v>
      </c>
      <c r="I41" s="10">
        <v>0</v>
      </c>
      <c r="J41" s="10">
        <v>0</v>
      </c>
      <c r="K41" s="10">
        <v>0</v>
      </c>
      <c r="L41" s="10">
        <v>0</v>
      </c>
      <c r="M41" s="14">
        <v>0</v>
      </c>
      <c r="N41" s="5">
        <v>16.75</v>
      </c>
      <c r="O41" s="5">
        <v>141</v>
      </c>
      <c r="P41" s="5">
        <v>1086.5</v>
      </c>
      <c r="Q41" s="5">
        <v>0</v>
      </c>
      <c r="R41" s="5">
        <v>88</v>
      </c>
      <c r="S41" s="5">
        <v>65.416669999999996</v>
      </c>
      <c r="T41" s="5">
        <v>2016.9</v>
      </c>
      <c r="U41" s="5">
        <v>2.35</v>
      </c>
      <c r="V41" s="5"/>
      <c r="W41" s="5"/>
      <c r="X41" s="5"/>
      <c r="Y41" s="5"/>
      <c r="Z41" s="5"/>
      <c r="AA41" s="5"/>
      <c r="AB41" s="5"/>
      <c r="AC41" s="5"/>
      <c r="AD41" s="5"/>
      <c r="AE41" s="5"/>
      <c r="AF41" s="5"/>
      <c r="AG41" s="5"/>
      <c r="AH41" s="5"/>
      <c r="AI41" s="5"/>
      <c r="AJ41" s="5"/>
      <c r="AK41" s="5"/>
      <c r="AL41" s="5"/>
      <c r="AM41" s="5"/>
      <c r="AN41" s="5"/>
      <c r="AO41" s="5"/>
      <c r="AP41" s="5"/>
      <c r="AQ41" s="5"/>
      <c r="AR41" s="5"/>
      <c r="AS41" s="5"/>
      <c r="AT41" s="10"/>
      <c r="AU41" s="5"/>
      <c r="AV41" s="5"/>
      <c r="AW41" s="5"/>
      <c r="AX41" s="5"/>
      <c r="AY41" s="5"/>
      <c r="AZ41" s="5"/>
      <c r="BA41" s="5"/>
      <c r="BB41" s="5"/>
      <c r="BC41" s="5"/>
      <c r="BD41" s="5"/>
      <c r="BE41" s="5"/>
      <c r="BF41" s="5"/>
      <c r="BG41" s="5"/>
      <c r="BH41" s="5"/>
      <c r="BI41" s="5"/>
      <c r="BJ41" s="5"/>
      <c r="BK41" s="5"/>
      <c r="BL41" s="5"/>
      <c r="BM41" s="5"/>
      <c r="BN41" s="5"/>
      <c r="BO41" s="5">
        <f>84.2</f>
        <v>84.2</v>
      </c>
      <c r="BP41" s="5"/>
      <c r="BQ41" s="5"/>
      <c r="BR41" s="5"/>
      <c r="BS41" s="5"/>
      <c r="BT41" s="5"/>
      <c r="BU41" s="5"/>
      <c r="BV41" s="10"/>
      <c r="BW41" s="5"/>
      <c r="BX41" s="5"/>
      <c r="BY41" s="5"/>
      <c r="BZ41" s="5"/>
      <c r="CA41" s="5"/>
      <c r="CB41" s="5"/>
      <c r="CC41" s="5">
        <v>3.49</v>
      </c>
      <c r="CD41" s="5"/>
      <c r="CE41" s="5"/>
      <c r="CF41" s="5"/>
      <c r="CG41" s="5"/>
      <c r="CH41" s="5"/>
      <c r="CI41" s="5"/>
      <c r="CJ41" s="5"/>
      <c r="CK41" s="5"/>
      <c r="CL41" s="10"/>
      <c r="CM41" s="10" t="s">
        <v>182</v>
      </c>
      <c r="CN41" s="10" t="s">
        <v>3</v>
      </c>
      <c r="CO41" s="11" t="s">
        <v>181</v>
      </c>
      <c r="CP41" s="12" t="s">
        <v>37</v>
      </c>
    </row>
    <row r="42" spans="1:94" s="2" customFormat="1" x14ac:dyDescent="0.25">
      <c r="A42" s="10" t="s">
        <v>99</v>
      </c>
      <c r="B42" s="10" t="s">
        <v>180</v>
      </c>
      <c r="C42" s="5" t="s">
        <v>142</v>
      </c>
      <c r="D42" s="10" t="s">
        <v>179</v>
      </c>
      <c r="E42" s="10" t="s">
        <v>178</v>
      </c>
      <c r="F42" s="10">
        <v>2008</v>
      </c>
      <c r="G42" s="10">
        <v>2008</v>
      </c>
      <c r="H42" s="10">
        <v>0</v>
      </c>
      <c r="I42" s="10">
        <v>0</v>
      </c>
      <c r="J42" s="10">
        <v>0</v>
      </c>
      <c r="K42" s="10">
        <v>0</v>
      </c>
      <c r="L42" s="10">
        <v>0</v>
      </c>
      <c r="M42" s="14">
        <v>1</v>
      </c>
      <c r="N42" s="5">
        <v>16.75</v>
      </c>
      <c r="O42" s="5">
        <v>141</v>
      </c>
      <c r="P42" s="5">
        <v>1086.5</v>
      </c>
      <c r="Q42" s="5">
        <v>0</v>
      </c>
      <c r="R42" s="5">
        <v>88</v>
      </c>
      <c r="S42" s="5">
        <v>65.416669999999996</v>
      </c>
      <c r="T42" s="5">
        <v>2016.9</v>
      </c>
      <c r="U42" s="5">
        <v>2.35</v>
      </c>
      <c r="V42" s="5"/>
      <c r="W42" s="5"/>
      <c r="X42" s="5"/>
      <c r="Y42" s="5"/>
      <c r="Z42" s="5"/>
      <c r="AA42" s="5"/>
      <c r="AB42" s="5"/>
      <c r="AC42" s="5"/>
      <c r="AD42" s="5"/>
      <c r="AE42" s="5"/>
      <c r="AF42" s="5"/>
      <c r="AG42" s="5"/>
      <c r="AH42" s="5"/>
      <c r="AI42" s="5"/>
      <c r="AJ42" s="5"/>
      <c r="AK42" s="5"/>
      <c r="AL42" s="5"/>
      <c r="AM42" s="5"/>
      <c r="AN42" s="5"/>
      <c r="AO42" s="5"/>
      <c r="AP42" s="5"/>
      <c r="AQ42" s="5"/>
      <c r="AR42" s="5"/>
      <c r="AS42" s="5"/>
      <c r="AT42" s="10"/>
      <c r="AU42" s="5"/>
      <c r="AV42" s="5"/>
      <c r="AW42" s="5"/>
      <c r="AX42" s="5"/>
      <c r="AY42" s="5"/>
      <c r="AZ42" s="5"/>
      <c r="BA42" s="5"/>
      <c r="BB42" s="5"/>
      <c r="BC42" s="5"/>
      <c r="BD42" s="5"/>
      <c r="BE42" s="5"/>
      <c r="BF42" s="5"/>
      <c r="BG42" s="5"/>
      <c r="BH42" s="5"/>
      <c r="BI42" s="5"/>
      <c r="BJ42" s="5"/>
      <c r="BK42" s="5"/>
      <c r="BL42" s="5"/>
      <c r="BM42" s="5"/>
      <c r="BN42" s="5"/>
      <c r="BO42" s="5">
        <f>(103.2+116.7+92.3+61.1+88.2)/5</f>
        <v>92.3</v>
      </c>
      <c r="BP42" s="5"/>
      <c r="BQ42" s="5"/>
      <c r="BR42" s="5"/>
      <c r="BS42" s="5"/>
      <c r="BT42" s="5"/>
      <c r="BU42" s="5"/>
      <c r="BV42" s="10"/>
      <c r="BW42" s="5"/>
      <c r="BX42" s="5"/>
      <c r="BY42" s="5"/>
      <c r="BZ42" s="5"/>
      <c r="CA42" s="5"/>
      <c r="CB42" s="5"/>
      <c r="CC42" s="5">
        <f>(4.14+4.65+4.2+4.02+2.87)/5</f>
        <v>3.976</v>
      </c>
      <c r="CD42" s="5"/>
      <c r="CE42" s="5"/>
      <c r="CF42" s="5"/>
      <c r="CG42" s="5"/>
      <c r="CH42" s="5"/>
      <c r="CI42" s="5"/>
      <c r="CJ42" s="5"/>
      <c r="CK42" s="5"/>
      <c r="CL42" s="10"/>
      <c r="CM42" s="10" t="s">
        <v>177</v>
      </c>
      <c r="CN42" s="10" t="s">
        <v>3</v>
      </c>
      <c r="CO42" s="11" t="s">
        <v>176</v>
      </c>
      <c r="CP42" s="12" t="s">
        <v>37</v>
      </c>
    </row>
    <row r="43" spans="1:94" s="2" customFormat="1" x14ac:dyDescent="0.25">
      <c r="A43" s="10" t="s">
        <v>99</v>
      </c>
      <c r="B43" s="10" t="s">
        <v>175</v>
      </c>
      <c r="C43" s="5" t="s">
        <v>163</v>
      </c>
      <c r="D43" s="10" t="s">
        <v>174</v>
      </c>
      <c r="E43" s="10" t="s">
        <v>173</v>
      </c>
      <c r="F43" s="10">
        <v>2009</v>
      </c>
      <c r="G43" s="10">
        <v>2009</v>
      </c>
      <c r="H43" s="10">
        <v>0</v>
      </c>
      <c r="I43" s="10">
        <v>0</v>
      </c>
      <c r="J43" s="10">
        <v>0</v>
      </c>
      <c r="K43" s="10">
        <v>0</v>
      </c>
      <c r="L43" s="10">
        <v>0</v>
      </c>
      <c r="M43" s="10">
        <v>0</v>
      </c>
      <c r="N43" s="5">
        <v>16.258333333333336</v>
      </c>
      <c r="O43" s="5">
        <f>(N43-5)*12</f>
        <v>135.10000000000002</v>
      </c>
      <c r="P43" s="5">
        <v>1831.5</v>
      </c>
      <c r="Q43" s="5">
        <v>5</v>
      </c>
      <c r="R43" s="5">
        <f>(320+80)/2</f>
        <v>200</v>
      </c>
      <c r="S43" s="5">
        <v>75.833333333333329</v>
      </c>
      <c r="T43" s="5">
        <v>1872.5</v>
      </c>
      <c r="U43" s="5">
        <v>1.4333333333333333</v>
      </c>
      <c r="V43" s="5"/>
      <c r="W43" s="5"/>
      <c r="X43" s="5"/>
      <c r="Y43" s="5"/>
      <c r="Z43" s="5"/>
      <c r="AA43" s="5"/>
      <c r="AB43" s="5"/>
      <c r="AC43" s="5"/>
      <c r="AD43" s="5"/>
      <c r="AE43" s="5"/>
      <c r="AF43" s="5"/>
      <c r="AG43" s="5"/>
      <c r="AH43" s="5"/>
      <c r="AI43" s="5"/>
      <c r="AJ43" s="5"/>
      <c r="AK43" s="5"/>
      <c r="AL43" s="5"/>
      <c r="AM43" s="5"/>
      <c r="AN43" s="5"/>
      <c r="AO43" s="5"/>
      <c r="AP43" s="5"/>
      <c r="AQ43" s="5"/>
      <c r="AR43" s="5"/>
      <c r="AS43" s="5"/>
      <c r="AT43" s="10"/>
      <c r="AU43" s="5"/>
      <c r="AV43" s="5">
        <f>(6130+5000)/2</f>
        <v>5565</v>
      </c>
      <c r="AW43" s="5">
        <f>(12.9+13.9)/2</f>
        <v>13.4</v>
      </c>
      <c r="AX43" s="5">
        <f>(17.9+18.1)/2</f>
        <v>18</v>
      </c>
      <c r="AY43" s="5">
        <f>(83+76.8)/2</f>
        <v>79.900000000000006</v>
      </c>
      <c r="AZ43" s="5"/>
      <c r="BA43" s="5"/>
      <c r="BB43" s="5"/>
      <c r="BC43" s="5"/>
      <c r="BD43" s="5"/>
      <c r="BE43" s="5"/>
      <c r="BF43" s="5"/>
      <c r="BG43" s="5"/>
      <c r="BH43" s="5"/>
      <c r="BI43" s="5"/>
      <c r="BJ43" s="5"/>
      <c r="BK43" s="5"/>
      <c r="BL43" s="5"/>
      <c r="BM43" s="5">
        <f>(17.01+18.71)/2*0.5</f>
        <v>8.93</v>
      </c>
      <c r="BN43" s="5">
        <f>(129.63+101.28)/2*0.5</f>
        <v>57.727499999999999</v>
      </c>
      <c r="BO43" s="5">
        <f>SUM(BL43:BN43)</f>
        <v>66.657499999999999</v>
      </c>
      <c r="BP43" s="5"/>
      <c r="BQ43" s="5"/>
      <c r="BR43" s="5"/>
      <c r="BS43" s="5"/>
      <c r="BT43" s="5"/>
      <c r="BU43" s="5"/>
      <c r="BV43" s="5"/>
      <c r="BW43" s="5"/>
      <c r="BX43" s="5"/>
      <c r="BY43" s="5"/>
      <c r="BZ43" s="5"/>
      <c r="CA43" s="5">
        <f>(1.22+2.73)/2*0.5</f>
        <v>0.98750000000000004</v>
      </c>
      <c r="CB43" s="5">
        <f>(7.04+12.44)/2*0.5</f>
        <v>4.87</v>
      </c>
      <c r="CC43" s="5"/>
      <c r="CD43" s="5">
        <f>SUM(BZ43:CC43)</f>
        <v>5.8574999999999999</v>
      </c>
      <c r="CE43" s="5"/>
      <c r="CF43" s="5"/>
      <c r="CG43" s="5"/>
      <c r="CH43" s="5"/>
      <c r="CI43" s="5"/>
      <c r="CJ43" s="5"/>
      <c r="CK43" s="5"/>
      <c r="CL43" s="5"/>
      <c r="CM43" s="10" t="s">
        <v>166</v>
      </c>
      <c r="CN43" s="10" t="s">
        <v>19</v>
      </c>
      <c r="CO43" s="11" t="s">
        <v>165</v>
      </c>
      <c r="CP43" s="12" t="s">
        <v>1</v>
      </c>
    </row>
    <row r="44" spans="1:94" s="2" customFormat="1" x14ac:dyDescent="0.25">
      <c r="A44" s="10" t="s">
        <v>99</v>
      </c>
      <c r="B44" s="10" t="s">
        <v>169</v>
      </c>
      <c r="C44" s="5" t="s">
        <v>163</v>
      </c>
      <c r="D44" s="10" t="s">
        <v>172</v>
      </c>
      <c r="E44" s="10" t="s">
        <v>171</v>
      </c>
      <c r="F44" s="10">
        <v>2009</v>
      </c>
      <c r="G44" s="10">
        <v>2009</v>
      </c>
      <c r="H44" s="10">
        <v>0</v>
      </c>
      <c r="I44" s="10">
        <v>0</v>
      </c>
      <c r="J44" s="10">
        <v>0</v>
      </c>
      <c r="K44" s="10">
        <v>0</v>
      </c>
      <c r="L44" s="10">
        <v>0</v>
      </c>
      <c r="M44" s="10">
        <v>0</v>
      </c>
      <c r="N44" s="5">
        <v>18.108333333333331</v>
      </c>
      <c r="O44" s="5">
        <f>(N44-5)*12</f>
        <v>157.29999999999995</v>
      </c>
      <c r="P44" s="5">
        <v>1818.5</v>
      </c>
      <c r="Q44" s="5">
        <v>5</v>
      </c>
      <c r="R44" s="5">
        <v>130</v>
      </c>
      <c r="S44" s="5">
        <v>75.833333333333329</v>
      </c>
      <c r="T44" s="5">
        <v>1781.2</v>
      </c>
      <c r="U44" s="5">
        <v>1.9750000000000003</v>
      </c>
      <c r="V44" s="5"/>
      <c r="W44" s="5"/>
      <c r="X44" s="5"/>
      <c r="Y44" s="5"/>
      <c r="Z44" s="5"/>
      <c r="AA44" s="5"/>
      <c r="AB44" s="5"/>
      <c r="AC44" s="5"/>
      <c r="AD44" s="5"/>
      <c r="AE44" s="5"/>
      <c r="AF44" s="5"/>
      <c r="AG44" s="5"/>
      <c r="AH44" s="5"/>
      <c r="AI44" s="5"/>
      <c r="AJ44" s="5"/>
      <c r="AK44" s="5"/>
      <c r="AL44" s="5"/>
      <c r="AM44" s="5"/>
      <c r="AN44" s="5"/>
      <c r="AO44" s="5"/>
      <c r="AP44" s="5"/>
      <c r="AQ44" s="5"/>
      <c r="AR44" s="5"/>
      <c r="AS44" s="5"/>
      <c r="AT44" s="10"/>
      <c r="AU44" s="5"/>
      <c r="AV44" s="5">
        <f>5230</f>
        <v>5230</v>
      </c>
      <c r="AW44" s="5">
        <v>10.4</v>
      </c>
      <c r="AX44" s="5">
        <v>13.5</v>
      </c>
      <c r="AY44" s="5">
        <v>45.7</v>
      </c>
      <c r="AZ44" s="5"/>
      <c r="BA44" s="5"/>
      <c r="BB44" s="5"/>
      <c r="BC44" s="5"/>
      <c r="BD44" s="5"/>
      <c r="BE44" s="5"/>
      <c r="BF44" s="5"/>
      <c r="BG44" s="5"/>
      <c r="BH44" s="5"/>
      <c r="BI44" s="5"/>
      <c r="BJ44" s="5"/>
      <c r="BK44" s="5"/>
      <c r="BL44" s="5"/>
      <c r="BM44" s="5">
        <f>12.29*0.5</f>
        <v>6.1449999999999996</v>
      </c>
      <c r="BN44" s="5">
        <f>70.53*0.5</f>
        <v>35.265000000000001</v>
      </c>
      <c r="BO44" s="5">
        <f>SUM(BL44:BN44)</f>
        <v>41.41</v>
      </c>
      <c r="BP44" s="5"/>
      <c r="BQ44" s="5"/>
      <c r="BR44" s="5"/>
      <c r="BS44" s="5"/>
      <c r="BT44" s="5"/>
      <c r="BU44" s="5"/>
      <c r="BV44" s="5"/>
      <c r="BW44" s="5"/>
      <c r="BX44" s="5"/>
      <c r="BY44" s="5"/>
      <c r="BZ44" s="5"/>
      <c r="CA44" s="5">
        <f>2.49*0.5</f>
        <v>1.2450000000000001</v>
      </c>
      <c r="CB44" s="5">
        <f>9.65*0.5</f>
        <v>4.8250000000000002</v>
      </c>
      <c r="CC44" s="5"/>
      <c r="CD44" s="5">
        <f>SUM(BZ44:CC44)</f>
        <v>6.07</v>
      </c>
      <c r="CE44" s="5"/>
      <c r="CF44" s="5"/>
      <c r="CG44" s="5"/>
      <c r="CH44" s="5"/>
      <c r="CI44" s="5"/>
      <c r="CJ44" s="5"/>
      <c r="CK44" s="5"/>
      <c r="CL44" s="5"/>
      <c r="CM44" s="10" t="s">
        <v>170</v>
      </c>
      <c r="CN44" s="10" t="s">
        <v>19</v>
      </c>
      <c r="CO44" s="11" t="s">
        <v>165</v>
      </c>
      <c r="CP44" s="12" t="s">
        <v>37</v>
      </c>
    </row>
    <row r="45" spans="1:94" s="2" customFormat="1" x14ac:dyDescent="0.25">
      <c r="A45" s="10" t="s">
        <v>99</v>
      </c>
      <c r="B45" s="10" t="s">
        <v>169</v>
      </c>
      <c r="C45" s="5" t="s">
        <v>157</v>
      </c>
      <c r="D45" s="10" t="s">
        <v>168</v>
      </c>
      <c r="E45" s="10" t="s">
        <v>167</v>
      </c>
      <c r="F45" s="10">
        <v>2009</v>
      </c>
      <c r="G45" s="10">
        <v>2009</v>
      </c>
      <c r="H45" s="10">
        <v>0</v>
      </c>
      <c r="I45" s="10">
        <v>0</v>
      </c>
      <c r="J45" s="10">
        <v>0</v>
      </c>
      <c r="K45" s="10">
        <v>0</v>
      </c>
      <c r="L45" s="10">
        <v>0</v>
      </c>
      <c r="M45" s="10">
        <v>0</v>
      </c>
      <c r="N45" s="5">
        <v>17.633333333333333</v>
      </c>
      <c r="O45" s="5">
        <f>(N45-5)*12</f>
        <v>151.6</v>
      </c>
      <c r="P45" s="5">
        <v>2057.3000000000002</v>
      </c>
      <c r="Q45" s="5">
        <v>5</v>
      </c>
      <c r="R45" s="5">
        <f>(125+125+125)/3</f>
        <v>125</v>
      </c>
      <c r="S45" s="5">
        <v>75.833333333333329</v>
      </c>
      <c r="T45" s="5">
        <v>1974.0000000000002</v>
      </c>
      <c r="U45" s="5">
        <v>3.2250000000000001</v>
      </c>
      <c r="V45" s="5"/>
      <c r="W45" s="5"/>
      <c r="X45" s="5"/>
      <c r="Y45" s="5"/>
      <c r="Z45" s="5"/>
      <c r="AA45" s="5"/>
      <c r="AB45" s="5"/>
      <c r="AC45" s="5"/>
      <c r="AD45" s="5"/>
      <c r="AE45" s="5"/>
      <c r="AF45" s="5"/>
      <c r="AG45" s="5"/>
      <c r="AH45" s="5"/>
      <c r="AI45" s="5"/>
      <c r="AJ45" s="5"/>
      <c r="AK45" s="5"/>
      <c r="AL45" s="5"/>
      <c r="AM45" s="5"/>
      <c r="AN45" s="5"/>
      <c r="AO45" s="5"/>
      <c r="AP45" s="5"/>
      <c r="AQ45" s="5"/>
      <c r="AR45" s="5"/>
      <c r="AS45" s="5"/>
      <c r="AT45" s="10"/>
      <c r="AU45" s="5"/>
      <c r="AV45" s="5">
        <f>(5550+5200+5130)/3</f>
        <v>5293.333333333333</v>
      </c>
      <c r="AW45" s="5">
        <f>(12.5+12.8+11.7)/3</f>
        <v>12.333333333333334</v>
      </c>
      <c r="AX45" s="5">
        <f>(17+17.5+16.3)/3</f>
        <v>16.933333333333334</v>
      </c>
      <c r="AY45" s="5">
        <f>(69.5+67.4+59.1)/3</f>
        <v>65.333333333333329</v>
      </c>
      <c r="AZ45" s="5"/>
      <c r="BA45" s="5"/>
      <c r="BB45" s="5"/>
      <c r="BC45" s="5"/>
      <c r="BD45" s="5"/>
      <c r="BE45" s="5"/>
      <c r="BF45" s="5"/>
      <c r="BG45" s="5"/>
      <c r="BH45" s="5"/>
      <c r="BI45" s="5"/>
      <c r="BJ45" s="5"/>
      <c r="BK45" s="5"/>
      <c r="BL45" s="5"/>
      <c r="BM45" s="5">
        <f>(13.09+16.52+15.96)/3*0.5</f>
        <v>7.5949999999999998</v>
      </c>
      <c r="BN45" s="5">
        <f>(108.8+104.54+72.27)/3*0.5</f>
        <v>47.601666666666667</v>
      </c>
      <c r="BO45" s="5">
        <f>SUM(BL45:BN45)</f>
        <v>55.196666666666665</v>
      </c>
      <c r="BP45" s="5"/>
      <c r="BQ45" s="5"/>
      <c r="BR45" s="5"/>
      <c r="BS45" s="5"/>
      <c r="BT45" s="5"/>
      <c r="BU45" s="5"/>
      <c r="BV45" s="5"/>
      <c r="BW45" s="5"/>
      <c r="BX45" s="5"/>
      <c r="BY45" s="5"/>
      <c r="BZ45" s="5"/>
      <c r="CA45" s="5">
        <f>(0.39+0.07+0.22)/3*0.5</f>
        <v>0.11333333333333334</v>
      </c>
      <c r="CB45" s="5">
        <f>(1.67+0.22+0.71)/3*0.5</f>
        <v>0.43333333333333329</v>
      </c>
      <c r="CC45" s="5"/>
      <c r="CD45" s="5">
        <f>SUM(BZ45:CC45)</f>
        <v>0.54666666666666663</v>
      </c>
      <c r="CE45" s="5"/>
      <c r="CF45" s="5"/>
      <c r="CG45" s="5"/>
      <c r="CH45" s="5"/>
      <c r="CI45" s="5"/>
      <c r="CJ45" s="5"/>
      <c r="CK45" s="5"/>
      <c r="CL45" s="5"/>
      <c r="CM45" s="10" t="s">
        <v>166</v>
      </c>
      <c r="CN45" s="10" t="s">
        <v>3</v>
      </c>
      <c r="CO45" s="11" t="s">
        <v>165</v>
      </c>
      <c r="CP45" s="12" t="s">
        <v>1</v>
      </c>
    </row>
    <row r="46" spans="1:94" s="2" customFormat="1" x14ac:dyDescent="0.25">
      <c r="A46" s="10" t="s">
        <v>99</v>
      </c>
      <c r="B46" s="10" t="s">
        <v>164</v>
      </c>
      <c r="C46" s="5" t="s">
        <v>163</v>
      </c>
      <c r="D46" s="10" t="s">
        <v>162</v>
      </c>
      <c r="E46" s="10" t="s">
        <v>161</v>
      </c>
      <c r="F46" s="10">
        <v>2013</v>
      </c>
      <c r="G46" s="10">
        <v>2016</v>
      </c>
      <c r="H46" s="10">
        <v>1</v>
      </c>
      <c r="I46" s="10">
        <v>0</v>
      </c>
      <c r="J46" s="10">
        <v>0</v>
      </c>
      <c r="K46" s="10">
        <v>1</v>
      </c>
      <c r="L46" s="10">
        <v>0</v>
      </c>
      <c r="M46" s="10">
        <v>0</v>
      </c>
      <c r="N46" s="5">
        <v>15.9</v>
      </c>
      <c r="O46" s="5">
        <f>(N46-5)*12</f>
        <v>130.80000000000001</v>
      </c>
      <c r="P46" s="5">
        <v>1833</v>
      </c>
      <c r="Q46" s="5">
        <v>2.25</v>
      </c>
      <c r="R46" s="5">
        <v>84</v>
      </c>
      <c r="S46" s="5">
        <v>70.104166666666671</v>
      </c>
      <c r="T46" s="5">
        <v>2523.9333333333334</v>
      </c>
      <c r="U46" s="5">
        <v>2.8458333333333337</v>
      </c>
      <c r="V46" s="5"/>
      <c r="W46" s="5"/>
      <c r="X46" s="5"/>
      <c r="Y46" s="5"/>
      <c r="Z46" s="5"/>
      <c r="AA46" s="5"/>
      <c r="AB46" s="5"/>
      <c r="AC46" s="5"/>
      <c r="AD46" s="5"/>
      <c r="AE46" s="5"/>
      <c r="AF46" s="5"/>
      <c r="AG46" s="5"/>
      <c r="AH46" s="5"/>
      <c r="AI46" s="5"/>
      <c r="AJ46" s="5"/>
      <c r="AK46" s="5"/>
      <c r="AL46" s="5"/>
      <c r="AM46" s="5"/>
      <c r="AN46" s="5"/>
      <c r="AO46" s="5"/>
      <c r="AP46" s="5"/>
      <c r="AQ46" s="5"/>
      <c r="AR46" s="5"/>
      <c r="AS46" s="5"/>
      <c r="AT46" s="10"/>
      <c r="AU46" s="5"/>
      <c r="AV46" s="5">
        <f>(10500+9900)/2</f>
        <v>10200</v>
      </c>
      <c r="AW46" s="5">
        <f>(9.3+9.3)/2</f>
        <v>9.3000000000000007</v>
      </c>
      <c r="AX46" s="5"/>
      <c r="AY46" s="5">
        <f>(72.6+76.4)/2</f>
        <v>74.5</v>
      </c>
      <c r="AZ46" s="5"/>
      <c r="BA46" s="5"/>
      <c r="BB46" s="5"/>
      <c r="BC46" s="5"/>
      <c r="BD46" s="5"/>
      <c r="BE46" s="5"/>
      <c r="BF46" s="5"/>
      <c r="BG46" s="5"/>
      <c r="BH46" s="5"/>
      <c r="BI46" s="5"/>
      <c r="BJ46" s="5"/>
      <c r="BK46" s="5"/>
      <c r="BL46" s="5"/>
      <c r="BM46" s="5"/>
      <c r="BN46" s="5"/>
      <c r="BO46" s="5">
        <f>(181+190.3)/2*0.5</f>
        <v>92.825000000000003</v>
      </c>
      <c r="BP46" s="5"/>
      <c r="BQ46" s="5"/>
      <c r="BR46" s="5"/>
      <c r="BS46" s="5"/>
      <c r="BT46" s="5"/>
      <c r="BU46" s="5"/>
      <c r="BV46" s="5"/>
      <c r="BW46" s="5"/>
      <c r="BX46" s="5"/>
      <c r="BY46" s="5"/>
      <c r="BZ46" s="5"/>
      <c r="CA46" s="5"/>
      <c r="CB46" s="5"/>
      <c r="CC46" s="5"/>
      <c r="CD46" s="5"/>
      <c r="CE46" s="5"/>
      <c r="CF46" s="5"/>
      <c r="CG46" s="5"/>
      <c r="CH46" s="5"/>
      <c r="CI46" s="5"/>
      <c r="CJ46" s="5"/>
      <c r="CK46" s="5"/>
      <c r="CL46" s="5"/>
      <c r="CM46" s="10" t="s">
        <v>160</v>
      </c>
      <c r="CN46" s="10" t="s">
        <v>19</v>
      </c>
      <c r="CO46" s="11" t="s">
        <v>159</v>
      </c>
      <c r="CP46" s="12" t="s">
        <v>1</v>
      </c>
    </row>
    <row r="47" spans="1:94" s="2" customFormat="1" x14ac:dyDescent="0.25">
      <c r="A47" s="10" t="s">
        <v>99</v>
      </c>
      <c r="B47" s="10" t="s">
        <v>158</v>
      </c>
      <c r="C47" s="5" t="s">
        <v>157</v>
      </c>
      <c r="D47" s="10" t="s">
        <v>156</v>
      </c>
      <c r="E47" s="10" t="s">
        <v>155</v>
      </c>
      <c r="F47" s="10">
        <v>2013</v>
      </c>
      <c r="G47" s="10">
        <v>2016</v>
      </c>
      <c r="H47" s="10">
        <v>0</v>
      </c>
      <c r="I47" s="10">
        <v>0</v>
      </c>
      <c r="J47" s="10">
        <v>0</v>
      </c>
      <c r="K47" s="10">
        <v>0</v>
      </c>
      <c r="L47" s="10">
        <v>0</v>
      </c>
      <c r="M47" s="10">
        <v>0</v>
      </c>
      <c r="N47" s="5">
        <v>15.9</v>
      </c>
      <c r="O47" s="5">
        <f>(N47-5)*12</f>
        <v>130.80000000000001</v>
      </c>
      <c r="P47" s="5">
        <v>1833</v>
      </c>
      <c r="Q47" s="5">
        <v>2.25</v>
      </c>
      <c r="R47" s="5">
        <v>84</v>
      </c>
      <c r="S47" s="5">
        <v>70.104166666666671</v>
      </c>
      <c r="T47" s="5">
        <v>2523.9333333333334</v>
      </c>
      <c r="U47" s="5">
        <v>2.8458333333333337</v>
      </c>
      <c r="V47" s="5"/>
      <c r="W47" s="5"/>
      <c r="X47" s="5"/>
      <c r="Y47" s="5"/>
      <c r="Z47" s="5"/>
      <c r="AA47" s="5"/>
      <c r="AB47" s="5"/>
      <c r="AC47" s="5"/>
      <c r="AD47" s="5"/>
      <c r="AE47" s="5"/>
      <c r="AF47" s="5"/>
      <c r="AG47" s="5"/>
      <c r="AH47" s="5"/>
      <c r="AI47" s="5"/>
      <c r="AJ47" s="5"/>
      <c r="AK47" s="5"/>
      <c r="AL47" s="5"/>
      <c r="AM47" s="5"/>
      <c r="AN47" s="5"/>
      <c r="AO47" s="5"/>
      <c r="AP47" s="5"/>
      <c r="AQ47" s="5"/>
      <c r="AR47" s="5"/>
      <c r="AS47" s="5"/>
      <c r="AT47" s="10"/>
      <c r="AU47" s="5"/>
      <c r="AV47" s="5">
        <f>(8000+8500)/2</f>
        <v>8250</v>
      </c>
      <c r="AW47" s="5">
        <f>(11.1+11.6)/2</f>
        <v>11.35</v>
      </c>
      <c r="AX47" s="5"/>
      <c r="AY47" s="5">
        <f>(86.5+85.9)/2</f>
        <v>86.2</v>
      </c>
      <c r="AZ47" s="5"/>
      <c r="BA47" s="5"/>
      <c r="BB47" s="5"/>
      <c r="BC47" s="5"/>
      <c r="BD47" s="5"/>
      <c r="BE47" s="5"/>
      <c r="BF47" s="5"/>
      <c r="BG47" s="5"/>
      <c r="BH47" s="5"/>
      <c r="BI47" s="5"/>
      <c r="BJ47" s="5"/>
      <c r="BK47" s="5"/>
      <c r="BL47" s="5"/>
      <c r="BM47" s="5"/>
      <c r="BN47" s="5"/>
      <c r="BO47" s="5">
        <f>(222.6+220.1)/2*0.5</f>
        <v>110.675</v>
      </c>
      <c r="BP47" s="5"/>
      <c r="BQ47" s="5"/>
      <c r="BR47" s="5"/>
      <c r="BS47" s="5"/>
      <c r="BT47" s="5"/>
      <c r="BU47" s="5"/>
      <c r="BV47" s="5"/>
      <c r="BW47" s="5"/>
      <c r="BX47" s="5"/>
      <c r="BY47" s="5"/>
      <c r="BZ47" s="5"/>
      <c r="CA47" s="5"/>
      <c r="CB47" s="5"/>
      <c r="CC47" s="5"/>
      <c r="CD47" s="5"/>
      <c r="CE47" s="5"/>
      <c r="CF47" s="5"/>
      <c r="CG47" s="5"/>
      <c r="CH47" s="5"/>
      <c r="CI47" s="5"/>
      <c r="CJ47" s="5"/>
      <c r="CK47" s="5"/>
      <c r="CL47" s="5"/>
      <c r="CM47" s="10" t="s">
        <v>154</v>
      </c>
      <c r="CN47" s="10" t="s">
        <v>19</v>
      </c>
      <c r="CO47" s="11" t="s">
        <v>153</v>
      </c>
      <c r="CP47" s="12" t="s">
        <v>37</v>
      </c>
    </row>
    <row r="48" spans="1:94" s="2" customFormat="1" x14ac:dyDescent="0.25">
      <c r="A48" s="10" t="s">
        <v>99</v>
      </c>
      <c r="B48" s="10" t="s">
        <v>122</v>
      </c>
      <c r="C48" s="5" t="s">
        <v>116</v>
      </c>
      <c r="D48" s="10" t="s">
        <v>152</v>
      </c>
      <c r="E48" s="10" t="s">
        <v>151</v>
      </c>
      <c r="F48" s="10">
        <v>1983</v>
      </c>
      <c r="G48" s="10">
        <v>1987</v>
      </c>
      <c r="H48" s="10">
        <v>1</v>
      </c>
      <c r="I48" s="10">
        <v>0</v>
      </c>
      <c r="J48" s="10">
        <v>0</v>
      </c>
      <c r="K48" s="10">
        <v>0</v>
      </c>
      <c r="L48" s="10">
        <v>1</v>
      </c>
      <c r="M48" s="10">
        <v>0</v>
      </c>
      <c r="N48" s="5">
        <v>15.375</v>
      </c>
      <c r="O48" s="5">
        <v>127.08</v>
      </c>
      <c r="P48" s="5">
        <v>1487.6</v>
      </c>
      <c r="Q48" s="5">
        <v>27.2</v>
      </c>
      <c r="R48" s="5">
        <v>65</v>
      </c>
      <c r="S48" s="5">
        <v>65.75</v>
      </c>
      <c r="T48" s="5">
        <v>1989.38</v>
      </c>
      <c r="U48" s="5">
        <v>1.691667</v>
      </c>
      <c r="V48" s="5"/>
      <c r="W48" s="5"/>
      <c r="X48" s="5"/>
      <c r="Y48" s="5"/>
      <c r="Z48" s="5"/>
      <c r="AA48" s="5"/>
      <c r="AB48" s="5"/>
      <c r="AC48" s="5"/>
      <c r="AD48" s="5"/>
      <c r="AE48" s="5"/>
      <c r="AF48" s="5"/>
      <c r="AG48" s="5"/>
      <c r="AH48" s="5"/>
      <c r="AI48" s="5"/>
      <c r="AJ48" s="5"/>
      <c r="AK48" s="5"/>
      <c r="AL48" s="5"/>
      <c r="AM48" s="5"/>
      <c r="AN48" s="5"/>
      <c r="AO48" s="5"/>
      <c r="AP48" s="5"/>
      <c r="AQ48" s="5"/>
      <c r="AR48" s="5"/>
      <c r="AS48" s="5"/>
      <c r="AT48" s="10"/>
      <c r="AU48" s="5"/>
      <c r="AV48" s="5">
        <v>3000</v>
      </c>
      <c r="AW48" s="5"/>
      <c r="AX48" s="5"/>
      <c r="AY48" s="5"/>
      <c r="AZ48" s="5"/>
      <c r="BA48" s="5"/>
      <c r="BB48" s="5"/>
      <c r="BC48" s="5"/>
      <c r="BD48" s="5"/>
      <c r="BE48" s="5"/>
      <c r="BF48" s="5"/>
      <c r="BG48" s="5"/>
      <c r="BH48" s="5"/>
      <c r="BI48" s="5"/>
      <c r="BJ48" s="5"/>
      <c r="BK48" s="5"/>
      <c r="BL48" s="5">
        <f>22.8*50%</f>
        <v>11.4</v>
      </c>
      <c r="BM48" s="5">
        <f>15.5*50%</f>
        <v>7.75</v>
      </c>
      <c r="BN48" s="5">
        <f>30.2*50%</f>
        <v>15.1</v>
      </c>
      <c r="BO48" s="5">
        <f>80.3*50%</f>
        <v>40.15</v>
      </c>
      <c r="BP48" s="5"/>
      <c r="BQ48" s="5"/>
      <c r="BR48" s="5"/>
      <c r="BS48" s="5"/>
      <c r="BT48" s="5"/>
      <c r="BU48" s="5"/>
      <c r="BV48" s="5"/>
      <c r="BW48" s="5"/>
      <c r="BX48" s="5"/>
      <c r="BY48" s="5"/>
      <c r="BZ48" s="5">
        <f>22.8/5*50%</f>
        <v>2.2800000000000002</v>
      </c>
      <c r="CA48" s="5">
        <f>15.5/5*50%</f>
        <v>1.55</v>
      </c>
      <c r="CB48" s="5">
        <f>30.2/5*50%</f>
        <v>3.02</v>
      </c>
      <c r="CC48" s="5">
        <f>(589.9+652.3)/2*100*100/1000/1000*50%</f>
        <v>3.1054999999999997</v>
      </c>
      <c r="CD48" s="5">
        <f>80.3/5*50%</f>
        <v>8.0299999999999994</v>
      </c>
      <c r="CE48" s="5"/>
      <c r="CF48" s="5"/>
      <c r="CG48" s="5"/>
      <c r="CH48" s="5"/>
      <c r="CI48" s="5"/>
      <c r="CJ48" s="5"/>
      <c r="CK48" s="5"/>
      <c r="CL48" s="5"/>
      <c r="CM48" s="10" t="s">
        <v>150</v>
      </c>
      <c r="CN48" s="10" t="s">
        <v>19</v>
      </c>
      <c r="CO48" s="11" t="s">
        <v>118</v>
      </c>
      <c r="CP48" s="12" t="s">
        <v>37</v>
      </c>
    </row>
    <row r="49" spans="1:94" s="2" customFormat="1" x14ac:dyDescent="0.25">
      <c r="A49" s="10" t="s">
        <v>99</v>
      </c>
      <c r="B49" s="10" t="s">
        <v>122</v>
      </c>
      <c r="C49" s="5" t="s">
        <v>116</v>
      </c>
      <c r="D49" s="10" t="s">
        <v>149</v>
      </c>
      <c r="E49" s="10" t="s">
        <v>148</v>
      </c>
      <c r="F49" s="10">
        <v>1984</v>
      </c>
      <c r="G49" s="10">
        <v>1985</v>
      </c>
      <c r="H49" s="10">
        <v>0</v>
      </c>
      <c r="I49" s="10">
        <v>0</v>
      </c>
      <c r="J49" s="10">
        <v>0</v>
      </c>
      <c r="K49" s="10">
        <v>0</v>
      </c>
      <c r="L49" s="10">
        <v>0</v>
      </c>
      <c r="M49" s="10">
        <v>0</v>
      </c>
      <c r="N49" s="5">
        <v>15.304169999999999</v>
      </c>
      <c r="O49" s="5">
        <v>127.35</v>
      </c>
      <c r="P49" s="5">
        <v>1380.5</v>
      </c>
      <c r="Q49" s="5">
        <v>42.5</v>
      </c>
      <c r="R49" s="5">
        <v>65</v>
      </c>
      <c r="S49" s="5">
        <v>66.166669999999996</v>
      </c>
      <c r="T49" s="5">
        <v>1959.95</v>
      </c>
      <c r="U49" s="5">
        <v>1.745833</v>
      </c>
      <c r="V49" s="5"/>
      <c r="W49" s="5"/>
      <c r="X49" s="5"/>
      <c r="Y49" s="5"/>
      <c r="Z49" s="5"/>
      <c r="AA49" s="5"/>
      <c r="AB49" s="5"/>
      <c r="AC49" s="5"/>
      <c r="AD49" s="5"/>
      <c r="AE49" s="5"/>
      <c r="AF49" s="5"/>
      <c r="AG49" s="5"/>
      <c r="AH49" s="5"/>
      <c r="AI49" s="5"/>
      <c r="AJ49" s="5"/>
      <c r="AK49" s="5"/>
      <c r="AL49" s="5"/>
      <c r="AM49" s="5"/>
      <c r="AN49" s="5"/>
      <c r="AO49" s="5"/>
      <c r="AP49" s="5"/>
      <c r="AQ49" s="5"/>
      <c r="AR49" s="5"/>
      <c r="AS49" s="5"/>
      <c r="AT49" s="10"/>
      <c r="AU49" s="5"/>
      <c r="AV49" s="5">
        <f>(8536+8617+4803)/3</f>
        <v>7318.666666666667</v>
      </c>
      <c r="AW49" s="5">
        <f>(8.3+12.9+10)/3</f>
        <v>10.4</v>
      </c>
      <c r="AX49" s="5"/>
      <c r="AY49" s="5">
        <f>(31.9+108+42.1)/3</f>
        <v>60.666666666666664</v>
      </c>
      <c r="AZ49" s="5"/>
      <c r="BA49" s="5"/>
      <c r="BB49" s="5"/>
      <c r="BC49" s="5"/>
      <c r="BD49" s="5"/>
      <c r="BE49" s="5"/>
      <c r="BF49" s="5"/>
      <c r="BG49" s="5"/>
      <c r="BH49" s="5"/>
      <c r="BI49" s="5"/>
      <c r="BJ49" s="5"/>
      <c r="BK49" s="5"/>
      <c r="BL49" s="5"/>
      <c r="BM49" s="5"/>
      <c r="BN49" s="5">
        <f>(80.1+218+67.1)/3*50%</f>
        <v>60.866666666666674</v>
      </c>
      <c r="BO49" s="5"/>
      <c r="BP49" s="5"/>
      <c r="BQ49" s="5"/>
      <c r="BR49" s="5"/>
      <c r="BS49" s="5"/>
      <c r="BT49" s="5"/>
      <c r="BU49" s="5"/>
      <c r="BV49" s="5"/>
      <c r="BW49" s="5"/>
      <c r="BX49" s="5"/>
      <c r="BY49" s="5"/>
      <c r="BZ49" s="5"/>
      <c r="CA49" s="5"/>
      <c r="CB49" s="5"/>
      <c r="CC49" s="5"/>
      <c r="CD49" s="5"/>
      <c r="CE49" s="5"/>
      <c r="CF49" s="5"/>
      <c r="CG49" s="5"/>
      <c r="CH49" s="5"/>
      <c r="CI49" s="5"/>
      <c r="CJ49" s="5"/>
      <c r="CK49" s="5"/>
      <c r="CL49" s="5"/>
      <c r="CM49" s="10" t="s">
        <v>147</v>
      </c>
      <c r="CN49" s="10" t="s">
        <v>19</v>
      </c>
      <c r="CO49" s="11" t="s">
        <v>125</v>
      </c>
      <c r="CP49" s="12" t="s">
        <v>1</v>
      </c>
    </row>
    <row r="50" spans="1:94" s="2" customFormat="1" x14ac:dyDescent="0.25">
      <c r="A50" s="10" t="s">
        <v>99</v>
      </c>
      <c r="B50" s="10" t="s">
        <v>122</v>
      </c>
      <c r="C50" s="5" t="s">
        <v>116</v>
      </c>
      <c r="D50" s="10" t="s">
        <v>146</v>
      </c>
      <c r="E50" s="10" t="s">
        <v>145</v>
      </c>
      <c r="F50" s="10">
        <v>2009</v>
      </c>
      <c r="G50" s="10">
        <v>2009</v>
      </c>
      <c r="H50" s="10">
        <v>0</v>
      </c>
      <c r="I50" s="10">
        <v>0</v>
      </c>
      <c r="J50" s="10">
        <v>0</v>
      </c>
      <c r="K50" s="10">
        <v>0</v>
      </c>
      <c r="L50" s="10">
        <v>0</v>
      </c>
      <c r="M50" s="10">
        <v>0</v>
      </c>
      <c r="N50" s="5">
        <v>16.100000000000001</v>
      </c>
      <c r="O50" s="5">
        <v>133.19999999999999</v>
      </c>
      <c r="P50" s="5">
        <v>1457.5</v>
      </c>
      <c r="Q50" s="5">
        <v>2</v>
      </c>
      <c r="R50" s="5">
        <v>132</v>
      </c>
      <c r="S50" s="5">
        <v>62</v>
      </c>
      <c r="T50" s="5">
        <v>1775</v>
      </c>
      <c r="U50" s="5">
        <v>2.0583330000000002</v>
      </c>
      <c r="V50" s="5"/>
      <c r="W50" s="5"/>
      <c r="X50" s="5"/>
      <c r="Y50" s="5"/>
      <c r="Z50" s="5"/>
      <c r="AA50" s="5"/>
      <c r="AB50" s="5"/>
      <c r="AC50" s="5"/>
      <c r="AD50" s="5"/>
      <c r="AE50" s="5"/>
      <c r="AF50" s="5"/>
      <c r="AG50" s="5"/>
      <c r="AH50" s="5"/>
      <c r="AI50" s="5"/>
      <c r="AJ50" s="5"/>
      <c r="AK50" s="5"/>
      <c r="AL50" s="5"/>
      <c r="AM50" s="5"/>
      <c r="AN50" s="5"/>
      <c r="AO50" s="5"/>
      <c r="AP50" s="5"/>
      <c r="AQ50" s="5"/>
      <c r="AR50" s="5"/>
      <c r="AS50" s="5"/>
      <c r="AT50" s="10"/>
      <c r="AU50" s="5"/>
      <c r="AV50" s="5">
        <v>5400</v>
      </c>
      <c r="AW50" s="5">
        <v>8</v>
      </c>
      <c r="AX50" s="5">
        <v>12.1</v>
      </c>
      <c r="AY50" s="5">
        <f>(AW50/2)^2*PI()*AV50/10000</f>
        <v>27.143360527015815</v>
      </c>
      <c r="AZ50" s="5"/>
      <c r="BA50" s="5"/>
      <c r="BB50" s="5"/>
      <c r="BC50" s="5"/>
      <c r="BD50" s="5"/>
      <c r="BE50" s="5"/>
      <c r="BF50" s="5"/>
      <c r="BG50" s="5"/>
      <c r="BH50" s="5"/>
      <c r="BI50" s="5"/>
      <c r="BJ50" s="5"/>
      <c r="BK50" s="5"/>
      <c r="BL50" s="5"/>
      <c r="BM50" s="5">
        <f>2.6*5400/1000</f>
        <v>14.04</v>
      </c>
      <c r="BN50" s="5">
        <f>8.9*5400/1000</f>
        <v>48.06</v>
      </c>
      <c r="BO50" s="5">
        <f>11.6*5400/1000</f>
        <v>62.64</v>
      </c>
      <c r="BP50" s="5"/>
      <c r="BQ50" s="5"/>
      <c r="BR50" s="5"/>
      <c r="BS50" s="5"/>
      <c r="BT50" s="5"/>
      <c r="BU50" s="5"/>
      <c r="BV50" s="5"/>
      <c r="BW50" s="5"/>
      <c r="BX50" s="5"/>
      <c r="BY50" s="5"/>
      <c r="BZ50" s="5"/>
      <c r="CA50" s="5"/>
      <c r="CB50" s="5"/>
      <c r="CC50" s="5"/>
      <c r="CD50" s="5"/>
      <c r="CE50" s="5"/>
      <c r="CF50" s="5"/>
      <c r="CG50" s="5"/>
      <c r="CH50" s="5"/>
      <c r="CI50" s="5"/>
      <c r="CJ50" s="5"/>
      <c r="CK50" s="5"/>
      <c r="CL50" s="5"/>
      <c r="CM50" s="10" t="s">
        <v>144</v>
      </c>
      <c r="CN50" s="10" t="s">
        <v>19</v>
      </c>
      <c r="CO50" s="11" t="s">
        <v>143</v>
      </c>
      <c r="CP50" s="12" t="s">
        <v>1</v>
      </c>
    </row>
    <row r="51" spans="1:94" s="2" customFormat="1" x14ac:dyDescent="0.25">
      <c r="A51" s="10" t="s">
        <v>99</v>
      </c>
      <c r="B51" s="10" t="s">
        <v>122</v>
      </c>
      <c r="C51" s="5" t="s">
        <v>142</v>
      </c>
      <c r="D51" s="10" t="s">
        <v>141</v>
      </c>
      <c r="E51" s="10" t="s">
        <v>140</v>
      </c>
      <c r="F51" s="10">
        <v>2019</v>
      </c>
      <c r="G51" s="10">
        <v>2019</v>
      </c>
      <c r="H51" s="10">
        <v>1</v>
      </c>
      <c r="I51" s="10">
        <v>0</v>
      </c>
      <c r="J51" s="10">
        <v>1</v>
      </c>
      <c r="K51" s="10">
        <v>1</v>
      </c>
      <c r="L51" s="10">
        <v>0</v>
      </c>
      <c r="M51" s="10">
        <v>0</v>
      </c>
      <c r="N51" s="5">
        <v>16.91</v>
      </c>
      <c r="O51" s="5">
        <v>142.9</v>
      </c>
      <c r="P51" s="5">
        <v>1407.5</v>
      </c>
      <c r="Q51" s="5">
        <v>7</v>
      </c>
      <c r="R51" s="5">
        <v>65</v>
      </c>
      <c r="S51" s="5">
        <v>66.75</v>
      </c>
      <c r="T51" s="5">
        <v>1817.3</v>
      </c>
      <c r="U51" s="5">
        <v>2.1</v>
      </c>
      <c r="V51" s="5"/>
      <c r="W51" s="5"/>
      <c r="X51" s="5"/>
      <c r="Y51" s="5"/>
      <c r="Z51" s="5"/>
      <c r="AA51" s="5"/>
      <c r="AB51" s="5"/>
      <c r="AC51" s="5"/>
      <c r="AD51" s="5"/>
      <c r="AE51" s="5"/>
      <c r="AF51" s="5"/>
      <c r="AG51" s="5"/>
      <c r="AH51" s="5"/>
      <c r="AI51" s="5"/>
      <c r="AJ51" s="5"/>
      <c r="AK51" s="5"/>
      <c r="AL51" s="5"/>
      <c r="AM51" s="5"/>
      <c r="AN51" s="5"/>
      <c r="AO51" s="5"/>
      <c r="AP51" s="5"/>
      <c r="AQ51" s="5"/>
      <c r="AR51" s="5"/>
      <c r="AS51" s="5"/>
      <c r="AT51" s="10"/>
      <c r="AU51" s="5"/>
      <c r="AV51" s="5">
        <v>9184</v>
      </c>
      <c r="AW51" s="5">
        <v>9.6999999999999993</v>
      </c>
      <c r="AX51" s="5"/>
      <c r="AY51" s="5">
        <v>69.7</v>
      </c>
      <c r="AZ51" s="5"/>
      <c r="BA51" s="5"/>
      <c r="BB51" s="5"/>
      <c r="BC51" s="5"/>
      <c r="BD51" s="5"/>
      <c r="BE51" s="5"/>
      <c r="BF51" s="5"/>
      <c r="BG51" s="5"/>
      <c r="BH51" s="5"/>
      <c r="BI51" s="5"/>
      <c r="BJ51" s="5"/>
      <c r="BK51" s="5"/>
      <c r="BL51" s="5">
        <v>1.7</v>
      </c>
      <c r="BM51" s="5">
        <v>5.8</v>
      </c>
      <c r="BN51" s="5">
        <v>60.9</v>
      </c>
      <c r="BO51" s="5">
        <v>68.400000000000006</v>
      </c>
      <c r="BP51" s="5">
        <v>0.36</v>
      </c>
      <c r="BQ51" s="5">
        <v>5.0999999999999996</v>
      </c>
      <c r="BR51" s="5">
        <v>12.8</v>
      </c>
      <c r="BS51" s="5">
        <v>6.7</v>
      </c>
      <c r="BT51" s="5">
        <v>24.6</v>
      </c>
      <c r="BU51" s="5">
        <v>93</v>
      </c>
      <c r="BV51" s="5"/>
      <c r="BW51" s="5"/>
      <c r="BX51" s="5"/>
      <c r="BY51" s="5"/>
      <c r="BZ51" s="5"/>
      <c r="CA51" s="5"/>
      <c r="CB51" s="5"/>
      <c r="CC51" s="5"/>
      <c r="CD51" s="5"/>
      <c r="CE51" s="5"/>
      <c r="CF51" s="5"/>
      <c r="CG51" s="5"/>
      <c r="CH51" s="5"/>
      <c r="CI51" s="5"/>
      <c r="CJ51" s="5"/>
      <c r="CK51" s="5"/>
      <c r="CL51" s="5"/>
      <c r="CM51" s="10" t="s">
        <v>139</v>
      </c>
      <c r="CN51" s="10" t="s">
        <v>3</v>
      </c>
      <c r="CO51" s="11"/>
      <c r="CP51" s="12" t="s">
        <v>138</v>
      </c>
    </row>
    <row r="52" spans="1:94" s="2" customFormat="1" x14ac:dyDescent="0.25">
      <c r="A52" s="10" t="s">
        <v>99</v>
      </c>
      <c r="B52" s="10" t="s">
        <v>122</v>
      </c>
      <c r="C52" s="5" t="s">
        <v>116</v>
      </c>
      <c r="D52" s="10" t="s">
        <v>137</v>
      </c>
      <c r="E52" s="10" t="s">
        <v>136</v>
      </c>
      <c r="F52" s="10">
        <v>1971</v>
      </c>
      <c r="G52" s="10">
        <v>1971</v>
      </c>
      <c r="H52" s="10">
        <v>1</v>
      </c>
      <c r="I52" s="10">
        <v>0</v>
      </c>
      <c r="J52" s="10">
        <v>1</v>
      </c>
      <c r="K52" s="10">
        <v>0</v>
      </c>
      <c r="L52" s="10">
        <v>0</v>
      </c>
      <c r="M52" s="10">
        <v>0</v>
      </c>
      <c r="N52" s="5">
        <v>15</v>
      </c>
      <c r="O52" s="5">
        <v>124.5</v>
      </c>
      <c r="P52" s="5">
        <v>1600</v>
      </c>
      <c r="Q52" s="5">
        <v>17</v>
      </c>
      <c r="R52" s="5">
        <v>65</v>
      </c>
      <c r="S52" s="5">
        <v>65.75</v>
      </c>
      <c r="T52" s="5">
        <v>1810</v>
      </c>
      <c r="U52" s="5">
        <v>1.858333</v>
      </c>
      <c r="V52" s="5"/>
      <c r="W52" s="5"/>
      <c r="X52" s="5"/>
      <c r="Y52" s="5"/>
      <c r="Z52" s="5"/>
      <c r="AA52" s="5"/>
      <c r="AB52" s="5"/>
      <c r="AC52" s="5"/>
      <c r="AD52" s="5"/>
      <c r="AE52" s="5"/>
      <c r="AF52" s="5"/>
      <c r="AG52" s="5"/>
      <c r="AH52" s="5"/>
      <c r="AI52" s="5"/>
      <c r="AJ52" s="5"/>
      <c r="AK52" s="5"/>
      <c r="AL52" s="5"/>
      <c r="AM52" s="5"/>
      <c r="AN52" s="5"/>
      <c r="AO52" s="5"/>
      <c r="AP52" s="5"/>
      <c r="AQ52" s="5"/>
      <c r="AR52" s="5"/>
      <c r="AS52" s="5"/>
      <c r="AT52" s="10"/>
      <c r="AU52" s="5"/>
      <c r="AV52" s="5">
        <f>(4500+5100+8800)/3</f>
        <v>6133.333333333333</v>
      </c>
      <c r="AW52" s="5">
        <f>(8.3+9.3+9.2)/3</f>
        <v>8.9333333333333336</v>
      </c>
      <c r="AX52" s="5">
        <f>(12+13.2+13.3)/3</f>
        <v>12.833333333333334</v>
      </c>
      <c r="AY52" s="5">
        <f>(AW52/2)^2*PI()*AV52/10000</f>
        <v>38.442668646540483</v>
      </c>
      <c r="AZ52" s="5"/>
      <c r="BA52" s="5"/>
      <c r="BB52" s="5"/>
      <c r="BC52" s="5"/>
      <c r="BD52" s="5"/>
      <c r="BE52" s="5"/>
      <c r="BF52" s="5"/>
      <c r="BG52" s="5"/>
      <c r="BH52" s="5"/>
      <c r="BI52" s="5"/>
      <c r="BJ52" s="5"/>
      <c r="BK52" s="5"/>
      <c r="BL52" s="5">
        <f>3.1*50%</f>
        <v>1.55</v>
      </c>
      <c r="BM52" s="5">
        <f>7.3*50%</f>
        <v>3.65</v>
      </c>
      <c r="BN52" s="5">
        <f>40.6*50%</f>
        <v>20.3</v>
      </c>
      <c r="BO52" s="5">
        <f>SUM(BL52:BN52)</f>
        <v>25.5</v>
      </c>
      <c r="BP52" s="5"/>
      <c r="BQ52" s="5"/>
      <c r="BR52" s="5"/>
      <c r="BS52" s="5"/>
      <c r="BT52" s="5"/>
      <c r="BU52" s="5"/>
      <c r="BV52" s="5"/>
      <c r="BW52" s="5"/>
      <c r="BX52" s="5"/>
      <c r="BY52" s="5"/>
      <c r="BZ52" s="5">
        <f>3.1*50%</f>
        <v>1.55</v>
      </c>
      <c r="CA52" s="5">
        <f>7.3*50%</f>
        <v>3.65</v>
      </c>
      <c r="CB52" s="5">
        <f>40.6*50%</f>
        <v>20.3</v>
      </c>
      <c r="CC52" s="5">
        <f>SUM(BY52:CA52)</f>
        <v>5.2</v>
      </c>
      <c r="CD52" s="5">
        <f>SUM(BZ52:CB52)</f>
        <v>25.5</v>
      </c>
      <c r="CE52" s="5">
        <f>(2.2+4.1+1.5)/3*50%</f>
        <v>1.3</v>
      </c>
      <c r="CF52" s="5">
        <f>(3.4+6.4+2.4)/3*50%</f>
        <v>2.0333333333333337</v>
      </c>
      <c r="CG52" s="5"/>
      <c r="CH52" s="5">
        <f>SUM(CE52:CG52)</f>
        <v>3.3333333333333339</v>
      </c>
      <c r="CI52" s="5">
        <f>CD52+CH52</f>
        <v>28.833333333333336</v>
      </c>
      <c r="CJ52" s="5"/>
      <c r="CK52" s="5"/>
      <c r="CL52" s="5"/>
      <c r="CM52" s="10" t="s">
        <v>135</v>
      </c>
      <c r="CN52" s="10" t="s">
        <v>3</v>
      </c>
      <c r="CO52" s="10" t="s">
        <v>134</v>
      </c>
      <c r="CP52" s="12" t="s">
        <v>1</v>
      </c>
    </row>
    <row r="53" spans="1:94" s="2" customFormat="1" x14ac:dyDescent="0.25">
      <c r="A53" s="10" t="s">
        <v>99</v>
      </c>
      <c r="B53" s="10" t="s">
        <v>122</v>
      </c>
      <c r="C53" s="5" t="s">
        <v>116</v>
      </c>
      <c r="D53" s="10" t="s">
        <v>133</v>
      </c>
      <c r="E53" s="10" t="s">
        <v>132</v>
      </c>
      <c r="F53" s="10">
        <v>1983</v>
      </c>
      <c r="G53" s="10">
        <v>1987</v>
      </c>
      <c r="H53" s="10">
        <v>1</v>
      </c>
      <c r="I53" s="10">
        <v>0</v>
      </c>
      <c r="J53" s="10">
        <v>1</v>
      </c>
      <c r="K53" s="10">
        <v>0</v>
      </c>
      <c r="L53" s="10">
        <v>0</v>
      </c>
      <c r="M53" s="10">
        <v>0</v>
      </c>
      <c r="N53" s="5">
        <v>15.375</v>
      </c>
      <c r="O53" s="5">
        <v>127.08</v>
      </c>
      <c r="P53" s="5">
        <v>1487.6</v>
      </c>
      <c r="Q53" s="5">
        <v>27.2</v>
      </c>
      <c r="R53" s="5">
        <v>65</v>
      </c>
      <c r="S53" s="5">
        <v>65.75</v>
      </c>
      <c r="T53" s="5">
        <v>1989.38</v>
      </c>
      <c r="U53" s="5">
        <v>1.691667</v>
      </c>
      <c r="V53" s="5"/>
      <c r="W53" s="5"/>
      <c r="X53" s="5"/>
      <c r="Y53" s="5"/>
      <c r="Z53" s="5"/>
      <c r="AA53" s="5"/>
      <c r="AB53" s="5"/>
      <c r="AC53" s="5"/>
      <c r="AD53" s="5"/>
      <c r="AE53" s="5"/>
      <c r="AF53" s="5"/>
      <c r="AG53" s="5"/>
      <c r="AH53" s="5"/>
      <c r="AI53" s="5"/>
      <c r="AJ53" s="5"/>
      <c r="AK53" s="5"/>
      <c r="AL53" s="5"/>
      <c r="AM53" s="5"/>
      <c r="AN53" s="5"/>
      <c r="AO53" s="5"/>
      <c r="AP53" s="5"/>
      <c r="AQ53" s="5"/>
      <c r="AR53" s="5"/>
      <c r="AS53" s="5"/>
      <c r="AT53" s="10"/>
      <c r="AU53" s="5"/>
      <c r="AV53" s="5">
        <v>7200</v>
      </c>
      <c r="AW53" s="5"/>
      <c r="AX53" s="5"/>
      <c r="AY53" s="5"/>
      <c r="AZ53" s="5"/>
      <c r="BA53" s="5"/>
      <c r="BB53" s="5"/>
      <c r="BC53" s="5"/>
      <c r="BD53" s="5"/>
      <c r="BE53" s="5"/>
      <c r="BF53" s="5"/>
      <c r="BG53" s="5"/>
      <c r="BH53" s="5"/>
      <c r="BI53" s="5"/>
      <c r="BJ53" s="5"/>
      <c r="BK53" s="5"/>
      <c r="BL53" s="5">
        <f>28.4*50%+BL55*40%</f>
        <v>14.2</v>
      </c>
      <c r="BM53" s="5">
        <f>13.1*50%+BM55*40%</f>
        <v>6.55</v>
      </c>
      <c r="BN53" s="5">
        <f>25.4*50%+BN55*40%</f>
        <v>40</v>
      </c>
      <c r="BO53" s="5">
        <f>SUM(BL53:BN53)</f>
        <v>60.75</v>
      </c>
      <c r="BP53" s="5"/>
      <c r="BQ53" s="5"/>
      <c r="BR53" s="5"/>
      <c r="BS53" s="5"/>
      <c r="BT53" s="5"/>
      <c r="BU53" s="5"/>
      <c r="BV53" s="5"/>
      <c r="BW53" s="5"/>
      <c r="BX53" s="5"/>
      <c r="BY53" s="5"/>
      <c r="BZ53" s="5">
        <f>28.4/5*50%</f>
        <v>2.84</v>
      </c>
      <c r="CA53" s="5">
        <f>13.1/5*50%</f>
        <v>1.31</v>
      </c>
      <c r="CB53" s="5">
        <f>25.4/5*50%</f>
        <v>2.54</v>
      </c>
      <c r="CC53" s="5">
        <f>(628.8+657.9)/2*100*100/1000/1000*50%</f>
        <v>3.2167499999999993</v>
      </c>
      <c r="CD53" s="5">
        <f>78.6/5*50%</f>
        <v>7.8599999999999994</v>
      </c>
      <c r="CE53" s="5"/>
      <c r="CF53" s="5"/>
      <c r="CG53" s="5"/>
      <c r="CH53" s="5"/>
      <c r="CI53" s="5"/>
      <c r="CJ53" s="5"/>
      <c r="CK53" s="5"/>
      <c r="CL53" s="5"/>
      <c r="CM53" s="10" t="s">
        <v>131</v>
      </c>
      <c r="CN53" s="10" t="s">
        <v>19</v>
      </c>
      <c r="CO53" s="11" t="s">
        <v>118</v>
      </c>
      <c r="CP53" s="12" t="s">
        <v>37</v>
      </c>
    </row>
    <row r="54" spans="1:94" s="2" customFormat="1" x14ac:dyDescent="0.25">
      <c r="A54" s="10" t="s">
        <v>99</v>
      </c>
      <c r="B54" s="10" t="s">
        <v>122</v>
      </c>
      <c r="C54" s="5" t="s">
        <v>116</v>
      </c>
      <c r="D54" s="10" t="s">
        <v>130</v>
      </c>
      <c r="E54" s="10" t="s">
        <v>129</v>
      </c>
      <c r="F54" s="10">
        <v>1984</v>
      </c>
      <c r="G54" s="10">
        <v>1985</v>
      </c>
      <c r="H54" s="10">
        <v>0</v>
      </c>
      <c r="I54" s="10">
        <v>0</v>
      </c>
      <c r="J54" s="10">
        <v>0</v>
      </c>
      <c r="K54" s="10">
        <v>0</v>
      </c>
      <c r="L54" s="10">
        <v>0</v>
      </c>
      <c r="M54" s="10">
        <v>0</v>
      </c>
      <c r="N54" s="5">
        <v>15.304169999999999</v>
      </c>
      <c r="O54" s="5">
        <v>127.35</v>
      </c>
      <c r="P54" s="5">
        <v>1380.5</v>
      </c>
      <c r="Q54" s="5">
        <v>42.5</v>
      </c>
      <c r="R54" s="5">
        <v>65</v>
      </c>
      <c r="S54" s="5">
        <v>66.166669999999996</v>
      </c>
      <c r="T54" s="5">
        <v>1959.95</v>
      </c>
      <c r="U54" s="5">
        <v>1.745833</v>
      </c>
      <c r="V54" s="5"/>
      <c r="W54" s="5"/>
      <c r="X54" s="5"/>
      <c r="Y54" s="5"/>
      <c r="Z54" s="5"/>
      <c r="AA54" s="5"/>
      <c r="AB54" s="5"/>
      <c r="AC54" s="5"/>
      <c r="AD54" s="5"/>
      <c r="AE54" s="5"/>
      <c r="AF54" s="5"/>
      <c r="AG54" s="5"/>
      <c r="AH54" s="5"/>
      <c r="AI54" s="5"/>
      <c r="AJ54" s="5"/>
      <c r="AK54" s="5"/>
      <c r="AL54" s="5"/>
      <c r="AM54" s="5"/>
      <c r="AN54" s="5"/>
      <c r="AO54" s="5"/>
      <c r="AP54" s="5"/>
      <c r="AQ54" s="5"/>
      <c r="AR54" s="5"/>
      <c r="AS54" s="5"/>
      <c r="AT54" s="10"/>
      <c r="AU54" s="5"/>
      <c r="AV54" s="5">
        <f>(6045+6014+5488+6611+5751)/5</f>
        <v>5981.8</v>
      </c>
      <c r="AW54" s="5">
        <f>(13.5+11.5+13.2+12.8+12.3)/5</f>
        <v>12.66</v>
      </c>
      <c r="AX54" s="5"/>
      <c r="AY54" s="5">
        <f>(71.9+53.7+60.9+77.7+66.2)/5</f>
        <v>66.08</v>
      </c>
      <c r="AZ54" s="5"/>
      <c r="BA54" s="5"/>
      <c r="BB54" s="5"/>
      <c r="BC54" s="5"/>
      <c r="BD54" s="5"/>
      <c r="BE54" s="5"/>
      <c r="BF54" s="5"/>
      <c r="BG54" s="5"/>
      <c r="BH54" s="5"/>
      <c r="BI54" s="5"/>
      <c r="BJ54" s="5"/>
      <c r="BK54" s="5"/>
      <c r="BL54" s="5"/>
      <c r="BM54" s="5"/>
      <c r="BN54" s="5">
        <f>(161.7+113+139.6+118.3+132.7)/5*50%</f>
        <v>66.53</v>
      </c>
      <c r="BO54" s="5"/>
      <c r="BP54" s="5"/>
      <c r="BQ54" s="5"/>
      <c r="BR54" s="5"/>
      <c r="BS54" s="5"/>
      <c r="BT54" s="5"/>
      <c r="BU54" s="5"/>
      <c r="BV54" s="5"/>
      <c r="BW54" s="5"/>
      <c r="BX54" s="5"/>
      <c r="BY54" s="5"/>
      <c r="BZ54" s="5"/>
      <c r="CA54" s="5"/>
      <c r="CB54" s="5"/>
      <c r="CC54" s="5"/>
      <c r="CD54" s="5"/>
      <c r="CE54" s="5"/>
      <c r="CF54" s="5"/>
      <c r="CG54" s="5"/>
      <c r="CH54" s="5"/>
      <c r="CI54" s="5"/>
      <c r="CJ54" s="5"/>
      <c r="CK54" s="5"/>
      <c r="CL54" s="5"/>
      <c r="CM54" s="10" t="s">
        <v>126</v>
      </c>
      <c r="CN54" s="10" t="s">
        <v>19</v>
      </c>
      <c r="CO54" s="11" t="s">
        <v>125</v>
      </c>
      <c r="CP54" s="12" t="s">
        <v>1</v>
      </c>
    </row>
    <row r="55" spans="1:94" s="2" customFormat="1" x14ac:dyDescent="0.25">
      <c r="A55" s="10" t="s">
        <v>99</v>
      </c>
      <c r="B55" s="10" t="s">
        <v>122</v>
      </c>
      <c r="C55" s="5" t="s">
        <v>116</v>
      </c>
      <c r="D55" s="10" t="s">
        <v>128</v>
      </c>
      <c r="E55" s="10" t="s">
        <v>127</v>
      </c>
      <c r="F55" s="10">
        <v>1984</v>
      </c>
      <c r="G55" s="10">
        <v>1985</v>
      </c>
      <c r="H55" s="10">
        <v>0</v>
      </c>
      <c r="I55" s="10">
        <v>0</v>
      </c>
      <c r="J55" s="10">
        <v>0</v>
      </c>
      <c r="K55" s="10">
        <v>0</v>
      </c>
      <c r="L55" s="10">
        <v>0</v>
      </c>
      <c r="M55" s="10">
        <v>0</v>
      </c>
      <c r="N55" s="5">
        <v>15.304169999999999</v>
      </c>
      <c r="O55" s="5">
        <v>127.35</v>
      </c>
      <c r="P55" s="5">
        <v>1380.5</v>
      </c>
      <c r="Q55" s="5">
        <v>42.5</v>
      </c>
      <c r="R55" s="5">
        <v>65</v>
      </c>
      <c r="S55" s="5">
        <v>66.166669999999996</v>
      </c>
      <c r="T55" s="5">
        <v>1959.95</v>
      </c>
      <c r="U55" s="5">
        <v>1.745833</v>
      </c>
      <c r="V55" s="5"/>
      <c r="W55" s="5"/>
      <c r="X55" s="5"/>
      <c r="Y55" s="5"/>
      <c r="Z55" s="5"/>
      <c r="AA55" s="5"/>
      <c r="AB55" s="5"/>
      <c r="AC55" s="5"/>
      <c r="AD55" s="5"/>
      <c r="AE55" s="5"/>
      <c r="AF55" s="5"/>
      <c r="AG55" s="5"/>
      <c r="AH55" s="5"/>
      <c r="AI55" s="5"/>
      <c r="AJ55" s="5"/>
      <c r="AK55" s="5"/>
      <c r="AL55" s="5"/>
      <c r="AM55" s="5"/>
      <c r="AN55" s="5"/>
      <c r="AO55" s="5"/>
      <c r="AP55" s="5"/>
      <c r="AQ55" s="5"/>
      <c r="AR55" s="5"/>
      <c r="AS55" s="5"/>
      <c r="AT55" s="10"/>
      <c r="AU55" s="5"/>
      <c r="AV55" s="5">
        <f>5181</f>
        <v>5181</v>
      </c>
      <c r="AW55" s="5">
        <f>12.7</f>
        <v>12.7</v>
      </c>
      <c r="AX55" s="5"/>
      <c r="AY55" s="5">
        <v>57.6</v>
      </c>
      <c r="AZ55" s="5"/>
      <c r="BA55" s="5"/>
      <c r="BB55" s="5"/>
      <c r="BC55" s="5"/>
      <c r="BD55" s="5"/>
      <c r="BE55" s="5"/>
      <c r="BF55" s="5"/>
      <c r="BG55" s="5"/>
      <c r="BH55" s="5"/>
      <c r="BI55" s="5"/>
      <c r="BJ55" s="5"/>
      <c r="BK55" s="5"/>
      <c r="BL55" s="5"/>
      <c r="BM55" s="5"/>
      <c r="BN55" s="5">
        <f>136.5*50%</f>
        <v>68.25</v>
      </c>
      <c r="BO55" s="5"/>
      <c r="BP55" s="5"/>
      <c r="BQ55" s="5"/>
      <c r="BR55" s="5"/>
      <c r="BS55" s="5"/>
      <c r="BT55" s="5"/>
      <c r="BU55" s="5"/>
      <c r="BV55" s="5"/>
      <c r="BW55" s="5"/>
      <c r="BX55" s="5"/>
      <c r="BY55" s="5"/>
      <c r="BZ55" s="5"/>
      <c r="CA55" s="5"/>
      <c r="CB55" s="5"/>
      <c r="CC55" s="5"/>
      <c r="CD55" s="5"/>
      <c r="CE55" s="5"/>
      <c r="CF55" s="5"/>
      <c r="CG55" s="5"/>
      <c r="CH55" s="5"/>
      <c r="CI55" s="5"/>
      <c r="CJ55" s="5"/>
      <c r="CK55" s="5"/>
      <c r="CL55" s="5"/>
      <c r="CM55" s="10" t="s">
        <v>126</v>
      </c>
      <c r="CN55" s="10" t="s">
        <v>19</v>
      </c>
      <c r="CO55" s="11" t="s">
        <v>125</v>
      </c>
      <c r="CP55" s="12" t="s">
        <v>37</v>
      </c>
    </row>
    <row r="56" spans="1:94" s="2" customFormat="1" x14ac:dyDescent="0.25">
      <c r="A56" s="10" t="s">
        <v>99</v>
      </c>
      <c r="B56" s="10" t="s">
        <v>122</v>
      </c>
      <c r="C56" s="5" t="s">
        <v>116</v>
      </c>
      <c r="D56" s="10" t="s">
        <v>124</v>
      </c>
      <c r="E56" s="10" t="s">
        <v>123</v>
      </c>
      <c r="F56" s="10">
        <v>1983</v>
      </c>
      <c r="G56" s="10">
        <v>1983</v>
      </c>
      <c r="H56" s="10">
        <v>0</v>
      </c>
      <c r="I56" s="10">
        <v>0</v>
      </c>
      <c r="J56" s="10">
        <v>0</v>
      </c>
      <c r="K56" s="10">
        <v>0</v>
      </c>
      <c r="L56" s="10">
        <v>0</v>
      </c>
      <c r="M56" s="10">
        <v>0</v>
      </c>
      <c r="N56" s="5">
        <v>15.39167</v>
      </c>
      <c r="O56" s="5">
        <v>125.4</v>
      </c>
      <c r="P56" s="5">
        <v>1928</v>
      </c>
      <c r="Q56" s="5">
        <v>12</v>
      </c>
      <c r="R56" s="5">
        <v>65</v>
      </c>
      <c r="S56" s="5">
        <v>65.75</v>
      </c>
      <c r="T56" s="5">
        <v>2046.8</v>
      </c>
      <c r="U56" s="5">
        <v>1.558333</v>
      </c>
      <c r="V56" s="5"/>
      <c r="W56" s="5"/>
      <c r="X56" s="5"/>
      <c r="Y56" s="5"/>
      <c r="Z56" s="5"/>
      <c r="AA56" s="5"/>
      <c r="AB56" s="5"/>
      <c r="AC56" s="5"/>
      <c r="AD56" s="5"/>
      <c r="AE56" s="5"/>
      <c r="AF56" s="5"/>
      <c r="AG56" s="5"/>
      <c r="AH56" s="5"/>
      <c r="AI56" s="5"/>
      <c r="AJ56" s="5"/>
      <c r="AK56" s="5"/>
      <c r="AL56" s="5"/>
      <c r="AM56" s="5"/>
      <c r="AN56" s="5"/>
      <c r="AO56" s="5"/>
      <c r="AP56" s="5"/>
      <c r="AQ56" s="5"/>
      <c r="AR56" s="5"/>
      <c r="AS56" s="5"/>
      <c r="AT56" s="10"/>
      <c r="AU56" s="5"/>
      <c r="AV56" s="5">
        <v>7200</v>
      </c>
      <c r="AW56" s="5">
        <v>9.6</v>
      </c>
      <c r="AX56" s="5">
        <v>13.6</v>
      </c>
      <c r="AY56" s="5">
        <v>53.9</v>
      </c>
      <c r="AZ56" s="5"/>
      <c r="BA56" s="5">
        <v>11.9</v>
      </c>
      <c r="BB56" s="5"/>
      <c r="BC56" s="5"/>
      <c r="BD56" s="5"/>
      <c r="BE56" s="5"/>
      <c r="BF56" s="5"/>
      <c r="BG56" s="5"/>
      <c r="BH56" s="5"/>
      <c r="BI56" s="5"/>
      <c r="BJ56" s="5"/>
      <c r="BK56" s="5"/>
      <c r="BL56" s="10">
        <f>5.3*50%</f>
        <v>2.65</v>
      </c>
      <c r="BM56" s="10">
        <f>13.2*50%</f>
        <v>6.6</v>
      </c>
      <c r="BN56" s="10">
        <f>76.6*50%</f>
        <v>38.299999999999997</v>
      </c>
      <c r="BO56" s="10">
        <f t="shared" ref="BO56:BO64" si="5">SUM(BL56:BN56)</f>
        <v>47.55</v>
      </c>
      <c r="BP56" s="5"/>
      <c r="BQ56" s="5"/>
      <c r="BR56" s="5"/>
      <c r="BS56" s="5"/>
      <c r="BT56" s="5"/>
      <c r="BU56" s="5"/>
      <c r="BV56" s="5"/>
      <c r="BW56" s="5"/>
      <c r="BX56" s="5"/>
      <c r="BY56" s="5"/>
      <c r="BZ56" s="10"/>
      <c r="CA56" s="10"/>
      <c r="CB56" s="10"/>
      <c r="CC56" s="10"/>
      <c r="CD56" s="10"/>
      <c r="CE56" s="5"/>
      <c r="CF56" s="5"/>
      <c r="CG56" s="5"/>
      <c r="CH56" s="5"/>
      <c r="CI56" s="5"/>
      <c r="CJ56" s="5"/>
      <c r="CK56" s="5"/>
      <c r="CL56" s="5"/>
      <c r="CM56" s="10" t="s">
        <v>119</v>
      </c>
      <c r="CN56" s="10" t="s">
        <v>19</v>
      </c>
      <c r="CO56" s="11" t="s">
        <v>118</v>
      </c>
      <c r="CP56" s="12" t="s">
        <v>1</v>
      </c>
    </row>
    <row r="57" spans="1:94" s="2" customFormat="1" x14ac:dyDescent="0.25">
      <c r="A57" s="10" t="s">
        <v>99</v>
      </c>
      <c r="B57" s="10" t="s">
        <v>122</v>
      </c>
      <c r="C57" s="5" t="s">
        <v>116</v>
      </c>
      <c r="D57" s="10" t="s">
        <v>121</v>
      </c>
      <c r="E57" s="10" t="s">
        <v>120</v>
      </c>
      <c r="F57" s="10">
        <v>1983</v>
      </c>
      <c r="G57" s="10">
        <v>1987</v>
      </c>
      <c r="H57" s="10">
        <v>0</v>
      </c>
      <c r="I57" s="10">
        <v>0</v>
      </c>
      <c r="J57" s="10">
        <v>0</v>
      </c>
      <c r="K57" s="10">
        <v>0</v>
      </c>
      <c r="L57" s="10">
        <v>0</v>
      </c>
      <c r="M57" s="10">
        <v>0</v>
      </c>
      <c r="N57" s="5">
        <v>15.375</v>
      </c>
      <c r="O57" s="5">
        <v>127.08</v>
      </c>
      <c r="P57" s="5">
        <v>1487.6</v>
      </c>
      <c r="Q57" s="5">
        <v>27.2</v>
      </c>
      <c r="R57" s="5">
        <v>65</v>
      </c>
      <c r="S57" s="5">
        <v>65.75</v>
      </c>
      <c r="T57" s="5">
        <v>1989.38</v>
      </c>
      <c r="U57" s="5">
        <v>1.691667</v>
      </c>
      <c r="V57" s="5"/>
      <c r="W57" s="5"/>
      <c r="X57" s="5"/>
      <c r="Y57" s="5"/>
      <c r="Z57" s="5"/>
      <c r="AA57" s="5"/>
      <c r="AB57" s="5"/>
      <c r="AC57" s="5"/>
      <c r="AD57" s="5"/>
      <c r="AE57" s="5"/>
      <c r="AF57" s="5"/>
      <c r="AG57" s="5"/>
      <c r="AH57" s="5"/>
      <c r="AI57" s="5"/>
      <c r="AJ57" s="5"/>
      <c r="AK57" s="5"/>
      <c r="AL57" s="5"/>
      <c r="AM57" s="5"/>
      <c r="AN57" s="5"/>
      <c r="AO57" s="5"/>
      <c r="AP57" s="5"/>
      <c r="AQ57" s="5"/>
      <c r="AR57" s="5"/>
      <c r="AS57" s="5"/>
      <c r="AT57" s="10"/>
      <c r="AU57" s="5"/>
      <c r="AV57" s="5">
        <v>8000</v>
      </c>
      <c r="AW57" s="5"/>
      <c r="AX57" s="5"/>
      <c r="AY57" s="5"/>
      <c r="AZ57" s="5"/>
      <c r="BA57" s="5"/>
      <c r="BB57" s="5"/>
      <c r="BC57" s="5"/>
      <c r="BD57" s="5"/>
      <c r="BE57" s="5"/>
      <c r="BF57" s="5"/>
      <c r="BG57" s="5"/>
      <c r="BH57" s="5"/>
      <c r="BI57" s="5"/>
      <c r="BJ57" s="5"/>
      <c r="BK57" s="5"/>
      <c r="BL57" s="5">
        <f>37.6*50%+BL58</f>
        <v>21.5258</v>
      </c>
      <c r="BM57" s="5">
        <f>14.3*50%+BM58</f>
        <v>14.651999999999999</v>
      </c>
      <c r="BN57" s="5">
        <f>27.4*50%+BN58</f>
        <v>69.154000000000011</v>
      </c>
      <c r="BO57" s="5">
        <f t="shared" si="5"/>
        <v>105.33180000000002</v>
      </c>
      <c r="BP57" s="5"/>
      <c r="BQ57" s="5"/>
      <c r="BR57" s="5"/>
      <c r="BS57" s="5"/>
      <c r="BT57" s="5"/>
      <c r="BU57" s="5"/>
      <c r="BV57" s="5"/>
      <c r="BW57" s="5"/>
      <c r="BX57" s="5"/>
      <c r="BY57" s="5"/>
      <c r="BZ57" s="5">
        <f>37.6/5*50%</f>
        <v>3.7600000000000002</v>
      </c>
      <c r="CA57" s="5">
        <f>14.3/5*50%</f>
        <v>1.4300000000000002</v>
      </c>
      <c r="CB57" s="5">
        <f>27.4/5*50%</f>
        <v>2.7399999999999998</v>
      </c>
      <c r="CC57" s="5">
        <f>(753+717)*100*100/1000/1000*50%</f>
        <v>7.35</v>
      </c>
      <c r="CD57" s="5">
        <f>91.1/5*50%</f>
        <v>9.11</v>
      </c>
      <c r="CE57" s="5"/>
      <c r="CF57" s="5"/>
      <c r="CG57" s="5"/>
      <c r="CH57" s="5"/>
      <c r="CI57" s="5"/>
      <c r="CJ57" s="5"/>
      <c r="CK57" s="5"/>
      <c r="CL57" s="5"/>
      <c r="CM57" s="10" t="s">
        <v>119</v>
      </c>
      <c r="CN57" s="10" t="s">
        <v>19</v>
      </c>
      <c r="CO57" s="11" t="s">
        <v>118</v>
      </c>
      <c r="CP57" s="12" t="s">
        <v>1</v>
      </c>
    </row>
    <row r="58" spans="1:94" s="2" customFormat="1" x14ac:dyDescent="0.25">
      <c r="A58" s="10" t="s">
        <v>99</v>
      </c>
      <c r="B58" s="10" t="s">
        <v>117</v>
      </c>
      <c r="C58" s="5" t="s">
        <v>116</v>
      </c>
      <c r="D58" s="10" t="s">
        <v>115</v>
      </c>
      <c r="E58" s="10" t="s">
        <v>114</v>
      </c>
      <c r="F58" s="10">
        <v>1982</v>
      </c>
      <c r="G58" s="10">
        <v>1991</v>
      </c>
      <c r="H58" s="10">
        <v>0</v>
      </c>
      <c r="I58" s="10">
        <v>0</v>
      </c>
      <c r="J58" s="10">
        <v>0</v>
      </c>
      <c r="K58" s="10">
        <v>0</v>
      </c>
      <c r="L58" s="10">
        <v>0</v>
      </c>
      <c r="M58" s="10">
        <v>0</v>
      </c>
      <c r="N58" s="5">
        <v>15.3</v>
      </c>
      <c r="O58" s="5">
        <f>(N58-5)*12</f>
        <v>123.60000000000001</v>
      </c>
      <c r="P58" s="5">
        <v>1581</v>
      </c>
      <c r="Q58" s="5">
        <v>20.5</v>
      </c>
      <c r="R58" s="5">
        <v>65</v>
      </c>
      <c r="S58" s="5">
        <v>67.00833333333334</v>
      </c>
      <c r="T58" s="5">
        <v>1872.7599999999998</v>
      </c>
      <c r="U58" s="5">
        <v>1.6700000000000008</v>
      </c>
      <c r="V58" s="5"/>
      <c r="W58" s="5"/>
      <c r="X58" s="5"/>
      <c r="Y58" s="5"/>
      <c r="Z58" s="5"/>
      <c r="AA58" s="5"/>
      <c r="AB58" s="5"/>
      <c r="AC58" s="5"/>
      <c r="AD58" s="5"/>
      <c r="AE58" s="5"/>
      <c r="AF58" s="5"/>
      <c r="AG58" s="5"/>
      <c r="AH58" s="5"/>
      <c r="AI58" s="5"/>
      <c r="AJ58" s="5"/>
      <c r="AK58" s="5"/>
      <c r="AL58" s="5"/>
      <c r="AM58" s="5"/>
      <c r="AN58" s="5"/>
      <c r="AO58" s="5"/>
      <c r="AP58" s="5"/>
      <c r="AQ58" s="5"/>
      <c r="AR58" s="5"/>
      <c r="AS58" s="5"/>
      <c r="AT58" s="10"/>
      <c r="AU58" s="5"/>
      <c r="AV58" s="5">
        <v>7100</v>
      </c>
      <c r="AW58" s="5">
        <v>11.3</v>
      </c>
      <c r="AX58" s="5"/>
      <c r="AY58" s="5">
        <f>(AW58/2)^2*PI()*AV58/10000</f>
        <v>71.204118953796325</v>
      </c>
      <c r="AZ58" s="5"/>
      <c r="BA58" s="5"/>
      <c r="BB58" s="5"/>
      <c r="BC58" s="5">
        <v>46.2</v>
      </c>
      <c r="BD58" s="5">
        <v>48.4</v>
      </c>
      <c r="BE58" s="5">
        <v>47.6</v>
      </c>
      <c r="BF58" s="5">
        <v>40.1</v>
      </c>
      <c r="BG58" s="5"/>
      <c r="BH58" s="5">
        <v>44.8</v>
      </c>
      <c r="BI58" s="5"/>
      <c r="BJ58" s="5"/>
      <c r="BK58" s="5"/>
      <c r="BL58" s="5">
        <f>5.9*BC58/100</f>
        <v>2.7258000000000004</v>
      </c>
      <c r="BM58" s="5">
        <f>15.5*BD58/100</f>
        <v>7.5019999999999989</v>
      </c>
      <c r="BN58" s="5">
        <f>116.5*BE58/100</f>
        <v>55.454000000000008</v>
      </c>
      <c r="BO58" s="5">
        <f t="shared" si="5"/>
        <v>65.68180000000001</v>
      </c>
      <c r="BP58" s="5">
        <f>BT58/BO58</f>
        <v>0.2842416011741456</v>
      </c>
      <c r="BQ58" s="5">
        <f>27.9*BF58/100</f>
        <v>11.187899999999999</v>
      </c>
      <c r="BR58" s="5">
        <f>16.7*BH58/100</f>
        <v>7.4815999999999994</v>
      </c>
      <c r="BS58" s="5"/>
      <c r="BT58" s="5">
        <f>SUM(BQ58:BS58)</f>
        <v>18.669499999999999</v>
      </c>
      <c r="BU58" s="5">
        <f>BT58+BO58</f>
        <v>84.351300000000009</v>
      </c>
      <c r="BV58" s="5"/>
      <c r="BW58" s="5">
        <f>7+94.2</f>
        <v>101.2</v>
      </c>
      <c r="BX58" s="5"/>
      <c r="BY58" s="5">
        <f>BU58+BW58</f>
        <v>185.55130000000003</v>
      </c>
      <c r="BZ58" s="5">
        <f>2.06+0.99</f>
        <v>3.05</v>
      </c>
      <c r="CA58" s="5">
        <v>0.79</v>
      </c>
      <c r="CB58" s="5">
        <v>4.66</v>
      </c>
      <c r="CC58" s="5">
        <f>2+0.3+1</f>
        <v>3.3</v>
      </c>
      <c r="CD58" s="5">
        <f>SUM(BZ58:CC58)</f>
        <v>11.8</v>
      </c>
      <c r="CE58" s="5">
        <v>11</v>
      </c>
      <c r="CF58" s="5"/>
      <c r="CG58" s="5"/>
      <c r="CH58" s="5">
        <f>SUM(CE58:CG58)</f>
        <v>11</v>
      </c>
      <c r="CI58" s="5">
        <f>CH58+CD58</f>
        <v>22.8</v>
      </c>
      <c r="CJ58" s="5">
        <f>52.3*12/44</f>
        <v>14.263636363636362</v>
      </c>
      <c r="CK58" s="5">
        <f>10.7+2.6</f>
        <v>13.299999999999999</v>
      </c>
      <c r="CL58" s="5">
        <f>CI58-CK58</f>
        <v>9.5000000000000018</v>
      </c>
      <c r="CM58" s="10" t="s">
        <v>113</v>
      </c>
      <c r="CN58" s="10" t="s">
        <v>3</v>
      </c>
      <c r="CO58" s="11" t="s">
        <v>112</v>
      </c>
      <c r="CP58" s="12" t="s">
        <v>1</v>
      </c>
    </row>
    <row r="59" spans="1:94" s="2" customFormat="1" x14ac:dyDescent="0.25">
      <c r="A59" s="10" t="s">
        <v>99</v>
      </c>
      <c r="B59" s="10" t="s">
        <v>98</v>
      </c>
      <c r="C59" s="5" t="s">
        <v>91</v>
      </c>
      <c r="D59" s="10" t="s">
        <v>111</v>
      </c>
      <c r="E59" s="10" t="s">
        <v>110</v>
      </c>
      <c r="F59" s="10">
        <v>2005</v>
      </c>
      <c r="G59" s="10">
        <v>2005</v>
      </c>
      <c r="H59" s="10">
        <v>0</v>
      </c>
      <c r="I59" s="10">
        <v>0</v>
      </c>
      <c r="J59" s="10">
        <v>0</v>
      </c>
      <c r="K59" s="10">
        <v>0</v>
      </c>
      <c r="L59" s="10">
        <v>0</v>
      </c>
      <c r="M59" s="10">
        <v>0</v>
      </c>
      <c r="N59" s="5">
        <v>16.058330000000002</v>
      </c>
      <c r="O59" s="5">
        <v>133.30000000000001</v>
      </c>
      <c r="P59" s="5">
        <v>953</v>
      </c>
      <c r="Q59" s="5">
        <v>21</v>
      </c>
      <c r="R59" s="5">
        <v>270</v>
      </c>
      <c r="S59" s="5">
        <v>62</v>
      </c>
      <c r="T59" s="5">
        <v>1667.3</v>
      </c>
      <c r="U59" s="5">
        <v>1.433333</v>
      </c>
      <c r="V59" s="5"/>
      <c r="W59" s="5"/>
      <c r="X59" s="5"/>
      <c r="Y59" s="5"/>
      <c r="Z59" s="5"/>
      <c r="AA59" s="5"/>
      <c r="AB59" s="5"/>
      <c r="AC59" s="5"/>
      <c r="AD59" s="5"/>
      <c r="AE59" s="5"/>
      <c r="AF59" s="5"/>
      <c r="AG59" s="5"/>
      <c r="AH59" s="5"/>
      <c r="AI59" s="5"/>
      <c r="AJ59" s="5"/>
      <c r="AK59" s="5"/>
      <c r="AL59" s="5"/>
      <c r="AM59" s="5"/>
      <c r="AN59" s="5"/>
      <c r="AO59" s="5"/>
      <c r="AP59" s="5"/>
      <c r="AQ59" s="5"/>
      <c r="AR59" s="5"/>
      <c r="AS59" s="5"/>
      <c r="AT59" s="10"/>
      <c r="AU59" s="5"/>
      <c r="AV59" s="5">
        <v>8133</v>
      </c>
      <c r="AW59" s="5">
        <f>(12.2*1033+12.8*7100)/8133</f>
        <v>12.723791958686832</v>
      </c>
      <c r="AX59" s="5">
        <f>(18*1033+18.5*7100)/8133</f>
        <v>18.436493298905692</v>
      </c>
      <c r="AY59" s="5">
        <f>(AW59/2)^2*PI()*AV59/10000</f>
        <v>103.41267510803563</v>
      </c>
      <c r="AZ59" s="5"/>
      <c r="BA59" s="5"/>
      <c r="BB59" s="5"/>
      <c r="BC59" s="5"/>
      <c r="BD59" s="5"/>
      <c r="BE59" s="5"/>
      <c r="BF59" s="5"/>
      <c r="BG59" s="5"/>
      <c r="BH59" s="5"/>
      <c r="BI59" s="5"/>
      <c r="BJ59" s="5"/>
      <c r="BK59" s="5"/>
      <c r="BL59" s="5">
        <f>5.8*50%</f>
        <v>2.9</v>
      </c>
      <c r="BM59" s="5">
        <f>16.6*50%</f>
        <v>8.3000000000000007</v>
      </c>
      <c r="BN59" s="5">
        <f>194.8*50%</f>
        <v>97.4</v>
      </c>
      <c r="BO59" s="5">
        <f t="shared" si="5"/>
        <v>108.60000000000001</v>
      </c>
      <c r="BP59" s="5"/>
      <c r="BQ59" s="5"/>
      <c r="BR59" s="5"/>
      <c r="BS59" s="5"/>
      <c r="BT59" s="5"/>
      <c r="BU59" s="5"/>
      <c r="BV59" s="5"/>
      <c r="BW59" s="5"/>
      <c r="BX59" s="5"/>
      <c r="BY59" s="5"/>
      <c r="BZ59" s="5"/>
      <c r="CA59" s="5"/>
      <c r="CB59" s="5"/>
      <c r="CC59" s="5"/>
      <c r="CD59" s="5"/>
      <c r="CE59" s="5"/>
      <c r="CF59" s="5"/>
      <c r="CG59" s="5"/>
      <c r="CH59" s="5"/>
      <c r="CI59" s="5"/>
      <c r="CJ59" s="5"/>
      <c r="CK59" s="5"/>
      <c r="CL59" s="10"/>
      <c r="CM59" s="10" t="s">
        <v>109</v>
      </c>
      <c r="CN59" s="10" t="s">
        <v>19</v>
      </c>
      <c r="CO59" s="11" t="s">
        <v>104</v>
      </c>
      <c r="CP59" s="12" t="s">
        <v>1</v>
      </c>
    </row>
    <row r="60" spans="1:94" s="2" customFormat="1" x14ac:dyDescent="0.25">
      <c r="A60" s="10" t="s">
        <v>99</v>
      </c>
      <c r="B60" s="10" t="s">
        <v>98</v>
      </c>
      <c r="C60" s="5" t="s">
        <v>91</v>
      </c>
      <c r="D60" s="10" t="s">
        <v>108</v>
      </c>
      <c r="E60" s="10" t="s">
        <v>107</v>
      </c>
      <c r="F60" s="10">
        <v>2006</v>
      </c>
      <c r="G60" s="10">
        <v>2006</v>
      </c>
      <c r="H60" s="10">
        <v>1</v>
      </c>
      <c r="I60" s="10">
        <v>0</v>
      </c>
      <c r="J60" s="10">
        <v>0</v>
      </c>
      <c r="K60" s="10">
        <v>0</v>
      </c>
      <c r="L60" s="10">
        <v>0</v>
      </c>
      <c r="M60" s="10">
        <v>0</v>
      </c>
      <c r="N60" s="5">
        <v>16.175000000000001</v>
      </c>
      <c r="O60" s="5">
        <v>134.80000000000001</v>
      </c>
      <c r="P60" s="5">
        <v>1568</v>
      </c>
      <c r="Q60" s="5">
        <v>6</v>
      </c>
      <c r="R60" s="5">
        <v>270</v>
      </c>
      <c r="S60" s="5">
        <v>64.083330000000004</v>
      </c>
      <c r="T60" s="5">
        <v>1480.5</v>
      </c>
      <c r="U60" s="5">
        <v>1.5833330000000001</v>
      </c>
      <c r="V60" s="5"/>
      <c r="W60" s="5"/>
      <c r="X60" s="5"/>
      <c r="Y60" s="5"/>
      <c r="Z60" s="5"/>
      <c r="AA60" s="5"/>
      <c r="AB60" s="5"/>
      <c r="AC60" s="5"/>
      <c r="AD60" s="5"/>
      <c r="AE60" s="5"/>
      <c r="AF60" s="5"/>
      <c r="AG60" s="5"/>
      <c r="AH60" s="5"/>
      <c r="AI60" s="5"/>
      <c r="AJ60" s="5"/>
      <c r="AK60" s="5"/>
      <c r="AL60" s="5"/>
      <c r="AM60" s="5"/>
      <c r="AN60" s="5"/>
      <c r="AO60" s="5"/>
      <c r="AP60" s="5"/>
      <c r="AQ60" s="5"/>
      <c r="AR60" s="5"/>
      <c r="AS60" s="5"/>
      <c r="AT60" s="10"/>
      <c r="AU60" s="5"/>
      <c r="AV60" s="5">
        <v>7967</v>
      </c>
      <c r="AW60" s="5">
        <f>(12.9*167+12.7*7800)/7967</f>
        <v>12.70419229320949</v>
      </c>
      <c r="AX60" s="5">
        <f>(18.6*167+18.4*7800)/7967</f>
        <v>18.404192293209491</v>
      </c>
      <c r="AY60" s="5">
        <f>(AW60/2)^2*PI()*AV60/10000</f>
        <v>100.99010318518286</v>
      </c>
      <c r="AZ60" s="5"/>
      <c r="BA60" s="5"/>
      <c r="BB60" s="5"/>
      <c r="BC60" s="5"/>
      <c r="BD60" s="5"/>
      <c r="BE60" s="5"/>
      <c r="BF60" s="5"/>
      <c r="BG60" s="5"/>
      <c r="BH60" s="5"/>
      <c r="BI60" s="5"/>
      <c r="BJ60" s="5"/>
      <c r="BK60" s="5"/>
      <c r="BL60" s="5">
        <f>5.9*50%</f>
        <v>2.95</v>
      </c>
      <c r="BM60" s="5">
        <f>16.2*50%</f>
        <v>8.1</v>
      </c>
      <c r="BN60" s="5">
        <f>50%*195.2</f>
        <v>97.6</v>
      </c>
      <c r="BO60" s="5">
        <f t="shared" si="5"/>
        <v>108.64999999999999</v>
      </c>
      <c r="BP60" s="5"/>
      <c r="BQ60" s="5"/>
      <c r="BR60" s="5"/>
      <c r="BS60" s="5"/>
      <c r="BT60" s="5"/>
      <c r="BU60" s="5"/>
      <c r="BV60" s="5"/>
      <c r="BW60" s="5"/>
      <c r="BX60" s="5"/>
      <c r="BY60" s="5"/>
      <c r="BZ60" s="5"/>
      <c r="CA60" s="5"/>
      <c r="CB60" s="5"/>
      <c r="CC60" s="5"/>
      <c r="CD60" s="5"/>
      <c r="CE60" s="5"/>
      <c r="CF60" s="5"/>
      <c r="CG60" s="5"/>
      <c r="CH60" s="5"/>
      <c r="CI60" s="5"/>
      <c r="CJ60" s="5"/>
      <c r="CK60" s="5"/>
      <c r="CL60" s="10"/>
      <c r="CM60" s="10" t="s">
        <v>101</v>
      </c>
      <c r="CN60" s="10" t="s">
        <v>19</v>
      </c>
      <c r="CO60" s="11" t="s">
        <v>104</v>
      </c>
      <c r="CP60" s="12" t="s">
        <v>1</v>
      </c>
    </row>
    <row r="61" spans="1:94" s="2" customFormat="1" x14ac:dyDescent="0.25">
      <c r="A61" s="10" t="s">
        <v>99</v>
      </c>
      <c r="B61" s="10" t="s">
        <v>98</v>
      </c>
      <c r="C61" s="5" t="s">
        <v>91</v>
      </c>
      <c r="D61" s="10" t="s">
        <v>106</v>
      </c>
      <c r="E61" s="10" t="s">
        <v>105</v>
      </c>
      <c r="F61" s="10">
        <v>2007</v>
      </c>
      <c r="G61" s="10">
        <v>2007</v>
      </c>
      <c r="H61" s="10">
        <v>0</v>
      </c>
      <c r="I61" s="10">
        <v>0</v>
      </c>
      <c r="J61" s="10">
        <v>0</v>
      </c>
      <c r="K61" s="10">
        <v>0</v>
      </c>
      <c r="L61" s="10">
        <v>0</v>
      </c>
      <c r="M61" s="10">
        <v>0</v>
      </c>
      <c r="N61" s="5">
        <v>16.516670000000001</v>
      </c>
      <c r="O61" s="5">
        <v>138.19999999999999</v>
      </c>
      <c r="P61" s="5">
        <v>1234</v>
      </c>
      <c r="Q61" s="5">
        <v>0</v>
      </c>
      <c r="R61" s="5">
        <v>270</v>
      </c>
      <c r="S61" s="5">
        <v>61.833329999999997</v>
      </c>
      <c r="T61" s="5">
        <v>1997</v>
      </c>
      <c r="U61" s="5">
        <v>1.4583330000000001</v>
      </c>
      <c r="V61" s="5"/>
      <c r="W61" s="5"/>
      <c r="X61" s="5"/>
      <c r="Y61" s="5"/>
      <c r="Z61" s="5"/>
      <c r="AA61" s="5"/>
      <c r="AB61" s="5"/>
      <c r="AC61" s="5"/>
      <c r="AD61" s="5"/>
      <c r="AE61" s="5"/>
      <c r="AF61" s="5"/>
      <c r="AG61" s="5"/>
      <c r="AH61" s="5"/>
      <c r="AI61" s="5"/>
      <c r="AJ61" s="5"/>
      <c r="AK61" s="5"/>
      <c r="AL61" s="5"/>
      <c r="AM61" s="5"/>
      <c r="AN61" s="5"/>
      <c r="AO61" s="5"/>
      <c r="AP61" s="5"/>
      <c r="AQ61" s="5"/>
      <c r="AR61" s="5"/>
      <c r="AS61" s="5"/>
      <c r="AT61" s="10"/>
      <c r="AU61" s="5"/>
      <c r="AV61" s="5">
        <v>8133</v>
      </c>
      <c r="AW61" s="5">
        <f>(12.7*333+12.7*7800)/8133</f>
        <v>12.700000000000001</v>
      </c>
      <c r="AX61" s="5">
        <f>(18.5*333+18.4*7800)/8133</f>
        <v>18.404094430099594</v>
      </c>
      <c r="AY61" s="5">
        <f>(AW61/2)^2*PI()*AV61/10000</f>
        <v>103.02629818749874</v>
      </c>
      <c r="AZ61" s="5"/>
      <c r="BA61" s="5"/>
      <c r="BB61" s="5"/>
      <c r="BC61" s="5"/>
      <c r="BD61" s="5"/>
      <c r="BE61" s="5"/>
      <c r="BF61" s="5"/>
      <c r="BG61" s="5"/>
      <c r="BH61" s="5"/>
      <c r="BI61" s="5"/>
      <c r="BJ61" s="5"/>
      <c r="BK61" s="5"/>
      <c r="BL61" s="5">
        <f>5.9*50%</f>
        <v>2.95</v>
      </c>
      <c r="BM61" s="5">
        <f>16.5*50%</f>
        <v>8.25</v>
      </c>
      <c r="BN61" s="5">
        <f>50%*197.4</f>
        <v>98.7</v>
      </c>
      <c r="BO61" s="5">
        <f t="shared" si="5"/>
        <v>109.9</v>
      </c>
      <c r="BP61" s="5"/>
      <c r="BQ61" s="5"/>
      <c r="BR61" s="5"/>
      <c r="BS61" s="5"/>
      <c r="BT61" s="5"/>
      <c r="BU61" s="5"/>
      <c r="BV61" s="5"/>
      <c r="BW61" s="5"/>
      <c r="BX61" s="5"/>
      <c r="BY61" s="5"/>
      <c r="BZ61" s="5">
        <f t="shared" ref="BZ61:CB62" si="6">BL61-BL60</f>
        <v>0</v>
      </c>
      <c r="CA61" s="5">
        <f t="shared" si="6"/>
        <v>0.15000000000000036</v>
      </c>
      <c r="CB61" s="5">
        <f t="shared" si="6"/>
        <v>1.1000000000000085</v>
      </c>
      <c r="CC61" s="10"/>
      <c r="CD61" s="5">
        <f>BO61-BO60</f>
        <v>1.2500000000000142</v>
      </c>
      <c r="CE61" s="5"/>
      <c r="CF61" s="5"/>
      <c r="CG61" s="5"/>
      <c r="CH61" s="5"/>
      <c r="CI61" s="5"/>
      <c r="CJ61" s="5"/>
      <c r="CK61" s="5"/>
      <c r="CL61" s="10"/>
      <c r="CM61" s="10" t="s">
        <v>101</v>
      </c>
      <c r="CN61" s="10" t="s">
        <v>19</v>
      </c>
      <c r="CO61" s="11" t="s">
        <v>104</v>
      </c>
      <c r="CP61" s="12" t="s">
        <v>1</v>
      </c>
    </row>
    <row r="62" spans="1:94" s="2" customFormat="1" x14ac:dyDescent="0.25">
      <c r="A62" s="10" t="s">
        <v>99</v>
      </c>
      <c r="B62" s="10" t="s">
        <v>98</v>
      </c>
      <c r="C62" s="5" t="s">
        <v>91</v>
      </c>
      <c r="D62" s="10" t="s">
        <v>103</v>
      </c>
      <c r="E62" s="10" t="s">
        <v>102</v>
      </c>
      <c r="F62" s="10">
        <v>2008</v>
      </c>
      <c r="G62" s="10">
        <v>2008</v>
      </c>
      <c r="H62" s="10">
        <v>0</v>
      </c>
      <c r="I62" s="10">
        <v>0</v>
      </c>
      <c r="J62" s="10">
        <v>0</v>
      </c>
      <c r="K62" s="10">
        <v>0</v>
      </c>
      <c r="L62" s="10">
        <v>0</v>
      </c>
      <c r="M62" s="13">
        <v>0</v>
      </c>
      <c r="N62" s="5">
        <v>16.033329999999999</v>
      </c>
      <c r="O62" s="5">
        <v>134</v>
      </c>
      <c r="P62" s="5">
        <v>1606</v>
      </c>
      <c r="Q62" s="5">
        <v>13</v>
      </c>
      <c r="R62" s="5">
        <v>270</v>
      </c>
      <c r="S62" s="5">
        <v>63.166670000000003</v>
      </c>
      <c r="T62" s="5">
        <v>1897.6</v>
      </c>
      <c r="U62" s="5">
        <v>1.375</v>
      </c>
      <c r="V62" s="5"/>
      <c r="W62" s="5"/>
      <c r="X62" s="5"/>
      <c r="Y62" s="5"/>
      <c r="Z62" s="5"/>
      <c r="AA62" s="5"/>
      <c r="AB62" s="5"/>
      <c r="AC62" s="5"/>
      <c r="AD62" s="5"/>
      <c r="AE62" s="5"/>
      <c r="AF62" s="5"/>
      <c r="AG62" s="5"/>
      <c r="AH62" s="5"/>
      <c r="AI62" s="5"/>
      <c r="AJ62" s="5"/>
      <c r="AK62" s="5"/>
      <c r="AL62" s="5"/>
      <c r="AM62" s="5"/>
      <c r="AN62" s="5"/>
      <c r="AO62" s="5"/>
      <c r="AP62" s="5"/>
      <c r="AQ62" s="5"/>
      <c r="AR62" s="5"/>
      <c r="AS62" s="5"/>
      <c r="AT62" s="10"/>
      <c r="AU62" s="5"/>
      <c r="AV62" s="5">
        <v>8300</v>
      </c>
      <c r="AW62" s="5">
        <f>(11.6*367+12.7*7933)/8300</f>
        <v>12.651361445783131</v>
      </c>
      <c r="AX62" s="5">
        <f>(17.4*367+18.5*7933)/8300</f>
        <v>18.451361445783132</v>
      </c>
      <c r="AY62" s="5">
        <f>(AW62/2)^2*PI()*AV62/10000</f>
        <v>104.33799836625894</v>
      </c>
      <c r="AZ62" s="5"/>
      <c r="BA62" s="5"/>
      <c r="BB62" s="5"/>
      <c r="BC62" s="5"/>
      <c r="BD62" s="5"/>
      <c r="BE62" s="5"/>
      <c r="BF62" s="5"/>
      <c r="BG62" s="5"/>
      <c r="BH62" s="5"/>
      <c r="BI62" s="5"/>
      <c r="BJ62" s="5"/>
      <c r="BK62" s="5"/>
      <c r="BL62" s="5">
        <f>6.1*50%</f>
        <v>3.05</v>
      </c>
      <c r="BM62" s="5">
        <f>(16.6+16.2+16.5+16.9)/4*50%</f>
        <v>8.2749999999999986</v>
      </c>
      <c r="BN62" s="5">
        <f>50%*201.4</f>
        <v>100.7</v>
      </c>
      <c r="BO62" s="5">
        <f t="shared" si="5"/>
        <v>112.02500000000001</v>
      </c>
      <c r="BP62" s="5"/>
      <c r="BQ62" s="5"/>
      <c r="BR62" s="5"/>
      <c r="BS62" s="5"/>
      <c r="BT62" s="5"/>
      <c r="BU62" s="5"/>
      <c r="BV62" s="5"/>
      <c r="BW62" s="5"/>
      <c r="BX62" s="5"/>
      <c r="BY62" s="5"/>
      <c r="BZ62" s="5">
        <f t="shared" si="6"/>
        <v>9.9999999999999645E-2</v>
      </c>
      <c r="CA62" s="5">
        <f t="shared" si="6"/>
        <v>2.4999999999998579E-2</v>
      </c>
      <c r="CB62" s="5">
        <f t="shared" si="6"/>
        <v>2</v>
      </c>
      <c r="CC62" s="10"/>
      <c r="CD62" s="5">
        <f>BO62-BO61</f>
        <v>2.125</v>
      </c>
      <c r="CE62" s="5"/>
      <c r="CF62" s="5"/>
      <c r="CG62" s="5"/>
      <c r="CH62" s="5"/>
      <c r="CI62" s="5"/>
      <c r="CJ62" s="5"/>
      <c r="CK62" s="5"/>
      <c r="CL62" s="10"/>
      <c r="CM62" s="10" t="s">
        <v>101</v>
      </c>
      <c r="CN62" s="10" t="s">
        <v>3</v>
      </c>
      <c r="CO62" s="11" t="s">
        <v>100</v>
      </c>
      <c r="CP62" s="12" t="s">
        <v>1</v>
      </c>
    </row>
    <row r="63" spans="1:94" s="2" customFormat="1" x14ac:dyDescent="0.25">
      <c r="A63" s="10" t="s">
        <v>99</v>
      </c>
      <c r="B63" s="10" t="s">
        <v>98</v>
      </c>
      <c r="C63" s="5" t="s">
        <v>91</v>
      </c>
      <c r="D63" s="10" t="s">
        <v>97</v>
      </c>
      <c r="E63" s="10" t="s">
        <v>96</v>
      </c>
      <c r="F63" s="10">
        <v>2006</v>
      </c>
      <c r="G63" s="10">
        <v>2006</v>
      </c>
      <c r="H63" s="10">
        <v>0</v>
      </c>
      <c r="I63" s="10">
        <v>0</v>
      </c>
      <c r="J63" s="10">
        <v>0</v>
      </c>
      <c r="K63" s="10">
        <v>0</v>
      </c>
      <c r="L63" s="10">
        <v>0</v>
      </c>
      <c r="M63" s="10">
        <v>0</v>
      </c>
      <c r="N63" s="5">
        <v>15.3</v>
      </c>
      <c r="O63" s="5">
        <f>(N63-5)*12</f>
        <v>123.60000000000001</v>
      </c>
      <c r="P63" s="5">
        <v>1459</v>
      </c>
      <c r="Q63" s="5">
        <v>6</v>
      </c>
      <c r="R63" s="5">
        <v>280</v>
      </c>
      <c r="S63" s="5">
        <v>64.083330000000004</v>
      </c>
      <c r="T63" s="5">
        <v>1480.5</v>
      </c>
      <c r="U63" s="5">
        <v>1.5833330000000001</v>
      </c>
      <c r="V63" s="5"/>
      <c r="W63" s="5"/>
      <c r="X63" s="5"/>
      <c r="Y63" s="5"/>
      <c r="Z63" s="5"/>
      <c r="AA63" s="5"/>
      <c r="AB63" s="5"/>
      <c r="AC63" s="5"/>
      <c r="AD63" s="5"/>
      <c r="AE63" s="5"/>
      <c r="AF63" s="5"/>
      <c r="AG63" s="5"/>
      <c r="AH63" s="5"/>
      <c r="AI63" s="5"/>
      <c r="AJ63" s="5"/>
      <c r="AK63" s="5"/>
      <c r="AL63" s="5"/>
      <c r="AM63" s="5"/>
      <c r="AN63" s="5"/>
      <c r="AO63" s="5"/>
      <c r="AP63" s="5"/>
      <c r="AQ63" s="5"/>
      <c r="AR63" s="5"/>
      <c r="AS63" s="5"/>
      <c r="AT63" s="10"/>
      <c r="AU63" s="5"/>
      <c r="AV63" s="5">
        <v>9675</v>
      </c>
      <c r="AW63" s="5">
        <v>10.52</v>
      </c>
      <c r="AX63" s="5"/>
      <c r="AY63" s="5">
        <v>88.3</v>
      </c>
      <c r="AZ63" s="5"/>
      <c r="BA63" s="5"/>
      <c r="BB63" s="5"/>
      <c r="BC63" s="5">
        <v>41.9</v>
      </c>
      <c r="BD63" s="5">
        <v>46.4</v>
      </c>
      <c r="BE63" s="5">
        <v>46.3</v>
      </c>
      <c r="BF63" s="5">
        <v>43.2</v>
      </c>
      <c r="BG63" s="5">
        <v>44.2</v>
      </c>
      <c r="BH63" s="5">
        <v>44.3</v>
      </c>
      <c r="BI63" s="5"/>
      <c r="BJ63" s="5">
        <v>3.34</v>
      </c>
      <c r="BK63" s="5">
        <v>2.11</v>
      </c>
      <c r="BL63" s="5">
        <v>2.1</v>
      </c>
      <c r="BM63" s="5">
        <v>6.9</v>
      </c>
      <c r="BN63" s="5">
        <v>75.900000000000006</v>
      </c>
      <c r="BO63" s="5">
        <f t="shared" si="5"/>
        <v>84.9</v>
      </c>
      <c r="BP63" s="5">
        <f>BT63/BO63</f>
        <v>0.65842167255594808</v>
      </c>
      <c r="BQ63" s="5">
        <f>10.9+16.9</f>
        <v>27.799999999999997</v>
      </c>
      <c r="BR63" s="5">
        <f>18.2</f>
        <v>18.2</v>
      </c>
      <c r="BS63" s="5">
        <v>9.9</v>
      </c>
      <c r="BT63" s="5">
        <f>SUM(BQ63:BS63)</f>
        <v>55.9</v>
      </c>
      <c r="BU63" s="5">
        <f>BT63+BO63</f>
        <v>140.80000000000001</v>
      </c>
      <c r="BV63" s="5"/>
      <c r="BW63" s="5">
        <f>1.4+0.5+4.4+16.9+30.9</f>
        <v>54.099999999999994</v>
      </c>
      <c r="BX63" s="5"/>
      <c r="BY63" s="5">
        <f>BU63+BW63</f>
        <v>194.9</v>
      </c>
      <c r="BZ63" s="5"/>
      <c r="CA63" s="5"/>
      <c r="CB63" s="5"/>
      <c r="CC63" s="5"/>
      <c r="CD63" s="5"/>
      <c r="CE63" s="5"/>
      <c r="CF63" s="5"/>
      <c r="CG63" s="5"/>
      <c r="CH63" s="5"/>
      <c r="CI63" s="5"/>
      <c r="CJ63" s="5"/>
      <c r="CK63" s="5"/>
      <c r="CL63" s="5"/>
      <c r="CM63" s="10" t="s">
        <v>95</v>
      </c>
      <c r="CN63" s="10" t="s">
        <v>3</v>
      </c>
      <c r="CO63" s="11" t="s">
        <v>94</v>
      </c>
      <c r="CP63" s="12" t="s">
        <v>37</v>
      </c>
    </row>
    <row r="64" spans="1:94" s="2" customFormat="1" x14ac:dyDescent="0.25">
      <c r="A64" s="10" t="s">
        <v>93</v>
      </c>
      <c r="B64" s="10" t="s">
        <v>92</v>
      </c>
      <c r="C64" s="5" t="s">
        <v>91</v>
      </c>
      <c r="D64" s="10" t="s">
        <v>90</v>
      </c>
      <c r="E64" s="10" t="s">
        <v>89</v>
      </c>
      <c r="F64" s="10">
        <v>2004</v>
      </c>
      <c r="G64" s="10">
        <v>2005</v>
      </c>
      <c r="H64" s="10">
        <v>0</v>
      </c>
      <c r="I64" s="10">
        <v>0</v>
      </c>
      <c r="J64" s="10">
        <v>0</v>
      </c>
      <c r="K64" s="10">
        <v>0</v>
      </c>
      <c r="L64" s="10">
        <v>0</v>
      </c>
      <c r="M64" s="14">
        <v>1</v>
      </c>
      <c r="N64" s="5">
        <v>15.446149999999999</v>
      </c>
      <c r="O64" s="5">
        <v>127.8</v>
      </c>
      <c r="P64" s="5">
        <v>2075</v>
      </c>
      <c r="Q64" s="5">
        <v>66</v>
      </c>
      <c r="R64" s="5">
        <v>30</v>
      </c>
      <c r="S64" s="5">
        <v>73</v>
      </c>
      <c r="T64" s="5">
        <v>1949.9</v>
      </c>
      <c r="U64" s="5">
        <v>3.4461539999999999</v>
      </c>
      <c r="V64" s="5"/>
      <c r="W64" s="5">
        <v>3.5</v>
      </c>
      <c r="X64" s="5">
        <v>4.7</v>
      </c>
      <c r="Y64" s="5"/>
      <c r="Z64" s="5"/>
      <c r="AA64" s="5"/>
      <c r="AB64" s="5"/>
      <c r="AC64" s="5"/>
      <c r="AD64" s="5"/>
      <c r="AE64" s="5"/>
      <c r="AF64" s="5"/>
      <c r="AG64" s="5"/>
      <c r="AH64" s="5"/>
      <c r="AI64" s="5"/>
      <c r="AJ64" s="5"/>
      <c r="AK64" s="5"/>
      <c r="AL64" s="5"/>
      <c r="AM64" s="5"/>
      <c r="AN64" s="5"/>
      <c r="AO64" s="5"/>
      <c r="AP64" s="5">
        <v>534</v>
      </c>
      <c r="AQ64" s="5"/>
      <c r="AR64" s="5">
        <v>91.3</v>
      </c>
      <c r="AS64" s="5">
        <v>432</v>
      </c>
      <c r="AT64" s="5">
        <f>AS64-AU64</f>
        <v>50</v>
      </c>
      <c r="AU64" s="5">
        <v>382</v>
      </c>
      <c r="AV64" s="5">
        <v>14867</v>
      </c>
      <c r="AW64" s="5">
        <v>5.9</v>
      </c>
      <c r="AX64" s="5">
        <v>9.5</v>
      </c>
      <c r="AY64" s="5">
        <v>46.4</v>
      </c>
      <c r="AZ64" s="5"/>
      <c r="BA64" s="5"/>
      <c r="BB64" s="5"/>
      <c r="BC64" s="5"/>
      <c r="BD64" s="5"/>
      <c r="BE64" s="5"/>
      <c r="BF64" s="5"/>
      <c r="BG64" s="5"/>
      <c r="BH64" s="5"/>
      <c r="BI64" s="5"/>
      <c r="BJ64" s="5"/>
      <c r="BK64" s="5"/>
      <c r="BL64" s="5">
        <f>4.56*50%</f>
        <v>2.2799999999999998</v>
      </c>
      <c r="BM64" s="5">
        <f>11.9*50%</f>
        <v>5.95</v>
      </c>
      <c r="BN64" s="5">
        <f>71.4*50%</f>
        <v>35.700000000000003</v>
      </c>
      <c r="BO64" s="5">
        <f t="shared" si="5"/>
        <v>43.930000000000007</v>
      </c>
      <c r="BP64" s="5"/>
      <c r="BQ64" s="5"/>
      <c r="BR64" s="5"/>
      <c r="BS64" s="5"/>
      <c r="BT64" s="5"/>
      <c r="BU64" s="5"/>
      <c r="BV64" s="5"/>
      <c r="BW64" s="5"/>
      <c r="BX64" s="5"/>
      <c r="BY64" s="5"/>
      <c r="BZ64" s="5">
        <f>(4.8+0.87)*50%</f>
        <v>2.835</v>
      </c>
      <c r="CA64" s="5">
        <f>3.07*50%</f>
        <v>1.5349999999999999</v>
      </c>
      <c r="CB64" s="5">
        <f>10*50%</f>
        <v>5</v>
      </c>
      <c r="CC64" s="5">
        <f>7.45*50%</f>
        <v>3.7250000000000001</v>
      </c>
      <c r="CD64" s="5">
        <f>SUM(BZ64:CB64)</f>
        <v>9.370000000000001</v>
      </c>
      <c r="CE64" s="5"/>
      <c r="CF64" s="5"/>
      <c r="CG64" s="5"/>
      <c r="CH64" s="5"/>
      <c r="CI64" s="5"/>
      <c r="CJ64" s="5"/>
      <c r="CK64" s="5"/>
      <c r="CL64" s="10"/>
      <c r="CM64" s="10" t="s">
        <v>88</v>
      </c>
      <c r="CN64" s="10" t="s">
        <v>3</v>
      </c>
      <c r="CO64" s="11" t="s">
        <v>87</v>
      </c>
      <c r="CP64" s="12" t="s">
        <v>37</v>
      </c>
    </row>
    <row r="65" spans="1:94" s="2" customFormat="1" ht="18.75" x14ac:dyDescent="0.25">
      <c r="A65" s="10" t="s">
        <v>71</v>
      </c>
      <c r="B65" s="10" t="s">
        <v>79</v>
      </c>
      <c r="C65" s="5" t="s">
        <v>69</v>
      </c>
      <c r="D65" s="10" t="s">
        <v>467</v>
      </c>
      <c r="E65" s="10" t="s">
        <v>86</v>
      </c>
      <c r="F65" s="10">
        <v>2016</v>
      </c>
      <c r="G65" s="10">
        <v>2016</v>
      </c>
      <c r="H65" s="10">
        <v>1</v>
      </c>
      <c r="I65" s="10">
        <v>1</v>
      </c>
      <c r="J65" s="10">
        <v>1</v>
      </c>
      <c r="K65" s="10">
        <v>1</v>
      </c>
      <c r="L65" s="10">
        <v>0</v>
      </c>
      <c r="M65" s="10">
        <v>0</v>
      </c>
      <c r="N65" s="5">
        <v>13.1</v>
      </c>
      <c r="O65" s="5">
        <f>(N65-5)*12</f>
        <v>97.199999999999989</v>
      </c>
      <c r="P65" s="5">
        <v>1512</v>
      </c>
      <c r="Q65" s="5"/>
      <c r="R65" s="5">
        <v>50</v>
      </c>
      <c r="S65" s="5"/>
      <c r="T65" s="5"/>
      <c r="U65" s="5"/>
      <c r="V65" s="5"/>
      <c r="W65" s="5"/>
      <c r="X65" s="5">
        <f>(4.59+4.45)/2</f>
        <v>4.5199999999999996</v>
      </c>
      <c r="Y65" s="5">
        <f>(0.23+0.2)/2</f>
        <v>0.21500000000000002</v>
      </c>
      <c r="Z65" s="5"/>
      <c r="AA65" s="5"/>
      <c r="AB65" s="5">
        <f>(174.5+132.2)/2</f>
        <v>153.35</v>
      </c>
      <c r="AC65" s="5"/>
      <c r="AD65" s="5"/>
      <c r="AE65" s="5">
        <f>(3.84+3.74)/2</f>
        <v>3.79</v>
      </c>
      <c r="AF65" s="5">
        <f>(3.49+2.49)/2</f>
        <v>2.99</v>
      </c>
      <c r="AG65" s="5">
        <f>(0.07+0.06)/2</f>
        <v>6.5000000000000002E-2</v>
      </c>
      <c r="AH65" s="5">
        <f>(53+47)/2</f>
        <v>50</v>
      </c>
      <c r="AI65" s="5">
        <f>(37+40)/2</f>
        <v>38.5</v>
      </c>
      <c r="AJ65" s="5">
        <f>(10+13)/2</f>
        <v>11.5</v>
      </c>
      <c r="AK65" s="5"/>
      <c r="AL65" s="5"/>
      <c r="AM65" s="5"/>
      <c r="AN65" s="5"/>
      <c r="AO65" s="5"/>
      <c r="AP65" s="5"/>
      <c r="AQ65" s="5"/>
      <c r="AR65" s="5"/>
      <c r="AS65" s="5"/>
      <c r="AT65" s="10"/>
      <c r="AU65" s="5"/>
      <c r="AV65" s="5">
        <v>4633</v>
      </c>
      <c r="AW65" s="5">
        <v>10.8</v>
      </c>
      <c r="AX65" s="5"/>
      <c r="AY65" s="5">
        <f>(AW65/2)^2*PI()*AV65/10000</f>
        <v>42.442376396061697</v>
      </c>
      <c r="AZ65" s="5"/>
      <c r="BA65" s="5"/>
      <c r="BB65" s="5"/>
      <c r="BC65" s="5"/>
      <c r="BD65" s="5"/>
      <c r="BE65" s="5"/>
      <c r="BF65" s="5">
        <v>42.9</v>
      </c>
      <c r="BG65" s="5"/>
      <c r="BH65" s="5">
        <v>45</v>
      </c>
      <c r="BI65" s="5"/>
      <c r="BJ65" s="5">
        <v>2.48</v>
      </c>
      <c r="BK65" s="5">
        <v>2.0299999999999998</v>
      </c>
      <c r="BL65" s="5">
        <v>1.738</v>
      </c>
      <c r="BM65" s="5">
        <v>3.7831000000000001</v>
      </c>
      <c r="BN65" s="5">
        <v>20.810500000000001</v>
      </c>
      <c r="BO65" s="5">
        <v>26.331600000000002</v>
      </c>
      <c r="BP65" s="5">
        <f>BT65/BO65</f>
        <v>9.2235185100791442E-2</v>
      </c>
      <c r="BQ65" s="5">
        <v>1.0106999999999999</v>
      </c>
      <c r="BR65" s="5">
        <v>1.4179999999999999</v>
      </c>
      <c r="BS65" s="5"/>
      <c r="BT65" s="5">
        <f>BQ65+BR65</f>
        <v>2.4287000000000001</v>
      </c>
      <c r="BU65" s="5">
        <f>BT65+BO65</f>
        <v>28.760300000000001</v>
      </c>
      <c r="BV65" s="5"/>
      <c r="BW65" s="5"/>
      <c r="BX65" s="5"/>
      <c r="BY65" s="5"/>
      <c r="BZ65" s="5"/>
      <c r="CA65" s="5"/>
      <c r="CB65" s="5"/>
      <c r="CC65" s="5"/>
      <c r="CD65" s="5"/>
      <c r="CE65" s="5"/>
      <c r="CF65" s="5"/>
      <c r="CG65" s="5"/>
      <c r="CH65" s="5"/>
      <c r="CI65" s="5"/>
      <c r="CJ65" s="5"/>
      <c r="CK65" s="5"/>
      <c r="CL65" s="5"/>
      <c r="CM65" s="10" t="s">
        <v>76</v>
      </c>
      <c r="CN65" s="10" t="s">
        <v>3</v>
      </c>
      <c r="CO65" s="11"/>
      <c r="CP65" s="12" t="s">
        <v>37</v>
      </c>
    </row>
    <row r="66" spans="1:94" s="2" customFormat="1" x14ac:dyDescent="0.25">
      <c r="A66" s="10" t="s">
        <v>71</v>
      </c>
      <c r="B66" s="10" t="s">
        <v>85</v>
      </c>
      <c r="C66" s="5" t="s">
        <v>84</v>
      </c>
      <c r="D66" s="10" t="s">
        <v>83</v>
      </c>
      <c r="E66" s="10" t="s">
        <v>82</v>
      </c>
      <c r="F66" s="10">
        <v>2005</v>
      </c>
      <c r="G66" s="10">
        <v>2005</v>
      </c>
      <c r="H66" s="10">
        <v>1</v>
      </c>
      <c r="I66" s="10">
        <v>1</v>
      </c>
      <c r="J66" s="10">
        <v>1</v>
      </c>
      <c r="K66" s="10">
        <v>1</v>
      </c>
      <c r="L66" s="10">
        <v>0</v>
      </c>
      <c r="M66" s="10">
        <v>0</v>
      </c>
      <c r="N66" s="5">
        <f>(0.3+26)/2</f>
        <v>13.15</v>
      </c>
      <c r="O66" s="5">
        <f>(N66-5)*12</f>
        <v>97.800000000000011</v>
      </c>
      <c r="P66" s="5">
        <v>1503</v>
      </c>
      <c r="Q66" s="5"/>
      <c r="R66" s="5">
        <v>33</v>
      </c>
      <c r="S66" s="5"/>
      <c r="T66" s="5"/>
      <c r="U66" s="5"/>
      <c r="V66" s="5"/>
      <c r="W66" s="5"/>
      <c r="X66" s="5">
        <v>4.45</v>
      </c>
      <c r="Y66" s="5">
        <v>0.97</v>
      </c>
      <c r="Z66" s="5"/>
      <c r="AA66" s="5"/>
      <c r="AB66" s="5">
        <v>382.85</v>
      </c>
      <c r="AC66" s="5"/>
      <c r="AD66" s="5">
        <v>6.1</v>
      </c>
      <c r="AE66" s="5">
        <v>0.28999999999999998</v>
      </c>
      <c r="AF66" s="5">
        <v>2</v>
      </c>
      <c r="AG66" s="5">
        <v>0.53</v>
      </c>
      <c r="AH66" s="5"/>
      <c r="AI66" s="5"/>
      <c r="AJ66" s="5"/>
      <c r="AK66" s="5">
        <v>45.1</v>
      </c>
      <c r="AL66" s="5">
        <v>17.3</v>
      </c>
      <c r="AM66" s="5">
        <v>6.1</v>
      </c>
      <c r="AN66" s="5">
        <v>3.6</v>
      </c>
      <c r="AO66" s="5">
        <v>3.5</v>
      </c>
      <c r="AP66" s="5"/>
      <c r="AQ66" s="5"/>
      <c r="AR66" s="5"/>
      <c r="AS66" s="5"/>
      <c r="AT66" s="10"/>
      <c r="AU66" s="5"/>
      <c r="AV66" s="5">
        <v>6133</v>
      </c>
      <c r="AW66" s="5">
        <v>8.3000000000000007</v>
      </c>
      <c r="AX66" s="5">
        <v>12</v>
      </c>
      <c r="AY66" s="5">
        <f>(AW66/2)^2*PI()*AV66/10000</f>
        <v>33.183258542906927</v>
      </c>
      <c r="AZ66" s="5"/>
      <c r="BA66" s="5"/>
      <c r="BB66" s="5"/>
      <c r="BC66" s="5"/>
      <c r="BD66" s="5"/>
      <c r="BE66" s="5"/>
      <c r="BF66" s="5"/>
      <c r="BG66" s="5"/>
      <c r="BH66" s="5"/>
      <c r="BI66" s="5"/>
      <c r="BJ66" s="5"/>
      <c r="BK66" s="5"/>
      <c r="BL66" s="5">
        <f>16.29/2</f>
        <v>8.1449999999999996</v>
      </c>
      <c r="BM66" s="5">
        <f>11.17/2</f>
        <v>5.585</v>
      </c>
      <c r="BN66" s="5">
        <f>40.98/2</f>
        <v>20.49</v>
      </c>
      <c r="BO66" s="5">
        <f>69.65/2</f>
        <v>34.825000000000003</v>
      </c>
      <c r="BP66" s="5">
        <f>BT66/BO66</f>
        <v>0.3043790380473797</v>
      </c>
      <c r="BQ66" s="5">
        <f>7.45/2</f>
        <v>3.7250000000000001</v>
      </c>
      <c r="BR66" s="5">
        <f>13.72/2</f>
        <v>6.86</v>
      </c>
      <c r="BS66" s="5"/>
      <c r="BT66" s="5">
        <f>(13.7+7.5)/2</f>
        <v>10.6</v>
      </c>
      <c r="BU66" s="5">
        <f>BT66+BO66</f>
        <v>45.425000000000004</v>
      </c>
      <c r="BV66" s="5"/>
      <c r="BW66" s="5"/>
      <c r="BX66" s="5"/>
      <c r="BY66" s="5"/>
      <c r="BZ66" s="5"/>
      <c r="CA66" s="5"/>
      <c r="CB66" s="5"/>
      <c r="CC66" s="5"/>
      <c r="CD66" s="5"/>
      <c r="CE66" s="5"/>
      <c r="CF66" s="5"/>
      <c r="CG66" s="5"/>
      <c r="CH66" s="5"/>
      <c r="CI66" s="5"/>
      <c r="CJ66" s="5"/>
      <c r="CK66" s="5"/>
      <c r="CL66" s="5"/>
      <c r="CM66" s="10" t="s">
        <v>81</v>
      </c>
      <c r="CN66" s="10" t="s">
        <v>3</v>
      </c>
      <c r="CO66" s="11" t="s">
        <v>80</v>
      </c>
      <c r="CP66" s="12" t="s">
        <v>37</v>
      </c>
    </row>
    <row r="67" spans="1:94" s="2" customFormat="1" x14ac:dyDescent="0.25">
      <c r="A67" s="10" t="s">
        <v>71</v>
      </c>
      <c r="B67" s="10" t="s">
        <v>79</v>
      </c>
      <c r="C67" s="5" t="s">
        <v>69</v>
      </c>
      <c r="D67" s="10" t="s">
        <v>78</v>
      </c>
      <c r="E67" s="10" t="s">
        <v>77</v>
      </c>
      <c r="F67" s="10">
        <v>2016</v>
      </c>
      <c r="G67" s="10">
        <v>2016</v>
      </c>
      <c r="H67" s="10">
        <v>1</v>
      </c>
      <c r="I67" s="10">
        <v>0</v>
      </c>
      <c r="J67" s="10">
        <v>1</v>
      </c>
      <c r="K67" s="10">
        <v>0</v>
      </c>
      <c r="L67" s="10">
        <v>0</v>
      </c>
      <c r="M67" s="10">
        <v>0</v>
      </c>
      <c r="N67" s="5">
        <v>13.1</v>
      </c>
      <c r="O67" s="5">
        <f>(N67-5)*12</f>
        <v>97.199999999999989</v>
      </c>
      <c r="P67" s="5">
        <v>1512</v>
      </c>
      <c r="Q67" s="5"/>
      <c r="R67" s="5">
        <v>67</v>
      </c>
      <c r="S67" s="5"/>
      <c r="T67" s="5"/>
      <c r="U67" s="5"/>
      <c r="V67" s="5"/>
      <c r="W67" s="5"/>
      <c r="X67" s="5">
        <f>(4.69+4.56)/2</f>
        <v>4.625</v>
      </c>
      <c r="Y67" s="5">
        <f>(0.21+0.19)/2</f>
        <v>0.2</v>
      </c>
      <c r="Z67" s="5"/>
      <c r="AA67" s="5"/>
      <c r="AB67" s="5">
        <f>(6.22+5.2)/2</f>
        <v>5.71</v>
      </c>
      <c r="AC67" s="5"/>
      <c r="AD67" s="5"/>
      <c r="AE67" s="5">
        <f>(3.18+2.27)/2</f>
        <v>2.7250000000000001</v>
      </c>
      <c r="AF67" s="5">
        <f>(1.32+1.31)/2</f>
        <v>1.3149999999999999</v>
      </c>
      <c r="AG67" s="5">
        <f>(0.03+0.03)/2</f>
        <v>0.03</v>
      </c>
      <c r="AH67" s="5">
        <f>(63+56)/2</f>
        <v>59.5</v>
      </c>
      <c r="AI67" s="5">
        <f>(29+31)/2</f>
        <v>30</v>
      </c>
      <c r="AJ67" s="5">
        <f>(8+12)/2</f>
        <v>10</v>
      </c>
      <c r="AK67" s="5"/>
      <c r="AL67" s="5"/>
      <c r="AM67" s="5"/>
      <c r="AN67" s="5"/>
      <c r="AO67" s="5"/>
      <c r="AP67" s="5"/>
      <c r="AQ67" s="5"/>
      <c r="AR67" s="5"/>
      <c r="AS67" s="5"/>
      <c r="AT67" s="10"/>
      <c r="AU67" s="5"/>
      <c r="AV67" s="5">
        <v>6833</v>
      </c>
      <c r="AW67" s="5">
        <v>10.7</v>
      </c>
      <c r="AX67" s="5"/>
      <c r="AY67" s="5">
        <f>(AW67/2)^2*PI()*AV67/10000</f>
        <v>61.442497072514541</v>
      </c>
      <c r="AZ67" s="5"/>
      <c r="BA67" s="5"/>
      <c r="BB67" s="5"/>
      <c r="BC67" s="5"/>
      <c r="BD67" s="5"/>
      <c r="BE67" s="5"/>
      <c r="BF67" s="5">
        <v>36.4</v>
      </c>
      <c r="BG67" s="5"/>
      <c r="BH67" s="5">
        <v>45.6</v>
      </c>
      <c r="BI67" s="5"/>
      <c r="BJ67" s="5">
        <v>2.46</v>
      </c>
      <c r="BK67" s="5">
        <v>2.31</v>
      </c>
      <c r="BL67" s="5">
        <v>2.9476</v>
      </c>
      <c r="BM67" s="5">
        <v>6.3715999999999999</v>
      </c>
      <c r="BN67" s="5">
        <v>39.851300000000002</v>
      </c>
      <c r="BO67" s="5">
        <v>48.900399999999998</v>
      </c>
      <c r="BP67" s="5">
        <f>BT67/BO67</f>
        <v>0.15130142084727324</v>
      </c>
      <c r="BQ67" s="5">
        <v>4.1403999999999996</v>
      </c>
      <c r="BR67" s="5">
        <v>3.2583000000000002</v>
      </c>
      <c r="BS67" s="5"/>
      <c r="BT67" s="5">
        <f>BQ67+BR67</f>
        <v>7.3986999999999998</v>
      </c>
      <c r="BU67" s="5">
        <f>BT67+BO67</f>
        <v>56.299099999999996</v>
      </c>
      <c r="BV67" s="5"/>
      <c r="BW67" s="5"/>
      <c r="BX67" s="5"/>
      <c r="BY67" s="5"/>
      <c r="BZ67" s="5"/>
      <c r="CA67" s="5"/>
      <c r="CB67" s="5"/>
      <c r="CC67" s="5"/>
      <c r="CD67" s="5"/>
      <c r="CE67" s="5"/>
      <c r="CF67" s="5"/>
      <c r="CG67" s="5"/>
      <c r="CH67" s="5"/>
      <c r="CI67" s="5"/>
      <c r="CJ67" s="5"/>
      <c r="CK67" s="5"/>
      <c r="CL67" s="5"/>
      <c r="CM67" s="10" t="s">
        <v>76</v>
      </c>
      <c r="CN67" s="10" t="s">
        <v>3</v>
      </c>
      <c r="CO67" s="11"/>
      <c r="CP67" s="12" t="s">
        <v>1</v>
      </c>
    </row>
    <row r="68" spans="1:94" s="2" customFormat="1" x14ac:dyDescent="0.25">
      <c r="A68" s="10" t="s">
        <v>71</v>
      </c>
      <c r="B68" s="10" t="s">
        <v>75</v>
      </c>
      <c r="C68" s="5" t="s">
        <v>69</v>
      </c>
      <c r="D68" s="10" t="s">
        <v>68</v>
      </c>
      <c r="E68" s="10" t="s">
        <v>74</v>
      </c>
      <c r="F68" s="10">
        <v>2011</v>
      </c>
      <c r="G68" s="10">
        <v>2011</v>
      </c>
      <c r="H68" s="10">
        <v>0</v>
      </c>
      <c r="I68" s="10">
        <v>0</v>
      </c>
      <c r="J68" s="10">
        <v>0</v>
      </c>
      <c r="K68" s="10">
        <v>0</v>
      </c>
      <c r="L68" s="10">
        <v>0</v>
      </c>
      <c r="M68" s="10">
        <v>0</v>
      </c>
      <c r="N68" s="5">
        <f>(0.3+26)/2</f>
        <v>13.15</v>
      </c>
      <c r="O68" s="5">
        <f>(N68-5)*12</f>
        <v>97.800000000000011</v>
      </c>
      <c r="P68" s="5">
        <v>1503</v>
      </c>
      <c r="Q68" s="5"/>
      <c r="R68" s="5">
        <v>33</v>
      </c>
      <c r="S68" s="5"/>
      <c r="T68" s="5"/>
      <c r="U68" s="5"/>
      <c r="V68" s="5"/>
      <c r="W68" s="5"/>
      <c r="X68" s="5">
        <v>4.45</v>
      </c>
      <c r="Y68" s="5">
        <v>0.97</v>
      </c>
      <c r="Z68" s="5"/>
      <c r="AA68" s="5"/>
      <c r="AB68" s="5">
        <v>382.85</v>
      </c>
      <c r="AC68" s="5"/>
      <c r="AD68" s="5">
        <v>6.1</v>
      </c>
      <c r="AE68" s="5">
        <v>0.28999999999999998</v>
      </c>
      <c r="AF68" s="5">
        <v>2</v>
      </c>
      <c r="AG68" s="5">
        <v>0.53</v>
      </c>
      <c r="AH68" s="5"/>
      <c r="AI68" s="5"/>
      <c r="AJ68" s="5"/>
      <c r="AK68" s="5">
        <v>45.1</v>
      </c>
      <c r="AL68" s="5">
        <v>17.3</v>
      </c>
      <c r="AM68" s="5">
        <v>6.1</v>
      </c>
      <c r="AN68" s="5">
        <v>3.6</v>
      </c>
      <c r="AO68" s="5">
        <v>3.5</v>
      </c>
      <c r="AP68" s="5"/>
      <c r="AQ68" s="5"/>
      <c r="AR68" s="5"/>
      <c r="AS68" s="5"/>
      <c r="AT68" s="10"/>
      <c r="AU68" s="5"/>
      <c r="AV68" s="5">
        <v>3050</v>
      </c>
      <c r="AW68" s="5">
        <v>8.9</v>
      </c>
      <c r="AX68" s="5">
        <v>13.2</v>
      </c>
      <c r="AY68" s="5">
        <f>(AW68/2)^2*PI()*AV68/10000</f>
        <v>18.974473499427123</v>
      </c>
      <c r="AZ68" s="5"/>
      <c r="BA68" s="5"/>
      <c r="BB68" s="5"/>
      <c r="BC68" s="5"/>
      <c r="BD68" s="5"/>
      <c r="BE68" s="5"/>
      <c r="BF68" s="5"/>
      <c r="BG68" s="5"/>
      <c r="BH68" s="5"/>
      <c r="BI68" s="5"/>
      <c r="BJ68" s="5"/>
      <c r="BK68" s="5"/>
      <c r="BL68" s="5">
        <f>8.01/2</f>
        <v>4.0049999999999999</v>
      </c>
      <c r="BM68" s="5">
        <f>9.29/2</f>
        <v>4.6449999999999996</v>
      </c>
      <c r="BN68" s="5">
        <f>40.47/2</f>
        <v>20.234999999999999</v>
      </c>
      <c r="BO68" s="5">
        <f>57.77/2</f>
        <v>28.885000000000002</v>
      </c>
      <c r="BP68" s="5">
        <f>BT68/BO68</f>
        <v>0.92348970053661072</v>
      </c>
      <c r="BQ68" s="5">
        <f>9.93/2</f>
        <v>4.9649999999999999</v>
      </c>
      <c r="BR68" s="5">
        <f>43.43/2</f>
        <v>21.715</v>
      </c>
      <c r="BS68" s="5"/>
      <c r="BT68" s="5">
        <f>53.35/2</f>
        <v>26.675000000000001</v>
      </c>
      <c r="BU68" s="5">
        <f>BT68+BO68</f>
        <v>55.56</v>
      </c>
      <c r="BV68" s="5"/>
      <c r="BW68" s="5"/>
      <c r="BX68" s="5"/>
      <c r="BY68" s="5"/>
      <c r="BZ68" s="5"/>
      <c r="CA68" s="5"/>
      <c r="CB68" s="5"/>
      <c r="CC68" s="5"/>
      <c r="CD68" s="5"/>
      <c r="CE68" s="5"/>
      <c r="CF68" s="5"/>
      <c r="CG68" s="5"/>
      <c r="CH68" s="5"/>
      <c r="CI68" s="5"/>
      <c r="CJ68" s="5"/>
      <c r="CK68" s="5"/>
      <c r="CL68" s="5"/>
      <c r="CM68" s="10" t="s">
        <v>73</v>
      </c>
      <c r="CN68" s="10" t="s">
        <v>3</v>
      </c>
      <c r="CO68" s="11" t="s">
        <v>72</v>
      </c>
      <c r="CP68" s="12" t="s">
        <v>37</v>
      </c>
    </row>
    <row r="69" spans="1:94" s="2" customFormat="1" x14ac:dyDescent="0.25">
      <c r="A69" s="10" t="s">
        <v>71</v>
      </c>
      <c r="B69" s="10" t="s">
        <v>70</v>
      </c>
      <c r="C69" s="5" t="s">
        <v>69</v>
      </c>
      <c r="D69" s="10" t="s">
        <v>68</v>
      </c>
      <c r="E69" s="10" t="s">
        <v>67</v>
      </c>
      <c r="F69" s="10">
        <v>1996</v>
      </c>
      <c r="G69" s="10">
        <v>1996</v>
      </c>
      <c r="H69" s="10">
        <v>0</v>
      </c>
      <c r="I69" s="10">
        <v>0</v>
      </c>
      <c r="J69" s="10">
        <v>0</v>
      </c>
      <c r="K69" s="10">
        <v>0</v>
      </c>
      <c r="L69" s="10">
        <v>0</v>
      </c>
      <c r="M69" s="10"/>
      <c r="N69" s="5">
        <f>(5+15)/2</f>
        <v>10</v>
      </c>
      <c r="O69" s="5">
        <f>(N69-5)*12</f>
        <v>60</v>
      </c>
      <c r="P69" s="5"/>
      <c r="Q69" s="5"/>
      <c r="R69" s="5">
        <v>150</v>
      </c>
      <c r="S69" s="5"/>
      <c r="T69" s="5"/>
      <c r="U69" s="5"/>
      <c r="V69" s="5"/>
      <c r="W69" s="5"/>
      <c r="X69" s="5">
        <v>4.8</v>
      </c>
      <c r="Y69" s="5">
        <v>0.34200000000000003</v>
      </c>
      <c r="Z69" s="5"/>
      <c r="AA69" s="5"/>
      <c r="AB69" s="5">
        <v>281.10000000000002</v>
      </c>
      <c r="AC69" s="5"/>
      <c r="AD69" s="5"/>
      <c r="AE69" s="5">
        <v>0.35</v>
      </c>
      <c r="AF69" s="5">
        <v>1.48</v>
      </c>
      <c r="AG69" s="5">
        <v>0.2</v>
      </c>
      <c r="AH69" s="5"/>
      <c r="AI69" s="5"/>
      <c r="AJ69" s="5"/>
      <c r="AK69" s="5"/>
      <c r="AL69" s="5"/>
      <c r="AM69" s="5"/>
      <c r="AN69" s="5"/>
      <c r="AO69" s="5"/>
      <c r="AP69" s="5"/>
      <c r="AQ69" s="5"/>
      <c r="AR69" s="5"/>
      <c r="AS69" s="5"/>
      <c r="AT69" s="10"/>
      <c r="AU69" s="5"/>
      <c r="AV69" s="5">
        <v>7500</v>
      </c>
      <c r="AW69" s="5">
        <v>8.1999999999999993</v>
      </c>
      <c r="AX69" s="5">
        <v>11.9</v>
      </c>
      <c r="AY69" s="5">
        <v>40.5</v>
      </c>
      <c r="AZ69" s="5"/>
      <c r="BA69" s="5"/>
      <c r="BB69" s="5"/>
      <c r="BC69" s="5"/>
      <c r="BD69" s="5"/>
      <c r="BE69" s="5"/>
      <c r="BF69" s="5"/>
      <c r="BG69" s="5"/>
      <c r="BH69" s="5"/>
      <c r="BI69" s="5"/>
      <c r="BJ69" s="5"/>
      <c r="BK69" s="5"/>
      <c r="BL69" s="5">
        <f>3.849/2</f>
        <v>1.9245000000000001</v>
      </c>
      <c r="BM69" s="5">
        <f>6.499/2</f>
        <v>3.2494999999999998</v>
      </c>
      <c r="BN69" s="5">
        <f>61.428/2</f>
        <v>30.713999999999999</v>
      </c>
      <c r="BO69" s="5">
        <f>71.76/2</f>
        <v>35.880000000000003</v>
      </c>
      <c r="BP69" s="5">
        <f>BT69/BO69</f>
        <v>0.44377090301003341</v>
      </c>
      <c r="BQ69" s="5">
        <f>9.928/2</f>
        <v>4.9640000000000004</v>
      </c>
      <c r="BR69" s="5">
        <f>21.917/2</f>
        <v>10.958500000000001</v>
      </c>
      <c r="BS69" s="5"/>
      <c r="BT69" s="5">
        <f>31.845/2</f>
        <v>15.922499999999999</v>
      </c>
      <c r="BU69" s="5">
        <f>BT69+BO69</f>
        <v>51.802500000000002</v>
      </c>
      <c r="BV69" s="5"/>
      <c r="BW69" s="5"/>
      <c r="BX69" s="5"/>
      <c r="BY69" s="5"/>
      <c r="BZ69" s="5">
        <f>1.366/2</f>
        <v>0.68300000000000005</v>
      </c>
      <c r="CA69" s="5">
        <f>0.69/2</f>
        <v>0.34499999999999997</v>
      </c>
      <c r="CB69" s="5">
        <f>6.115/2</f>
        <v>3.0575000000000001</v>
      </c>
      <c r="CC69" s="5"/>
      <c r="CD69" s="5">
        <f>8.171/2</f>
        <v>4.0854999999999997</v>
      </c>
      <c r="CE69" s="5">
        <f>1.027/2</f>
        <v>0.51349999999999996</v>
      </c>
      <c r="CF69" s="5">
        <f>2.266/2</f>
        <v>1.133</v>
      </c>
      <c r="CG69" s="5"/>
      <c r="CH69" s="5">
        <f>3.293/2</f>
        <v>1.6465000000000001</v>
      </c>
      <c r="CI69" s="5">
        <f>CD69+CH69</f>
        <v>5.7319999999999993</v>
      </c>
      <c r="CJ69" s="5"/>
      <c r="CK69" s="5"/>
      <c r="CL69" s="5"/>
      <c r="CM69" s="10" t="s">
        <v>66</v>
      </c>
      <c r="CN69" s="10" t="s">
        <v>3</v>
      </c>
      <c r="CO69" s="11" t="s">
        <v>65</v>
      </c>
      <c r="CP69" s="12" t="s">
        <v>37</v>
      </c>
    </row>
    <row r="70" spans="1:94" s="2" customFormat="1" ht="18.75" x14ac:dyDescent="0.25">
      <c r="A70" s="10" t="s">
        <v>9</v>
      </c>
      <c r="B70" s="10" t="s">
        <v>64</v>
      </c>
      <c r="C70" s="5" t="s">
        <v>63</v>
      </c>
      <c r="D70" s="10" t="s">
        <v>51</v>
      </c>
      <c r="E70" s="10" t="s">
        <v>62</v>
      </c>
      <c r="F70" s="10">
        <v>2007</v>
      </c>
      <c r="G70" s="10">
        <v>2007</v>
      </c>
      <c r="H70" s="10">
        <v>0</v>
      </c>
      <c r="I70" s="10">
        <v>0</v>
      </c>
      <c r="J70" s="10">
        <v>0</v>
      </c>
      <c r="K70" s="10">
        <v>1</v>
      </c>
      <c r="L70" s="10">
        <v>0</v>
      </c>
      <c r="M70" s="10">
        <v>0</v>
      </c>
      <c r="N70" s="5">
        <v>15.3</v>
      </c>
      <c r="O70" s="5">
        <v>123.60000000000001</v>
      </c>
      <c r="P70" s="5">
        <v>4618</v>
      </c>
      <c r="Q70" s="5">
        <v>0</v>
      </c>
      <c r="R70" s="5">
        <v>1300</v>
      </c>
      <c r="S70" s="5">
        <v>87.9</v>
      </c>
      <c r="T70" s="5">
        <v>1449.4</v>
      </c>
      <c r="U70" s="5">
        <v>1.233333</v>
      </c>
      <c r="V70" s="5"/>
      <c r="W70" s="5">
        <f>(3.8+4.04)/2</f>
        <v>3.92</v>
      </c>
      <c r="X70" s="5">
        <f>(4.6+5.1)/2</f>
        <v>4.8499999999999996</v>
      </c>
      <c r="Y70" s="5">
        <f>(0.68+0.56)/2</f>
        <v>0.62000000000000011</v>
      </c>
      <c r="Z70" s="5"/>
      <c r="AA70" s="5"/>
      <c r="AB70" s="5">
        <f>1.96*(16*5+30*2)/30</f>
        <v>9.1466666666666665</v>
      </c>
      <c r="AC70" s="5"/>
      <c r="AD70" s="5">
        <f>(2.93+2.52)/2</f>
        <v>2.7250000000000001</v>
      </c>
      <c r="AE70" s="5">
        <f>(0.3415+0.4335)/2</f>
        <v>0.38750000000000001</v>
      </c>
      <c r="AF70" s="5">
        <f>(0.5951+0.7592)/2</f>
        <v>0.67714999999999992</v>
      </c>
      <c r="AG70" s="5">
        <f>(0.1174+0.1507)/2</f>
        <v>0.13405</v>
      </c>
      <c r="AH70" s="5">
        <f>(28+33.4)/2</f>
        <v>30.7</v>
      </c>
      <c r="AI70" s="5">
        <f>(34.8+24.6)/2</f>
        <v>29.7</v>
      </c>
      <c r="AJ70" s="5">
        <f>(37.2+42)/2</f>
        <v>39.6</v>
      </c>
      <c r="AK70" s="5"/>
      <c r="AL70" s="5"/>
      <c r="AM70" s="5"/>
      <c r="AN70" s="5"/>
      <c r="AO70" s="5"/>
      <c r="AP70" s="5"/>
      <c r="AQ70" s="5"/>
      <c r="AR70" s="5"/>
      <c r="AS70" s="5"/>
      <c r="AT70" s="10"/>
      <c r="AU70" s="5"/>
      <c r="AV70" s="5">
        <v>8344</v>
      </c>
      <c r="AW70" s="5">
        <v>10.6</v>
      </c>
      <c r="AX70" s="5">
        <v>21.4</v>
      </c>
      <c r="AY70" s="5">
        <f t="shared" ref="AY70:AY85" si="7">(AW70/2)^2*PI()*AV70/10000</f>
        <v>73.633578526263037</v>
      </c>
      <c r="AZ70" s="5"/>
      <c r="BA70" s="5"/>
      <c r="BB70" s="5"/>
      <c r="BC70" s="5">
        <v>45.67</v>
      </c>
      <c r="BD70" s="5">
        <v>48.27</v>
      </c>
      <c r="BE70" s="5">
        <v>48.34</v>
      </c>
      <c r="BF70" s="5"/>
      <c r="BG70" s="5"/>
      <c r="BH70" s="5"/>
      <c r="BI70" s="5"/>
      <c r="BJ70" s="5">
        <v>5.74</v>
      </c>
      <c r="BK70" s="5">
        <v>4</v>
      </c>
      <c r="BL70" s="5">
        <f>4.4*BC70/100</f>
        <v>2.0094800000000004</v>
      </c>
      <c r="BM70" s="5">
        <f>12*BD70/100</f>
        <v>5.7923999999999998</v>
      </c>
      <c r="BN70" s="5">
        <f>151.7*BE70/100</f>
        <v>73.331779999999995</v>
      </c>
      <c r="BO70" s="5">
        <f>BL70+BM70+BN70</f>
        <v>81.133659999999992</v>
      </c>
      <c r="BP70" s="5"/>
      <c r="BQ70" s="5"/>
      <c r="BR70" s="5"/>
      <c r="BS70" s="5"/>
      <c r="BT70" s="5"/>
      <c r="BU70" s="5"/>
      <c r="BV70" s="5"/>
      <c r="BW70" s="5"/>
      <c r="BX70" s="5"/>
      <c r="BY70" s="5"/>
      <c r="BZ70" s="5"/>
      <c r="CA70" s="5"/>
      <c r="CB70" s="5"/>
      <c r="CC70" s="5"/>
      <c r="CD70" s="5"/>
      <c r="CE70" s="5"/>
      <c r="CF70" s="5"/>
      <c r="CG70" s="5"/>
      <c r="CH70" s="5"/>
      <c r="CI70" s="5"/>
      <c r="CJ70" s="5"/>
      <c r="CK70" s="5"/>
      <c r="CL70" s="5"/>
      <c r="CM70" s="10" t="s">
        <v>468</v>
      </c>
      <c r="CN70" s="10" t="s">
        <v>3</v>
      </c>
      <c r="CO70" s="11" t="s">
        <v>49</v>
      </c>
      <c r="CP70" s="12" t="s">
        <v>37</v>
      </c>
    </row>
    <row r="71" spans="1:94" s="2" customFormat="1" x14ac:dyDescent="0.25">
      <c r="A71" s="10" t="s">
        <v>9</v>
      </c>
      <c r="B71" s="10" t="s">
        <v>26</v>
      </c>
      <c r="C71" s="5" t="s">
        <v>7</v>
      </c>
      <c r="D71" s="10" t="s">
        <v>61</v>
      </c>
      <c r="E71" s="10" t="s">
        <v>60</v>
      </c>
      <c r="F71" s="10">
        <v>2008</v>
      </c>
      <c r="G71" s="10">
        <v>2009</v>
      </c>
      <c r="H71" s="10">
        <v>1</v>
      </c>
      <c r="I71" s="10">
        <v>0</v>
      </c>
      <c r="J71" s="10">
        <v>0</v>
      </c>
      <c r="K71" s="10">
        <v>1</v>
      </c>
      <c r="L71" s="10">
        <v>0</v>
      </c>
      <c r="M71" s="10">
        <v>1</v>
      </c>
      <c r="N71" s="5">
        <v>23</v>
      </c>
      <c r="O71" s="5">
        <f>(N71-5)*12</f>
        <v>216</v>
      </c>
      <c r="P71" s="5">
        <v>2600</v>
      </c>
      <c r="Q71" s="5">
        <v>0</v>
      </c>
      <c r="R71" s="5">
        <v>1135</v>
      </c>
      <c r="S71" s="5">
        <v>81.458330000000004</v>
      </c>
      <c r="T71" s="5">
        <v>1222</v>
      </c>
      <c r="U71" s="5">
        <v>0.65833299999999995</v>
      </c>
      <c r="V71" s="5"/>
      <c r="W71" s="5"/>
      <c r="X71" s="5"/>
      <c r="Y71" s="5"/>
      <c r="Z71" s="5"/>
      <c r="AA71" s="5"/>
      <c r="AB71" s="5"/>
      <c r="AC71" s="5"/>
      <c r="AD71" s="5"/>
      <c r="AE71" s="5"/>
      <c r="AF71" s="5"/>
      <c r="AG71" s="5"/>
      <c r="AH71" s="5"/>
      <c r="AI71" s="5"/>
      <c r="AJ71" s="5"/>
      <c r="AK71" s="5"/>
      <c r="AL71" s="5"/>
      <c r="AM71" s="5"/>
      <c r="AN71" s="5"/>
      <c r="AO71" s="5"/>
      <c r="AP71" s="5"/>
      <c r="AQ71" s="5"/>
      <c r="AR71" s="5"/>
      <c r="AS71" s="5"/>
      <c r="AT71" s="10"/>
      <c r="AU71" s="5"/>
      <c r="AV71" s="5">
        <v>3767</v>
      </c>
      <c r="AW71" s="5">
        <v>9.9</v>
      </c>
      <c r="AX71" s="5">
        <v>13.4</v>
      </c>
      <c r="AY71" s="5">
        <f t="shared" si="7"/>
        <v>28.99718843375976</v>
      </c>
      <c r="AZ71" s="5">
        <v>25.1</v>
      </c>
      <c r="BA71" s="5">
        <v>6.1</v>
      </c>
      <c r="BB71" s="5">
        <v>4.5999999999999996</v>
      </c>
      <c r="BC71" s="5"/>
      <c r="BD71" s="5"/>
      <c r="BE71" s="5"/>
      <c r="BF71" s="5"/>
      <c r="BG71" s="5"/>
      <c r="BH71" s="5"/>
      <c r="BI71" s="5"/>
      <c r="BJ71" s="5"/>
      <c r="BK71" s="5"/>
      <c r="BL71" s="5">
        <f>3.2*0.5</f>
        <v>1.6</v>
      </c>
      <c r="BM71" s="5">
        <f>10.1*0.5</f>
        <v>5.05</v>
      </c>
      <c r="BN71" s="5">
        <f>60.6*0.5</f>
        <v>30.3</v>
      </c>
      <c r="BO71" s="5">
        <f>SUM(BL71:BN71)</f>
        <v>36.950000000000003</v>
      </c>
      <c r="BP71" s="5">
        <f>BT71/BO71</f>
        <v>1.23680649526387</v>
      </c>
      <c r="BQ71" s="5">
        <f>6.4*0.5</f>
        <v>3.2</v>
      </c>
      <c r="BR71" s="5">
        <f>67.1*0.5</f>
        <v>33.549999999999997</v>
      </c>
      <c r="BS71" s="5">
        <f>17.9*0.5</f>
        <v>8.9499999999999993</v>
      </c>
      <c r="BT71" s="5">
        <f>SUM(BQ71:BS71)</f>
        <v>45.7</v>
      </c>
      <c r="BU71" s="5">
        <f>BT71+BO71</f>
        <v>82.65</v>
      </c>
      <c r="BV71" s="5"/>
      <c r="BW71" s="5"/>
      <c r="BX71" s="5"/>
      <c r="BY71" s="5"/>
      <c r="BZ71" s="5">
        <f>0.3*0.5</f>
        <v>0.15</v>
      </c>
      <c r="CA71" s="5">
        <f>1.1*0.5</f>
        <v>0.55000000000000004</v>
      </c>
      <c r="CB71" s="5">
        <f>6.9*0.5</f>
        <v>3.45</v>
      </c>
      <c r="CC71" s="5"/>
      <c r="CD71" s="5">
        <f>SUM(BZ71:CC71)</f>
        <v>4.1500000000000004</v>
      </c>
      <c r="CE71" s="5"/>
      <c r="CF71" s="5"/>
      <c r="CG71" s="5"/>
      <c r="CH71" s="5"/>
      <c r="CI71" s="5"/>
      <c r="CJ71" s="5"/>
      <c r="CK71" s="5"/>
      <c r="CL71" s="5"/>
      <c r="CM71" s="10" t="s">
        <v>55</v>
      </c>
      <c r="CN71" s="10" t="s">
        <v>3</v>
      </c>
      <c r="CO71" s="11" t="s">
        <v>27</v>
      </c>
      <c r="CP71" s="12" t="s">
        <v>37</v>
      </c>
    </row>
    <row r="72" spans="1:94" s="2" customFormat="1" x14ac:dyDescent="0.25">
      <c r="A72" s="10" t="s">
        <v>9</v>
      </c>
      <c r="B72" s="10" t="s">
        <v>26</v>
      </c>
      <c r="C72" s="5" t="s">
        <v>7</v>
      </c>
      <c r="D72" s="10" t="s">
        <v>59</v>
      </c>
      <c r="E72" s="16" t="s">
        <v>58</v>
      </c>
      <c r="F72" s="10">
        <v>2008</v>
      </c>
      <c r="G72" s="10">
        <v>2009</v>
      </c>
      <c r="H72" s="10">
        <v>0</v>
      </c>
      <c r="I72" s="10">
        <v>0</v>
      </c>
      <c r="J72" s="10">
        <v>0</v>
      </c>
      <c r="K72" s="10">
        <v>0</v>
      </c>
      <c r="L72" s="10">
        <v>0</v>
      </c>
      <c r="M72" s="10">
        <v>0</v>
      </c>
      <c r="N72" s="5">
        <v>23</v>
      </c>
      <c r="O72" s="5">
        <f>(N72-5)*12</f>
        <v>216</v>
      </c>
      <c r="P72" s="5">
        <v>2600</v>
      </c>
      <c r="Q72" s="5">
        <v>0</v>
      </c>
      <c r="R72" s="5">
        <v>1135</v>
      </c>
      <c r="S72" s="5">
        <v>81.458330000000004</v>
      </c>
      <c r="T72" s="5">
        <v>1222</v>
      </c>
      <c r="U72" s="5">
        <v>0.65833299999999995</v>
      </c>
      <c r="V72" s="5"/>
      <c r="W72" s="5"/>
      <c r="X72" s="5"/>
      <c r="Y72" s="5"/>
      <c r="Z72" s="5"/>
      <c r="AA72" s="5"/>
      <c r="AB72" s="5"/>
      <c r="AC72" s="5"/>
      <c r="AD72" s="5"/>
      <c r="AE72" s="5"/>
      <c r="AF72" s="5"/>
      <c r="AG72" s="5"/>
      <c r="AH72" s="5"/>
      <c r="AI72" s="5"/>
      <c r="AJ72" s="5"/>
      <c r="AK72" s="5"/>
      <c r="AL72" s="5"/>
      <c r="AM72" s="5"/>
      <c r="AN72" s="5"/>
      <c r="AO72" s="5"/>
      <c r="AP72" s="5"/>
      <c r="AQ72" s="5"/>
      <c r="AR72" s="5"/>
      <c r="AS72" s="5"/>
      <c r="AT72" s="10"/>
      <c r="AU72" s="5"/>
      <c r="AV72" s="5">
        <v>5000</v>
      </c>
      <c r="AW72" s="5">
        <v>9.6999999999999993</v>
      </c>
      <c r="AX72" s="5">
        <v>13.6</v>
      </c>
      <c r="AY72" s="5">
        <f t="shared" si="7"/>
        <v>36.94905659703295</v>
      </c>
      <c r="AZ72" s="5">
        <v>24.6</v>
      </c>
      <c r="BA72" s="5">
        <v>5.4</v>
      </c>
      <c r="BB72" s="5">
        <v>5.6</v>
      </c>
      <c r="BC72" s="5"/>
      <c r="BD72" s="5"/>
      <c r="BE72" s="5"/>
      <c r="BF72" s="5"/>
      <c r="BG72" s="5"/>
      <c r="BH72" s="5"/>
      <c r="BI72" s="5"/>
      <c r="BJ72" s="5"/>
      <c r="BK72" s="5"/>
      <c r="BL72" s="5">
        <f>3.8*0.5</f>
        <v>1.9</v>
      </c>
      <c r="BM72" s="5">
        <f>12.4*0.5</f>
        <v>6.2</v>
      </c>
      <c r="BN72" s="5">
        <f>75.7*0.5</f>
        <v>37.85</v>
      </c>
      <c r="BO72" s="5">
        <f>SUM(BL72:BN72)</f>
        <v>45.95</v>
      </c>
      <c r="BP72" s="5">
        <f>BT72/BO72</f>
        <v>1.0228509249183895</v>
      </c>
      <c r="BQ72" s="5">
        <f>6.2*0.5</f>
        <v>3.1</v>
      </c>
      <c r="BR72" s="5">
        <f>64.8*0.5</f>
        <v>32.4</v>
      </c>
      <c r="BS72" s="5">
        <f>23*0.5</f>
        <v>11.5</v>
      </c>
      <c r="BT72" s="5">
        <f>SUM(BQ72:BS72)</f>
        <v>47</v>
      </c>
      <c r="BU72" s="5">
        <f>BT72+BO72</f>
        <v>92.95</v>
      </c>
      <c r="BV72" s="5"/>
      <c r="BW72" s="5"/>
      <c r="BX72" s="5"/>
      <c r="BY72" s="5"/>
      <c r="BZ72" s="5">
        <f>0.4*0.5</f>
        <v>0.2</v>
      </c>
      <c r="CA72" s="5">
        <f>1.6*0.5</f>
        <v>0.8</v>
      </c>
      <c r="CB72" s="5">
        <f>9.2*0.5</f>
        <v>4.5999999999999996</v>
      </c>
      <c r="CC72" s="5"/>
      <c r="CD72" s="5">
        <f>SUM(BZ72:CC72)</f>
        <v>5.6</v>
      </c>
      <c r="CE72" s="5"/>
      <c r="CF72" s="5"/>
      <c r="CG72" s="5"/>
      <c r="CH72" s="5"/>
      <c r="CI72" s="5"/>
      <c r="CJ72" s="5"/>
      <c r="CK72" s="5"/>
      <c r="CL72" s="5"/>
      <c r="CM72" s="10" t="s">
        <v>55</v>
      </c>
      <c r="CN72" s="10" t="s">
        <v>3</v>
      </c>
      <c r="CO72" s="11" t="s">
        <v>27</v>
      </c>
      <c r="CP72" s="12" t="s">
        <v>37</v>
      </c>
    </row>
    <row r="73" spans="1:94" s="2" customFormat="1" x14ac:dyDescent="0.25">
      <c r="A73" s="10" t="s">
        <v>9</v>
      </c>
      <c r="B73" s="10" t="s">
        <v>26</v>
      </c>
      <c r="C73" s="5" t="s">
        <v>7</v>
      </c>
      <c r="D73" s="16" t="s">
        <v>57</v>
      </c>
      <c r="E73" s="16" t="s">
        <v>56</v>
      </c>
      <c r="F73" s="10">
        <v>2008</v>
      </c>
      <c r="G73" s="10">
        <v>2009</v>
      </c>
      <c r="H73" s="10">
        <v>0</v>
      </c>
      <c r="I73" s="10">
        <v>0</v>
      </c>
      <c r="J73" s="10">
        <v>0</v>
      </c>
      <c r="K73" s="10">
        <v>0</v>
      </c>
      <c r="L73" s="10">
        <v>0</v>
      </c>
      <c r="M73" s="10">
        <v>0</v>
      </c>
      <c r="N73" s="5">
        <v>23</v>
      </c>
      <c r="O73" s="5">
        <f>(N73-5)*12</f>
        <v>216</v>
      </c>
      <c r="P73" s="5">
        <v>2600</v>
      </c>
      <c r="Q73" s="5">
        <v>0</v>
      </c>
      <c r="R73" s="5">
        <v>1135</v>
      </c>
      <c r="S73" s="5">
        <v>81.458330000000004</v>
      </c>
      <c r="T73" s="5">
        <v>1222</v>
      </c>
      <c r="U73" s="5">
        <v>0.65833299999999995</v>
      </c>
      <c r="V73" s="5"/>
      <c r="W73" s="5"/>
      <c r="X73" s="5"/>
      <c r="Y73" s="5"/>
      <c r="Z73" s="5"/>
      <c r="AA73" s="5"/>
      <c r="AB73" s="5"/>
      <c r="AC73" s="5"/>
      <c r="AD73" s="5"/>
      <c r="AE73" s="5"/>
      <c r="AF73" s="5"/>
      <c r="AG73" s="5"/>
      <c r="AH73" s="5"/>
      <c r="AI73" s="5"/>
      <c r="AJ73" s="5"/>
      <c r="AK73" s="5"/>
      <c r="AL73" s="5"/>
      <c r="AM73" s="5"/>
      <c r="AN73" s="5"/>
      <c r="AO73" s="5"/>
      <c r="AP73" s="5"/>
      <c r="AQ73" s="5"/>
      <c r="AR73" s="5"/>
      <c r="AS73" s="5"/>
      <c r="AT73" s="10"/>
      <c r="AU73" s="5"/>
      <c r="AV73" s="5">
        <v>5167</v>
      </c>
      <c r="AW73" s="5">
        <v>7.6</v>
      </c>
      <c r="AX73" s="5">
        <v>12.3</v>
      </c>
      <c r="AY73" s="5">
        <f t="shared" si="7"/>
        <v>23.439887744146176</v>
      </c>
      <c r="AZ73" s="5">
        <v>37.1</v>
      </c>
      <c r="BA73" s="5">
        <v>4.9000000000000004</v>
      </c>
      <c r="BB73" s="5">
        <v>1.9</v>
      </c>
      <c r="BC73" s="5"/>
      <c r="BD73" s="5"/>
      <c r="BE73" s="5"/>
      <c r="BF73" s="5"/>
      <c r="BG73" s="5"/>
      <c r="BH73" s="5"/>
      <c r="BI73" s="5"/>
      <c r="BJ73" s="5"/>
      <c r="BK73" s="5"/>
      <c r="BL73" s="5">
        <f>1.3*0.5</f>
        <v>0.65</v>
      </c>
      <c r="BM73" s="5">
        <f>5.5*0.5</f>
        <v>2.75</v>
      </c>
      <c r="BN73" s="5">
        <f>36.5*0.5</f>
        <v>18.25</v>
      </c>
      <c r="BO73" s="5">
        <f>SUM(BL73:BN73)</f>
        <v>21.65</v>
      </c>
      <c r="BP73" s="5">
        <f>BT73/BO73</f>
        <v>1.9769053117782913</v>
      </c>
      <c r="BQ73" s="5">
        <f>6.2*0.5</f>
        <v>3.1</v>
      </c>
      <c r="BR73" s="5">
        <f>64.5*0.5</f>
        <v>32.25</v>
      </c>
      <c r="BS73" s="5">
        <f>14.9*0.5</f>
        <v>7.45</v>
      </c>
      <c r="BT73" s="5">
        <f>SUM(BQ73:BS73)</f>
        <v>42.800000000000004</v>
      </c>
      <c r="BU73" s="5">
        <f>BT73+BO73</f>
        <v>64.45</v>
      </c>
      <c r="BV73" s="5"/>
      <c r="BW73" s="5"/>
      <c r="BX73" s="5"/>
      <c r="BY73" s="5"/>
      <c r="BZ73" s="5">
        <f>0.2*0.5</f>
        <v>0.1</v>
      </c>
      <c r="CA73" s="5">
        <f>0.9*0.5</f>
        <v>0.45</v>
      </c>
      <c r="CB73" s="5">
        <f>6.4*0.5</f>
        <v>3.2</v>
      </c>
      <c r="CC73" s="5"/>
      <c r="CD73" s="5">
        <f>SUM(BZ73:CC73)</f>
        <v>3.75</v>
      </c>
      <c r="CE73" s="5"/>
      <c r="CF73" s="5"/>
      <c r="CG73" s="5"/>
      <c r="CH73" s="5"/>
      <c r="CI73" s="5"/>
      <c r="CJ73" s="5"/>
      <c r="CK73" s="5"/>
      <c r="CL73" s="5"/>
      <c r="CM73" s="10" t="s">
        <v>55</v>
      </c>
      <c r="CN73" s="10" t="s">
        <v>19</v>
      </c>
      <c r="CO73" s="11" t="s">
        <v>27</v>
      </c>
      <c r="CP73" s="12" t="s">
        <v>37</v>
      </c>
    </row>
    <row r="74" spans="1:94" s="2" customFormat="1" x14ac:dyDescent="0.25">
      <c r="A74" s="10" t="s">
        <v>9</v>
      </c>
      <c r="B74" s="10" t="s">
        <v>54</v>
      </c>
      <c r="C74" s="5" t="s">
        <v>7</v>
      </c>
      <c r="D74" s="10" t="s">
        <v>33</v>
      </c>
      <c r="E74" s="10" t="s">
        <v>53</v>
      </c>
      <c r="F74" s="10">
        <v>2004</v>
      </c>
      <c r="G74" s="10">
        <v>2007</v>
      </c>
      <c r="H74" s="10">
        <v>1</v>
      </c>
      <c r="I74" s="10">
        <v>1</v>
      </c>
      <c r="J74" s="10">
        <v>1</v>
      </c>
      <c r="K74" s="10">
        <v>1</v>
      </c>
      <c r="L74" s="10">
        <v>0</v>
      </c>
      <c r="M74" s="10">
        <v>0</v>
      </c>
      <c r="N74" s="5">
        <f>(11+22)/2</f>
        <v>16.5</v>
      </c>
      <c r="O74" s="5">
        <f>(N74-5)*12</f>
        <v>138</v>
      </c>
      <c r="P74" s="5">
        <f>(1900+2500)/2</f>
        <v>2200</v>
      </c>
      <c r="Q74" s="5">
        <v>0</v>
      </c>
      <c r="R74" s="5">
        <f>(1200+1500)/2</f>
        <v>1350</v>
      </c>
      <c r="S74" s="5">
        <v>82.666669999999996</v>
      </c>
      <c r="T74" s="5">
        <v>1561.7</v>
      </c>
      <c r="U74" s="5">
        <v>1.2250000000000001</v>
      </c>
      <c r="V74" s="5"/>
      <c r="W74" s="5"/>
      <c r="X74" s="5"/>
      <c r="Y74" s="5"/>
      <c r="Z74" s="5"/>
      <c r="AA74" s="5"/>
      <c r="AB74" s="5"/>
      <c r="AC74" s="5"/>
      <c r="AD74" s="5"/>
      <c r="AE74" s="5"/>
      <c r="AF74" s="5"/>
      <c r="AG74" s="5"/>
      <c r="AH74" s="5"/>
      <c r="AI74" s="5"/>
      <c r="AJ74" s="5"/>
      <c r="AK74" s="5"/>
      <c r="AL74" s="5"/>
      <c r="AM74" s="5"/>
      <c r="AN74" s="5"/>
      <c r="AO74" s="5"/>
      <c r="AP74" s="5"/>
      <c r="AQ74" s="5"/>
      <c r="AR74" s="5"/>
      <c r="AS74" s="5"/>
      <c r="AT74" s="10"/>
      <c r="AU74" s="5"/>
      <c r="AV74" s="5">
        <v>7050</v>
      </c>
      <c r="AW74" s="5">
        <v>8.66</v>
      </c>
      <c r="AX74" s="5"/>
      <c r="AY74" s="5">
        <f t="shared" si="7"/>
        <v>41.525491584537221</v>
      </c>
      <c r="AZ74" s="5"/>
      <c r="BA74" s="5"/>
      <c r="BB74" s="5"/>
      <c r="BC74" s="5">
        <v>45.44</v>
      </c>
      <c r="BD74" s="5">
        <v>48.15</v>
      </c>
      <c r="BE74" s="5">
        <v>46.28</v>
      </c>
      <c r="BF74" s="5"/>
      <c r="BG74" s="5"/>
      <c r="BH74" s="5"/>
      <c r="BI74" s="5"/>
      <c r="BJ74" s="5"/>
      <c r="BK74" s="5"/>
      <c r="BL74" s="5">
        <f>3.19*BC74/100</f>
        <v>1.4495359999999999</v>
      </c>
      <c r="BM74" s="5">
        <f>10.19*BD74/100</f>
        <v>4.906485</v>
      </c>
      <c r="BN74" s="5">
        <f>71.94*BE74/100</f>
        <v>33.293831999999995</v>
      </c>
      <c r="BO74" s="5">
        <f>BL74+BM74+BN74</f>
        <v>39.649852999999993</v>
      </c>
      <c r="BP74" s="5"/>
      <c r="BQ74" s="5"/>
      <c r="BR74" s="5"/>
      <c r="BS74" s="5"/>
      <c r="BT74" s="5"/>
      <c r="BU74" s="5"/>
      <c r="BV74" s="5"/>
      <c r="BW74" s="5"/>
      <c r="BX74" s="5"/>
      <c r="BY74" s="5"/>
      <c r="BZ74" s="5"/>
      <c r="CA74" s="5"/>
      <c r="CB74" s="5"/>
      <c r="CC74" s="5"/>
      <c r="CD74" s="5"/>
      <c r="CE74" s="5"/>
      <c r="CF74" s="5"/>
      <c r="CG74" s="5"/>
      <c r="CH74" s="5"/>
      <c r="CI74" s="5"/>
      <c r="CJ74" s="5"/>
      <c r="CK74" s="5"/>
      <c r="CL74" s="5"/>
      <c r="CM74" s="10" t="s">
        <v>31</v>
      </c>
      <c r="CN74" s="10" t="s">
        <v>3</v>
      </c>
      <c r="CO74" s="11" t="s">
        <v>30</v>
      </c>
      <c r="CP74" s="12" t="s">
        <v>37</v>
      </c>
    </row>
    <row r="75" spans="1:94" s="2" customFormat="1" ht="18.75" x14ac:dyDescent="0.25">
      <c r="A75" s="10" t="s">
        <v>9</v>
      </c>
      <c r="B75" s="10" t="s">
        <v>52</v>
      </c>
      <c r="C75" s="5" t="s">
        <v>17</v>
      </c>
      <c r="D75" s="10" t="s">
        <v>51</v>
      </c>
      <c r="E75" s="10" t="s">
        <v>50</v>
      </c>
      <c r="F75" s="10">
        <v>2007</v>
      </c>
      <c r="G75" s="10">
        <v>2007</v>
      </c>
      <c r="H75" s="10">
        <v>0</v>
      </c>
      <c r="I75" s="10">
        <v>0</v>
      </c>
      <c r="J75" s="10">
        <v>0</v>
      </c>
      <c r="K75" s="10">
        <v>0</v>
      </c>
      <c r="L75" s="10">
        <v>0</v>
      </c>
      <c r="M75" s="10">
        <v>0</v>
      </c>
      <c r="N75" s="5">
        <v>20.3</v>
      </c>
      <c r="O75" s="5">
        <v>183.60000000000002</v>
      </c>
      <c r="P75" s="5">
        <v>3389</v>
      </c>
      <c r="Q75" s="5">
        <v>0</v>
      </c>
      <c r="R75" s="5">
        <v>667</v>
      </c>
      <c r="S75" s="5">
        <v>85.2</v>
      </c>
      <c r="T75" s="5">
        <v>1599.1</v>
      </c>
      <c r="U75" s="5">
        <v>1.26</v>
      </c>
      <c r="V75" s="5"/>
      <c r="W75" s="5">
        <f>(3.75+3.8)/2</f>
        <v>3.7749999999999999</v>
      </c>
      <c r="X75" s="5">
        <f>(4.6+4.6)/2</f>
        <v>4.5999999999999996</v>
      </c>
      <c r="Y75" s="5">
        <f>(0.55+0.4)/2</f>
        <v>0.47500000000000003</v>
      </c>
      <c r="Z75" s="5"/>
      <c r="AA75" s="5"/>
      <c r="AB75" s="5">
        <f>0.4*(16*5+30*2)/30</f>
        <v>1.8666666666666667</v>
      </c>
      <c r="AC75" s="5"/>
      <c r="AD75" s="5">
        <f>(2.42+2.34)/2</f>
        <v>2.38</v>
      </c>
      <c r="AE75" s="5">
        <f>(0.5877+0.4611)/2</f>
        <v>0.52439999999999998</v>
      </c>
      <c r="AF75" s="5">
        <f>(1.2162+1.2237)/2</f>
        <v>1.2199499999999999</v>
      </c>
      <c r="AG75" s="5">
        <f>(0.7169+0.8386)/2</f>
        <v>0.77774999999999994</v>
      </c>
      <c r="AH75" s="5">
        <f>(36+38)/2</f>
        <v>37</v>
      </c>
      <c r="AI75" s="5">
        <f>(36.8+33)/2</f>
        <v>34.9</v>
      </c>
      <c r="AJ75" s="5">
        <f>(27.2+37.2)/2</f>
        <v>32.200000000000003</v>
      </c>
      <c r="AK75" s="5"/>
      <c r="AL75" s="5"/>
      <c r="AM75" s="5"/>
      <c r="AN75" s="5"/>
      <c r="AO75" s="5"/>
      <c r="AP75" s="5"/>
      <c r="AQ75" s="5"/>
      <c r="AR75" s="5"/>
      <c r="AS75" s="5"/>
      <c r="AT75" s="10"/>
      <c r="AU75" s="5"/>
      <c r="AV75" s="5">
        <v>7933</v>
      </c>
      <c r="AW75" s="5">
        <v>6.8</v>
      </c>
      <c r="AX75" s="5">
        <v>10.3</v>
      </c>
      <c r="AY75" s="5">
        <f t="shared" si="7"/>
        <v>28.810126226192569</v>
      </c>
      <c r="AZ75" s="5"/>
      <c r="BA75" s="5"/>
      <c r="BB75" s="5"/>
      <c r="BC75" s="5">
        <v>45.44</v>
      </c>
      <c r="BD75" s="5">
        <v>48.15</v>
      </c>
      <c r="BE75" s="5">
        <v>46.28</v>
      </c>
      <c r="BF75" s="5">
        <v>44.87</v>
      </c>
      <c r="BG75" s="5">
        <v>44.87</v>
      </c>
      <c r="BH75" s="5">
        <v>43.54</v>
      </c>
      <c r="BI75" s="5"/>
      <c r="BJ75" s="5">
        <v>3.52</v>
      </c>
      <c r="BK75" s="5">
        <v>2.27</v>
      </c>
      <c r="BL75" s="5">
        <f>3.6*BC75/100</f>
        <v>1.63584</v>
      </c>
      <c r="BM75" s="5">
        <f>9.7*BD75/100</f>
        <v>4.6705499999999995</v>
      </c>
      <c r="BN75" s="5">
        <f>43.1*BE75/100</f>
        <v>19.946680000000001</v>
      </c>
      <c r="BO75" s="5">
        <f>BL75+BM75+BN75</f>
        <v>26.253070000000001</v>
      </c>
      <c r="BP75" s="5">
        <f>BT75/BO75</f>
        <v>0.133317741506041</v>
      </c>
      <c r="BQ75" s="5">
        <v>0.9</v>
      </c>
      <c r="BR75" s="5">
        <v>0.5</v>
      </c>
      <c r="BS75" s="5">
        <v>2.1</v>
      </c>
      <c r="BT75" s="5">
        <f>SUM(BQ75:BS75)</f>
        <v>3.5</v>
      </c>
      <c r="BU75" s="5">
        <f>BT75+BO75</f>
        <v>29.753070000000001</v>
      </c>
      <c r="BV75" s="5"/>
      <c r="BW75" s="5">
        <v>172.8</v>
      </c>
      <c r="BX75" s="5"/>
      <c r="BY75" s="5">
        <f>BU75+BW75</f>
        <v>202.55307000000002</v>
      </c>
      <c r="BZ75" s="5"/>
      <c r="CA75" s="5"/>
      <c r="CB75" s="5"/>
      <c r="CC75" s="5"/>
      <c r="CD75" s="5">
        <f>CD77</f>
        <v>4</v>
      </c>
      <c r="CE75" s="5"/>
      <c r="CF75" s="5"/>
      <c r="CG75" s="5"/>
      <c r="CH75" s="5"/>
      <c r="CI75" s="5"/>
      <c r="CJ75" s="5"/>
      <c r="CK75" s="5"/>
      <c r="CL75" s="5"/>
      <c r="CM75" s="10" t="s">
        <v>469</v>
      </c>
      <c r="CN75" s="10" t="s">
        <v>3</v>
      </c>
      <c r="CO75" s="11" t="s">
        <v>49</v>
      </c>
      <c r="CP75" s="12" t="s">
        <v>37</v>
      </c>
    </row>
    <row r="76" spans="1:94" s="2" customFormat="1" x14ac:dyDescent="0.25">
      <c r="A76" s="10" t="s">
        <v>9</v>
      </c>
      <c r="B76" s="10" t="s">
        <v>48</v>
      </c>
      <c r="C76" s="5" t="s">
        <v>17</v>
      </c>
      <c r="D76" s="10" t="s">
        <v>47</v>
      </c>
      <c r="E76" s="10" t="s">
        <v>46</v>
      </c>
      <c r="F76" s="10">
        <v>2007</v>
      </c>
      <c r="G76" s="10">
        <v>2009</v>
      </c>
      <c r="H76" s="10">
        <v>0</v>
      </c>
      <c r="I76" s="10">
        <v>0</v>
      </c>
      <c r="J76" s="10">
        <v>0</v>
      </c>
      <c r="K76" s="10">
        <v>0</v>
      </c>
      <c r="L76" s="10">
        <v>0</v>
      </c>
      <c r="M76" s="10">
        <v>0</v>
      </c>
      <c r="N76" s="5">
        <v>20.3</v>
      </c>
      <c r="O76" s="5">
        <v>183.60000000000002</v>
      </c>
      <c r="P76" s="5">
        <v>3389</v>
      </c>
      <c r="Q76" s="5">
        <v>0</v>
      </c>
      <c r="R76" s="5">
        <v>667</v>
      </c>
      <c r="S76" s="5">
        <v>85.2</v>
      </c>
      <c r="T76" s="5">
        <v>1657.133</v>
      </c>
      <c r="U76" s="5">
        <v>1.2944439999999999</v>
      </c>
      <c r="V76" s="5"/>
      <c r="W76" s="5"/>
      <c r="X76" s="5"/>
      <c r="Y76" s="5"/>
      <c r="Z76" s="5"/>
      <c r="AA76" s="5"/>
      <c r="AB76" s="5"/>
      <c r="AC76" s="5"/>
      <c r="AD76" s="5"/>
      <c r="AE76" s="5"/>
      <c r="AF76" s="5"/>
      <c r="AG76" s="5"/>
      <c r="AH76" s="5"/>
      <c r="AI76" s="5"/>
      <c r="AJ76" s="5"/>
      <c r="AK76" s="5"/>
      <c r="AL76" s="5"/>
      <c r="AM76" s="5"/>
      <c r="AN76" s="5"/>
      <c r="AO76" s="5"/>
      <c r="AP76" s="5"/>
      <c r="AQ76" s="5"/>
      <c r="AR76" s="5"/>
      <c r="AS76" s="5"/>
      <c r="AT76" s="10"/>
      <c r="AU76" s="5"/>
      <c r="AV76" s="5">
        <v>11467</v>
      </c>
      <c r="AW76" s="5">
        <v>5.9</v>
      </c>
      <c r="AX76" s="5">
        <v>9.5</v>
      </c>
      <c r="AY76" s="5">
        <f t="shared" si="7"/>
        <v>31.350445534820999</v>
      </c>
      <c r="AZ76" s="5"/>
      <c r="BA76" s="5"/>
      <c r="BB76" s="5"/>
      <c r="BC76" s="5">
        <v>45.44</v>
      </c>
      <c r="BD76" s="5">
        <v>48.15</v>
      </c>
      <c r="BE76" s="5">
        <v>46.28</v>
      </c>
      <c r="BF76" s="5"/>
      <c r="BG76" s="5"/>
      <c r="BH76" s="5"/>
      <c r="BI76" s="5"/>
      <c r="BJ76" s="5"/>
      <c r="BK76" s="5"/>
      <c r="BL76" s="5"/>
      <c r="BM76" s="5"/>
      <c r="BN76" s="5"/>
      <c r="BO76" s="5">
        <v>29.5</v>
      </c>
      <c r="BP76" s="5"/>
      <c r="BQ76" s="5"/>
      <c r="BR76" s="5"/>
      <c r="BS76" s="5"/>
      <c r="BT76" s="5"/>
      <c r="BU76" s="5"/>
      <c r="BV76" s="5"/>
      <c r="BW76" s="5"/>
      <c r="BX76" s="5"/>
      <c r="BY76" s="5"/>
      <c r="BZ76" s="5"/>
      <c r="CA76" s="5"/>
      <c r="CB76" s="5"/>
      <c r="CC76" s="5"/>
      <c r="CD76" s="5">
        <f>(4.1+1.7)/2</f>
        <v>2.9</v>
      </c>
      <c r="CE76" s="5"/>
      <c r="CF76" s="5"/>
      <c r="CG76" s="5"/>
      <c r="CH76" s="5"/>
      <c r="CI76" s="5"/>
      <c r="CJ76" s="5"/>
      <c r="CK76" s="5"/>
      <c r="CL76" s="5"/>
      <c r="CM76" s="10" t="s">
        <v>39</v>
      </c>
      <c r="CN76" s="10" t="s">
        <v>3</v>
      </c>
      <c r="CO76" s="11" t="s">
        <v>38</v>
      </c>
      <c r="CP76" s="12" t="s">
        <v>37</v>
      </c>
    </row>
    <row r="77" spans="1:94" s="2" customFormat="1" x14ac:dyDescent="0.25">
      <c r="A77" s="10" t="s">
        <v>9</v>
      </c>
      <c r="B77" s="10" t="s">
        <v>45</v>
      </c>
      <c r="C77" s="5" t="s">
        <v>17</v>
      </c>
      <c r="D77" s="10" t="s">
        <v>44</v>
      </c>
      <c r="E77" s="10" t="s">
        <v>43</v>
      </c>
      <c r="F77" s="10">
        <v>2007</v>
      </c>
      <c r="G77" s="10">
        <v>2009</v>
      </c>
      <c r="H77" s="10">
        <v>1</v>
      </c>
      <c r="I77" s="10">
        <v>0</v>
      </c>
      <c r="J77" s="10">
        <v>1</v>
      </c>
      <c r="K77" s="10">
        <v>0</v>
      </c>
      <c r="L77" s="10">
        <v>1</v>
      </c>
      <c r="M77" s="10">
        <v>0</v>
      </c>
      <c r="N77" s="5">
        <v>20.3</v>
      </c>
      <c r="O77" s="5">
        <v>183.60000000000002</v>
      </c>
      <c r="P77" s="5">
        <v>3389</v>
      </c>
      <c r="Q77" s="5">
        <v>0</v>
      </c>
      <c r="R77" s="5">
        <v>667</v>
      </c>
      <c r="S77" s="5">
        <v>85.2</v>
      </c>
      <c r="T77" s="5">
        <v>1657.133</v>
      </c>
      <c r="U77" s="5">
        <v>1.2944439999999999</v>
      </c>
      <c r="V77" s="5"/>
      <c r="W77" s="5"/>
      <c r="X77" s="5"/>
      <c r="Y77" s="5"/>
      <c r="Z77" s="5"/>
      <c r="AA77" s="5"/>
      <c r="AB77" s="5"/>
      <c r="AC77" s="5"/>
      <c r="AD77" s="5"/>
      <c r="AE77" s="5"/>
      <c r="AF77" s="5"/>
      <c r="AG77" s="5"/>
      <c r="AH77" s="5"/>
      <c r="AI77" s="5"/>
      <c r="AJ77" s="5"/>
      <c r="AK77" s="5"/>
      <c r="AL77" s="5"/>
      <c r="AM77" s="5"/>
      <c r="AN77" s="5"/>
      <c r="AO77" s="5"/>
      <c r="AP77" s="5"/>
      <c r="AQ77" s="5"/>
      <c r="AR77" s="5"/>
      <c r="AS77" s="5"/>
      <c r="AT77" s="10"/>
      <c r="AU77" s="5"/>
      <c r="AV77" s="5">
        <v>5567</v>
      </c>
      <c r="AW77" s="5">
        <v>4.8</v>
      </c>
      <c r="AX77" s="5">
        <v>8</v>
      </c>
      <c r="AY77" s="5">
        <f t="shared" si="7"/>
        <v>10.073805870259802</v>
      </c>
      <c r="AZ77" s="5"/>
      <c r="BA77" s="5"/>
      <c r="BB77" s="5"/>
      <c r="BC77" s="5">
        <v>45.44</v>
      </c>
      <c r="BD77" s="5">
        <v>48.15</v>
      </c>
      <c r="BE77" s="5">
        <v>46.28</v>
      </c>
      <c r="BF77" s="5"/>
      <c r="BG77" s="5"/>
      <c r="BH77" s="5"/>
      <c r="BI77" s="5"/>
      <c r="BJ77" s="5"/>
      <c r="BK77" s="5"/>
      <c r="BL77" s="5"/>
      <c r="BM77" s="5"/>
      <c r="BN77" s="5"/>
      <c r="BO77" s="5">
        <v>8</v>
      </c>
      <c r="BP77" s="5"/>
      <c r="BQ77" s="5"/>
      <c r="BR77" s="5"/>
      <c r="BS77" s="5"/>
      <c r="BT77" s="5"/>
      <c r="BU77" s="5"/>
      <c r="BV77" s="5"/>
      <c r="BW77" s="5"/>
      <c r="BX77" s="5"/>
      <c r="BY77" s="5"/>
      <c r="BZ77" s="5"/>
      <c r="CA77" s="5"/>
      <c r="CB77" s="5"/>
      <c r="CC77" s="5"/>
      <c r="CD77" s="5">
        <f>(2.2+5.8)/2</f>
        <v>4</v>
      </c>
      <c r="CE77" s="5"/>
      <c r="CF77" s="5"/>
      <c r="CG77" s="5"/>
      <c r="CH77" s="5"/>
      <c r="CI77" s="5"/>
      <c r="CJ77" s="5"/>
      <c r="CK77" s="5"/>
      <c r="CL77" s="5"/>
      <c r="CM77" s="10" t="s">
        <v>39</v>
      </c>
      <c r="CN77" s="10" t="s">
        <v>19</v>
      </c>
      <c r="CO77" s="11" t="s">
        <v>38</v>
      </c>
      <c r="CP77" s="12" t="s">
        <v>37</v>
      </c>
    </row>
    <row r="78" spans="1:94" s="2" customFormat="1" x14ac:dyDescent="0.25">
      <c r="A78" s="10" t="s">
        <v>9</v>
      </c>
      <c r="B78" s="10" t="s">
        <v>42</v>
      </c>
      <c r="C78" s="5" t="s">
        <v>17</v>
      </c>
      <c r="D78" s="10" t="s">
        <v>41</v>
      </c>
      <c r="E78" s="10" t="s">
        <v>40</v>
      </c>
      <c r="F78" s="10">
        <v>2007</v>
      </c>
      <c r="G78" s="10">
        <v>2009</v>
      </c>
      <c r="H78" s="10">
        <v>1</v>
      </c>
      <c r="I78" s="10">
        <v>0</v>
      </c>
      <c r="J78" s="10">
        <v>1</v>
      </c>
      <c r="K78" s="10">
        <v>0</v>
      </c>
      <c r="L78" s="10">
        <v>0</v>
      </c>
      <c r="M78" s="10">
        <v>0</v>
      </c>
      <c r="N78" s="5">
        <v>20.3</v>
      </c>
      <c r="O78" s="5">
        <v>183.60000000000002</v>
      </c>
      <c r="P78" s="5">
        <v>3389</v>
      </c>
      <c r="Q78" s="5">
        <v>0</v>
      </c>
      <c r="R78" s="5">
        <v>667</v>
      </c>
      <c r="S78" s="5">
        <v>85.2</v>
      </c>
      <c r="T78" s="5">
        <v>1657.133</v>
      </c>
      <c r="U78" s="5">
        <v>1.2944439999999999</v>
      </c>
      <c r="V78" s="5"/>
      <c r="W78" s="5"/>
      <c r="X78" s="5"/>
      <c r="Y78" s="5"/>
      <c r="Z78" s="5"/>
      <c r="AA78" s="5"/>
      <c r="AB78" s="5"/>
      <c r="AC78" s="5"/>
      <c r="AD78" s="5"/>
      <c r="AE78" s="5"/>
      <c r="AF78" s="5"/>
      <c r="AG78" s="5"/>
      <c r="AH78" s="5"/>
      <c r="AI78" s="5"/>
      <c r="AJ78" s="5"/>
      <c r="AK78" s="5"/>
      <c r="AL78" s="5"/>
      <c r="AM78" s="5"/>
      <c r="AN78" s="5"/>
      <c r="AO78" s="5"/>
      <c r="AP78" s="5"/>
      <c r="AQ78" s="5"/>
      <c r="AR78" s="5"/>
      <c r="AS78" s="5"/>
      <c r="AT78" s="10"/>
      <c r="AU78" s="5"/>
      <c r="AV78" s="5">
        <v>10633</v>
      </c>
      <c r="AW78" s="5">
        <v>5.9</v>
      </c>
      <c r="AX78" s="5">
        <v>9.5</v>
      </c>
      <c r="AY78" s="5">
        <f t="shared" si="7"/>
        <v>29.070313715161038</v>
      </c>
      <c r="AZ78" s="5"/>
      <c r="BA78" s="5"/>
      <c r="BB78" s="5"/>
      <c r="BC78" s="5">
        <v>45.44</v>
      </c>
      <c r="BD78" s="5">
        <v>48.15</v>
      </c>
      <c r="BE78" s="5">
        <v>46.28</v>
      </c>
      <c r="BF78" s="5"/>
      <c r="BG78" s="5"/>
      <c r="BH78" s="5"/>
      <c r="BI78" s="5"/>
      <c r="BJ78" s="5"/>
      <c r="BK78" s="5"/>
      <c r="BL78" s="5"/>
      <c r="BM78" s="5"/>
      <c r="BN78" s="5"/>
      <c r="BO78" s="5">
        <v>28.4</v>
      </c>
      <c r="BP78" s="5"/>
      <c r="BQ78" s="5"/>
      <c r="BR78" s="5"/>
      <c r="BS78" s="5"/>
      <c r="BT78" s="5"/>
      <c r="BU78" s="5"/>
      <c r="BV78" s="5"/>
      <c r="BW78" s="5"/>
      <c r="BX78" s="5"/>
      <c r="BY78" s="5"/>
      <c r="BZ78" s="5"/>
      <c r="CA78" s="5"/>
      <c r="CB78" s="5"/>
      <c r="CC78" s="5"/>
      <c r="CD78" s="5">
        <f>(6.7+1.5)/2</f>
        <v>4.0999999999999996</v>
      </c>
      <c r="CE78" s="5"/>
      <c r="CF78" s="5"/>
      <c r="CG78" s="5"/>
      <c r="CH78" s="5"/>
      <c r="CI78" s="5"/>
      <c r="CJ78" s="5"/>
      <c r="CK78" s="5"/>
      <c r="CL78" s="5"/>
      <c r="CM78" s="10" t="s">
        <v>39</v>
      </c>
      <c r="CN78" s="10" t="s">
        <v>3</v>
      </c>
      <c r="CO78" s="11" t="s">
        <v>38</v>
      </c>
      <c r="CP78" s="12" t="s">
        <v>37</v>
      </c>
    </row>
    <row r="79" spans="1:94" s="2" customFormat="1" x14ac:dyDescent="0.25">
      <c r="A79" s="10" t="s">
        <v>9</v>
      </c>
      <c r="B79" s="10" t="s">
        <v>36</v>
      </c>
      <c r="C79" s="5" t="s">
        <v>17</v>
      </c>
      <c r="D79" s="10" t="s">
        <v>33</v>
      </c>
      <c r="E79" s="10" t="s">
        <v>35</v>
      </c>
      <c r="F79" s="10">
        <v>2004</v>
      </c>
      <c r="G79" s="10">
        <v>2007</v>
      </c>
      <c r="H79" s="10">
        <v>1</v>
      </c>
      <c r="I79" s="10">
        <v>1</v>
      </c>
      <c r="J79" s="10">
        <v>1</v>
      </c>
      <c r="K79" s="10">
        <v>1</v>
      </c>
      <c r="L79" s="10">
        <v>0</v>
      </c>
      <c r="M79" s="10">
        <v>0</v>
      </c>
      <c r="N79" s="5">
        <f>(11+22)/2</f>
        <v>16.5</v>
      </c>
      <c r="O79" s="5">
        <f t="shared" ref="O79:O86" si="8">(N79-5)*12</f>
        <v>138</v>
      </c>
      <c r="P79" s="5">
        <f>(1900+2500)/2</f>
        <v>2200</v>
      </c>
      <c r="Q79" s="5">
        <v>0</v>
      </c>
      <c r="R79" s="5">
        <f>(600+900)/2</f>
        <v>750</v>
      </c>
      <c r="S79" s="5">
        <v>82.666669999999996</v>
      </c>
      <c r="T79" s="5">
        <v>1561.7</v>
      </c>
      <c r="U79" s="5">
        <v>1.2250000000000001</v>
      </c>
      <c r="V79" s="5"/>
      <c r="W79" s="5"/>
      <c r="X79" s="5"/>
      <c r="Y79" s="5"/>
      <c r="Z79" s="5"/>
      <c r="AA79" s="5"/>
      <c r="AB79" s="5"/>
      <c r="AC79" s="5"/>
      <c r="AD79" s="5"/>
      <c r="AE79" s="5"/>
      <c r="AF79" s="5"/>
      <c r="AG79" s="5"/>
      <c r="AH79" s="5"/>
      <c r="AI79" s="5"/>
      <c r="AJ79" s="5"/>
      <c r="AK79" s="5"/>
      <c r="AL79" s="5"/>
      <c r="AM79" s="5"/>
      <c r="AN79" s="5"/>
      <c r="AO79" s="5"/>
      <c r="AP79" s="5"/>
      <c r="AQ79" s="5"/>
      <c r="AR79" s="5"/>
      <c r="AS79" s="5"/>
      <c r="AT79" s="10"/>
      <c r="AU79" s="5"/>
      <c r="AV79" s="5">
        <v>6996</v>
      </c>
      <c r="AW79" s="5">
        <v>8.73</v>
      </c>
      <c r="AX79" s="5"/>
      <c r="AY79" s="5">
        <f t="shared" si="7"/>
        <v>41.876287192360493</v>
      </c>
      <c r="AZ79" s="5"/>
      <c r="BA79" s="5"/>
      <c r="BB79" s="5"/>
      <c r="BC79" s="5">
        <v>45.44</v>
      </c>
      <c r="BD79" s="5">
        <v>48.15</v>
      </c>
      <c r="BE79" s="5">
        <v>46.28</v>
      </c>
      <c r="BF79" s="5"/>
      <c r="BG79" s="5"/>
      <c r="BH79" s="5"/>
      <c r="BI79" s="5"/>
      <c r="BJ79" s="5"/>
      <c r="BK79" s="5"/>
      <c r="BL79" s="5">
        <f>3.65*BC79/100</f>
        <v>1.65856</v>
      </c>
      <c r="BM79" s="5">
        <f>11.33*BD79/100</f>
        <v>5.4553949999999993</v>
      </c>
      <c r="BN79" s="5">
        <f>79.42*BE79/100</f>
        <v>36.755575999999998</v>
      </c>
      <c r="BO79" s="5">
        <f>BL79+BM79+BN79</f>
        <v>43.869530999999995</v>
      </c>
      <c r="BP79" s="5"/>
      <c r="BQ79" s="5"/>
      <c r="BR79" s="5"/>
      <c r="BS79" s="5"/>
      <c r="BT79" s="5"/>
      <c r="BU79" s="5"/>
      <c r="BV79" s="5"/>
      <c r="BW79" s="5"/>
      <c r="BX79" s="5"/>
      <c r="BY79" s="5"/>
      <c r="BZ79" s="5"/>
      <c r="CA79" s="5"/>
      <c r="CB79" s="5"/>
      <c r="CC79" s="5"/>
      <c r="CD79" s="5"/>
      <c r="CE79" s="5"/>
      <c r="CF79" s="5"/>
      <c r="CG79" s="5"/>
      <c r="CH79" s="5"/>
      <c r="CI79" s="5"/>
      <c r="CJ79" s="5"/>
      <c r="CK79" s="5"/>
      <c r="CL79" s="5"/>
      <c r="CM79" s="10" t="s">
        <v>34</v>
      </c>
      <c r="CN79" s="10" t="s">
        <v>19</v>
      </c>
      <c r="CO79" s="11" t="s">
        <v>30</v>
      </c>
      <c r="CP79" s="12" t="s">
        <v>1</v>
      </c>
    </row>
    <row r="80" spans="1:94" s="2" customFormat="1" x14ac:dyDescent="0.25">
      <c r="A80" s="10" t="s">
        <v>9</v>
      </c>
      <c r="B80" s="10" t="s">
        <v>470</v>
      </c>
      <c r="C80" s="5" t="s">
        <v>7</v>
      </c>
      <c r="D80" s="10" t="s">
        <v>33</v>
      </c>
      <c r="E80" s="10" t="s">
        <v>32</v>
      </c>
      <c r="F80" s="10">
        <v>2004</v>
      </c>
      <c r="G80" s="10">
        <v>2007</v>
      </c>
      <c r="H80" s="10">
        <v>1</v>
      </c>
      <c r="I80" s="10">
        <v>1</v>
      </c>
      <c r="J80" s="10">
        <v>1</v>
      </c>
      <c r="K80" s="10">
        <v>1</v>
      </c>
      <c r="L80" s="10">
        <v>0</v>
      </c>
      <c r="M80" s="10">
        <v>0</v>
      </c>
      <c r="N80" s="5">
        <f>(11+22)/2</f>
        <v>16.5</v>
      </c>
      <c r="O80" s="5">
        <f t="shared" si="8"/>
        <v>138</v>
      </c>
      <c r="P80" s="5">
        <f>(1900+2500)/2</f>
        <v>2200</v>
      </c>
      <c r="Q80" s="5">
        <v>0</v>
      </c>
      <c r="R80" s="5">
        <f>(900+1200)/2</f>
        <v>1050</v>
      </c>
      <c r="S80" s="5">
        <v>82.666669999999996</v>
      </c>
      <c r="T80" s="5">
        <v>1561.7</v>
      </c>
      <c r="U80" s="5">
        <v>1.2250000000000001</v>
      </c>
      <c r="V80" s="5"/>
      <c r="W80" s="5"/>
      <c r="X80" s="5"/>
      <c r="Y80" s="5"/>
      <c r="Z80" s="5"/>
      <c r="AA80" s="5"/>
      <c r="AB80" s="5"/>
      <c r="AC80" s="5"/>
      <c r="AD80" s="5"/>
      <c r="AE80" s="5"/>
      <c r="AF80" s="5"/>
      <c r="AG80" s="5"/>
      <c r="AH80" s="5"/>
      <c r="AI80" s="5"/>
      <c r="AJ80" s="5"/>
      <c r="AK80" s="5"/>
      <c r="AL80" s="5"/>
      <c r="AM80" s="5"/>
      <c r="AN80" s="5"/>
      <c r="AO80" s="5"/>
      <c r="AP80" s="5"/>
      <c r="AQ80" s="5"/>
      <c r="AR80" s="5"/>
      <c r="AS80" s="5"/>
      <c r="AT80" s="10"/>
      <c r="AU80" s="5"/>
      <c r="AV80" s="5">
        <v>7188</v>
      </c>
      <c r="AW80" s="5">
        <v>8.8699999999999992</v>
      </c>
      <c r="AX80" s="5"/>
      <c r="AY80" s="5">
        <f t="shared" si="7"/>
        <v>44.41658755718521</v>
      </c>
      <c r="AZ80" s="5"/>
      <c r="BA80" s="5"/>
      <c r="BB80" s="5"/>
      <c r="BC80" s="5">
        <v>45.44</v>
      </c>
      <c r="BD80" s="5">
        <v>48.15</v>
      </c>
      <c r="BE80" s="5">
        <v>46.28</v>
      </c>
      <c r="BF80" s="5"/>
      <c r="BG80" s="5"/>
      <c r="BH80" s="5"/>
      <c r="BI80" s="5"/>
      <c r="BJ80" s="5"/>
      <c r="BK80" s="5"/>
      <c r="BL80" s="5">
        <f>2.89*BC80/100</f>
        <v>1.3132159999999999</v>
      </c>
      <c r="BM80" s="5">
        <f>9.91*BD80/100</f>
        <v>4.7716649999999996</v>
      </c>
      <c r="BN80" s="5">
        <f>67.23*BE80/100</f>
        <v>31.114044000000003</v>
      </c>
      <c r="BO80" s="5">
        <f>BL80+BM80+BN80</f>
        <v>37.198925000000003</v>
      </c>
      <c r="BP80" s="5"/>
      <c r="BQ80" s="5"/>
      <c r="BR80" s="5"/>
      <c r="BS80" s="5"/>
      <c r="BT80" s="5"/>
      <c r="BU80" s="5"/>
      <c r="BV80" s="5"/>
      <c r="BW80" s="5"/>
      <c r="BX80" s="5"/>
      <c r="BY80" s="5"/>
      <c r="BZ80" s="5"/>
      <c r="CA80" s="5"/>
      <c r="CB80" s="5"/>
      <c r="CC80" s="5"/>
      <c r="CD80" s="5"/>
      <c r="CE80" s="5"/>
      <c r="CF80" s="5"/>
      <c r="CG80" s="5"/>
      <c r="CH80" s="5"/>
      <c r="CI80" s="5"/>
      <c r="CJ80" s="5"/>
      <c r="CK80" s="5"/>
      <c r="CL80" s="5"/>
      <c r="CM80" s="10" t="s">
        <v>31</v>
      </c>
      <c r="CN80" s="10" t="s">
        <v>3</v>
      </c>
      <c r="CO80" s="11" t="s">
        <v>30</v>
      </c>
      <c r="CP80" s="12" t="s">
        <v>1</v>
      </c>
    </row>
    <row r="81" spans="1:100" s="2" customFormat="1" x14ac:dyDescent="0.25">
      <c r="A81" s="10" t="s">
        <v>9</v>
      </c>
      <c r="B81" s="10" t="s">
        <v>26</v>
      </c>
      <c r="C81" s="5" t="s">
        <v>7</v>
      </c>
      <c r="D81" s="10" t="s">
        <v>29</v>
      </c>
      <c r="E81" s="10" t="s">
        <v>28</v>
      </c>
      <c r="F81" s="10">
        <v>2008</v>
      </c>
      <c r="G81" s="10">
        <v>2009</v>
      </c>
      <c r="H81" s="10">
        <v>1</v>
      </c>
      <c r="I81" s="10">
        <v>1</v>
      </c>
      <c r="J81" s="10">
        <v>0</v>
      </c>
      <c r="K81" s="10">
        <v>1</v>
      </c>
      <c r="L81" s="10">
        <v>0</v>
      </c>
      <c r="M81" s="10">
        <v>0</v>
      </c>
      <c r="N81" s="5">
        <v>23</v>
      </c>
      <c r="O81" s="5">
        <f t="shared" si="8"/>
        <v>216</v>
      </c>
      <c r="P81" s="5">
        <v>2600</v>
      </c>
      <c r="Q81" s="5">
        <v>0</v>
      </c>
      <c r="R81" s="5">
        <v>1135</v>
      </c>
      <c r="S81" s="5">
        <v>81.458330000000004</v>
      </c>
      <c r="T81" s="5">
        <v>1222</v>
      </c>
      <c r="U81" s="5">
        <v>0.65833299999999995</v>
      </c>
      <c r="V81" s="5"/>
      <c r="W81" s="5"/>
      <c r="X81" s="5"/>
      <c r="Y81" s="5"/>
      <c r="Z81" s="5"/>
      <c r="AA81" s="5"/>
      <c r="AB81" s="5"/>
      <c r="AC81" s="5"/>
      <c r="AD81" s="5"/>
      <c r="AE81" s="5"/>
      <c r="AF81" s="5"/>
      <c r="AG81" s="5"/>
      <c r="AH81" s="5"/>
      <c r="AI81" s="5"/>
      <c r="AJ81" s="5"/>
      <c r="AK81" s="5"/>
      <c r="AL81" s="5"/>
      <c r="AM81" s="5"/>
      <c r="AN81" s="5"/>
      <c r="AO81" s="5"/>
      <c r="AP81" s="5"/>
      <c r="AQ81" s="5"/>
      <c r="AR81" s="5"/>
      <c r="AS81" s="5"/>
      <c r="AT81" s="10"/>
      <c r="AU81" s="5"/>
      <c r="AV81" s="5">
        <v>5167</v>
      </c>
      <c r="AW81" s="5">
        <v>8.9</v>
      </c>
      <c r="AX81" s="5">
        <v>12.6</v>
      </c>
      <c r="AY81" s="5">
        <f t="shared" si="7"/>
        <v>32.144624449685232</v>
      </c>
      <c r="AZ81" s="5"/>
      <c r="BA81" s="5"/>
      <c r="BB81" s="5"/>
      <c r="BC81" s="5"/>
      <c r="BD81" s="5"/>
      <c r="BE81" s="5"/>
      <c r="BF81" s="5"/>
      <c r="BG81" s="5"/>
      <c r="BH81" s="5"/>
      <c r="BI81" s="5"/>
      <c r="BJ81" s="5"/>
      <c r="BK81" s="5"/>
      <c r="BL81" s="5">
        <f>2.8*0.5</f>
        <v>1.4</v>
      </c>
      <c r="BM81" s="5">
        <f>9.7*0.5</f>
        <v>4.8499999999999996</v>
      </c>
      <c r="BN81" s="5">
        <f>61*0.5</f>
        <v>30.5</v>
      </c>
      <c r="BO81" s="5">
        <f>SUM(BL81:BN81)</f>
        <v>36.75</v>
      </c>
      <c r="BP81" s="5">
        <f>BT81/BO81</f>
        <v>1.2394557823129251</v>
      </c>
      <c r="BQ81" s="5">
        <f>6.2*0.5</f>
        <v>3.1</v>
      </c>
      <c r="BR81" s="5">
        <f>64.5*0.5</f>
        <v>32.25</v>
      </c>
      <c r="BS81" s="5">
        <f>20.4*0.5</f>
        <v>10.199999999999999</v>
      </c>
      <c r="BT81" s="5">
        <f>SUM(BQ81:BS81)</f>
        <v>45.55</v>
      </c>
      <c r="BU81" s="5">
        <f>BT81+BO81</f>
        <v>82.3</v>
      </c>
      <c r="BV81" s="5"/>
      <c r="BW81" s="5"/>
      <c r="BX81" s="5"/>
      <c r="BY81" s="5"/>
      <c r="BZ81" s="5">
        <f>0.3*0.5</f>
        <v>0.15</v>
      </c>
      <c r="CA81" s="5">
        <f>1.2*0.5</f>
        <v>0.6</v>
      </c>
      <c r="CB81" s="5">
        <f>7.8*0.5</f>
        <v>3.9</v>
      </c>
      <c r="CC81" s="5"/>
      <c r="CD81" s="5">
        <f>SUM(BZ81:CC81)</f>
        <v>4.6500000000000004</v>
      </c>
      <c r="CE81" s="5"/>
      <c r="CF81" s="5"/>
      <c r="CG81" s="5"/>
      <c r="CH81" s="5"/>
      <c r="CI81" s="5"/>
      <c r="CJ81" s="5"/>
      <c r="CK81" s="5"/>
      <c r="CL81" s="5"/>
      <c r="CM81" s="10" t="s">
        <v>23</v>
      </c>
      <c r="CN81" s="10" t="s">
        <v>19</v>
      </c>
      <c r="CO81" s="11" t="s">
        <v>27</v>
      </c>
      <c r="CP81" s="12" t="s">
        <v>1</v>
      </c>
    </row>
    <row r="82" spans="1:100" s="2" customFormat="1" x14ac:dyDescent="0.25">
      <c r="A82" s="10" t="s">
        <v>9</v>
      </c>
      <c r="B82" s="10" t="s">
        <v>26</v>
      </c>
      <c r="C82" s="5" t="s">
        <v>7</v>
      </c>
      <c r="D82" s="10" t="s">
        <v>25</v>
      </c>
      <c r="E82" s="10" t="s">
        <v>24</v>
      </c>
      <c r="F82" s="10">
        <v>2008</v>
      </c>
      <c r="G82" s="10">
        <v>2009</v>
      </c>
      <c r="H82" s="10">
        <v>1</v>
      </c>
      <c r="I82" s="10">
        <v>1</v>
      </c>
      <c r="J82" s="10">
        <v>0</v>
      </c>
      <c r="K82" s="10">
        <v>1</v>
      </c>
      <c r="L82" s="10">
        <v>0</v>
      </c>
      <c r="M82" s="10">
        <v>0</v>
      </c>
      <c r="N82" s="5">
        <v>23</v>
      </c>
      <c r="O82" s="5">
        <f t="shared" si="8"/>
        <v>216</v>
      </c>
      <c r="P82" s="5">
        <v>2600</v>
      </c>
      <c r="Q82" s="5">
        <v>0</v>
      </c>
      <c r="R82" s="5">
        <v>1135</v>
      </c>
      <c r="S82" s="5">
        <v>81.458330000000004</v>
      </c>
      <c r="T82" s="5">
        <v>1222</v>
      </c>
      <c r="U82" s="5">
        <v>0.65833299999999995</v>
      </c>
      <c r="V82" s="5"/>
      <c r="W82" s="5"/>
      <c r="X82" s="5"/>
      <c r="Y82" s="5"/>
      <c r="Z82" s="5"/>
      <c r="AA82" s="5"/>
      <c r="AB82" s="5"/>
      <c r="AC82" s="5"/>
      <c r="AD82" s="5"/>
      <c r="AE82" s="5"/>
      <c r="AF82" s="5"/>
      <c r="AG82" s="5"/>
      <c r="AH82" s="5"/>
      <c r="AI82" s="5"/>
      <c r="AJ82" s="5"/>
      <c r="AK82" s="5"/>
      <c r="AL82" s="5"/>
      <c r="AM82" s="5"/>
      <c r="AN82" s="5"/>
      <c r="AO82" s="5"/>
      <c r="AP82" s="5"/>
      <c r="AQ82" s="5"/>
      <c r="AR82" s="5"/>
      <c r="AS82" s="5"/>
      <c r="AT82" s="10"/>
      <c r="AU82" s="5"/>
      <c r="AV82" s="5">
        <v>5733</v>
      </c>
      <c r="AW82" s="5">
        <v>9.1</v>
      </c>
      <c r="AX82" s="5">
        <v>13.2</v>
      </c>
      <c r="AY82" s="5">
        <f t="shared" si="7"/>
        <v>37.286756601543445</v>
      </c>
      <c r="AZ82" s="5"/>
      <c r="BA82" s="5"/>
      <c r="BB82" s="5"/>
      <c r="BC82" s="5"/>
      <c r="BD82" s="5"/>
      <c r="BE82" s="5"/>
      <c r="BF82" s="5"/>
      <c r="BG82" s="5"/>
      <c r="BH82" s="5"/>
      <c r="BI82" s="5"/>
      <c r="BJ82" s="5"/>
      <c r="BK82" s="5"/>
      <c r="BL82" s="5">
        <f>3.2*0.5</f>
        <v>1.6</v>
      </c>
      <c r="BM82" s="5">
        <f>10.8*0.5</f>
        <v>5.4</v>
      </c>
      <c r="BN82" s="5">
        <f>69.9*0.5</f>
        <v>34.950000000000003</v>
      </c>
      <c r="BO82" s="5">
        <f>SUM(BL82:BN82)</f>
        <v>41.95</v>
      </c>
      <c r="BP82" s="5">
        <f>BT82/BO82</f>
        <v>1.1108462455303934</v>
      </c>
      <c r="BQ82" s="5">
        <f>6.1*0.5</f>
        <v>3.05</v>
      </c>
      <c r="BR82" s="5">
        <f>63.4*0.5</f>
        <v>31.7</v>
      </c>
      <c r="BS82" s="5">
        <f>23.7*0.5</f>
        <v>11.85</v>
      </c>
      <c r="BT82" s="5">
        <f>SUM(BQ82:BS82)</f>
        <v>46.6</v>
      </c>
      <c r="BU82" s="5">
        <f>BT82+BO82</f>
        <v>88.550000000000011</v>
      </c>
      <c r="BV82" s="5"/>
      <c r="BW82" s="5"/>
      <c r="BX82" s="5"/>
      <c r="BY82" s="5"/>
      <c r="BZ82" s="5">
        <f>0.2*0.5</f>
        <v>0.1</v>
      </c>
      <c r="CA82" s="5">
        <f>0.9*0.5</f>
        <v>0.45</v>
      </c>
      <c r="CB82" s="5">
        <f>5.8*0.5</f>
        <v>2.9</v>
      </c>
      <c r="CC82" s="5"/>
      <c r="CD82" s="5">
        <f>SUM(BZ82:CC82)</f>
        <v>3.45</v>
      </c>
      <c r="CE82" s="5"/>
      <c r="CF82" s="5"/>
      <c r="CG82" s="5"/>
      <c r="CH82" s="5"/>
      <c r="CI82" s="5"/>
      <c r="CJ82" s="5"/>
      <c r="CK82" s="5"/>
      <c r="CL82" s="5"/>
      <c r="CM82" s="10" t="s">
        <v>23</v>
      </c>
      <c r="CN82" s="10" t="s">
        <v>3</v>
      </c>
      <c r="CO82" s="11" t="s">
        <v>22</v>
      </c>
      <c r="CP82" s="12" t="s">
        <v>1</v>
      </c>
    </row>
    <row r="83" spans="1:100" s="2" customFormat="1" x14ac:dyDescent="0.25">
      <c r="A83" s="10" t="s">
        <v>9</v>
      </c>
      <c r="B83" s="10" t="s">
        <v>18</v>
      </c>
      <c r="C83" s="5" t="s">
        <v>17</v>
      </c>
      <c r="D83" s="10" t="s">
        <v>21</v>
      </c>
      <c r="E83" s="10" t="s">
        <v>20</v>
      </c>
      <c r="F83" s="10">
        <v>2008</v>
      </c>
      <c r="G83" s="10">
        <v>2008</v>
      </c>
      <c r="H83" s="10">
        <v>1</v>
      </c>
      <c r="I83" s="10">
        <v>1</v>
      </c>
      <c r="J83" s="10">
        <v>0</v>
      </c>
      <c r="K83" s="10">
        <v>1</v>
      </c>
      <c r="L83" s="10">
        <v>0</v>
      </c>
      <c r="M83" s="10">
        <v>0</v>
      </c>
      <c r="N83" s="5">
        <v>15.3</v>
      </c>
      <c r="O83" s="5">
        <f t="shared" si="8"/>
        <v>123.60000000000001</v>
      </c>
      <c r="P83" s="5">
        <v>1558</v>
      </c>
      <c r="Q83" s="5">
        <v>0</v>
      </c>
      <c r="R83" s="5">
        <v>769</v>
      </c>
      <c r="S83" s="5">
        <v>82.666669999999996</v>
      </c>
      <c r="T83" s="5">
        <v>1561.7</v>
      </c>
      <c r="U83" s="5">
        <v>1.2250000000000001</v>
      </c>
      <c r="V83" s="5"/>
      <c r="W83" s="5"/>
      <c r="X83" s="5"/>
      <c r="Y83" s="5"/>
      <c r="Z83" s="5"/>
      <c r="AA83" s="5"/>
      <c r="AB83" s="5"/>
      <c r="AC83" s="5"/>
      <c r="AD83" s="5"/>
      <c r="AE83" s="5"/>
      <c r="AF83" s="5"/>
      <c r="AG83" s="5"/>
      <c r="AH83" s="5"/>
      <c r="AI83" s="5"/>
      <c r="AJ83" s="5"/>
      <c r="AK83" s="5"/>
      <c r="AL83" s="5"/>
      <c r="AM83" s="5"/>
      <c r="AN83" s="5"/>
      <c r="AO83" s="5"/>
      <c r="AP83" s="5"/>
      <c r="AQ83" s="5"/>
      <c r="AR83" s="5"/>
      <c r="AS83" s="5"/>
      <c r="AT83" s="10"/>
      <c r="AU83" s="5"/>
      <c r="AV83" s="5">
        <v>5733</v>
      </c>
      <c r="AW83" s="5">
        <v>6.3</v>
      </c>
      <c r="AX83" s="5"/>
      <c r="AY83" s="5">
        <f t="shared" si="7"/>
        <v>17.871167365236797</v>
      </c>
      <c r="AZ83" s="5"/>
      <c r="BA83" s="5"/>
      <c r="BB83" s="5"/>
      <c r="BC83" s="5"/>
      <c r="BD83" s="5"/>
      <c r="BE83" s="5"/>
      <c r="BF83" s="5"/>
      <c r="BG83" s="5"/>
      <c r="BH83" s="5"/>
      <c r="BI83" s="5"/>
      <c r="BJ83" s="5"/>
      <c r="BK83" s="5"/>
      <c r="BL83" s="5"/>
      <c r="BM83" s="5"/>
      <c r="BN83" s="5"/>
      <c r="BO83" s="5">
        <v>38.4</v>
      </c>
      <c r="BP83" s="5"/>
      <c r="BQ83" s="5"/>
      <c r="BR83" s="5"/>
      <c r="BS83" s="5"/>
      <c r="BT83" s="5"/>
      <c r="BU83" s="5"/>
      <c r="BV83" s="5"/>
      <c r="BW83" s="5"/>
      <c r="BX83" s="5"/>
      <c r="BY83" s="5"/>
      <c r="BZ83" s="5"/>
      <c r="CA83" s="5"/>
      <c r="CB83" s="5"/>
      <c r="CC83" s="5"/>
      <c r="CD83" s="5"/>
      <c r="CE83" s="5"/>
      <c r="CF83" s="5"/>
      <c r="CG83" s="5"/>
      <c r="CH83" s="5"/>
      <c r="CI83" s="5"/>
      <c r="CJ83" s="5"/>
      <c r="CK83" s="5"/>
      <c r="CL83" s="5"/>
      <c r="CM83" s="10" t="s">
        <v>14</v>
      </c>
      <c r="CN83" s="10" t="s">
        <v>19</v>
      </c>
      <c r="CO83" s="11" t="s">
        <v>13</v>
      </c>
      <c r="CP83" s="12" t="s">
        <v>1</v>
      </c>
    </row>
    <row r="84" spans="1:100" s="2" customFormat="1" x14ac:dyDescent="0.25">
      <c r="A84" s="10" t="s">
        <v>9</v>
      </c>
      <c r="B84" s="10" t="s">
        <v>18</v>
      </c>
      <c r="C84" s="5" t="s">
        <v>17</v>
      </c>
      <c r="D84" s="10" t="s">
        <v>16</v>
      </c>
      <c r="E84" s="10" t="s">
        <v>15</v>
      </c>
      <c r="F84" s="10">
        <v>2008</v>
      </c>
      <c r="G84" s="10">
        <v>2014</v>
      </c>
      <c r="H84" s="10">
        <v>0</v>
      </c>
      <c r="I84" s="10">
        <v>0</v>
      </c>
      <c r="J84" s="10">
        <v>0</v>
      </c>
      <c r="K84" s="10">
        <v>0</v>
      </c>
      <c r="L84" s="10">
        <v>0</v>
      </c>
      <c r="M84" s="10">
        <v>0</v>
      </c>
      <c r="N84" s="5">
        <v>15.3</v>
      </c>
      <c r="O84" s="5">
        <f t="shared" si="8"/>
        <v>123.60000000000001</v>
      </c>
      <c r="P84" s="5">
        <v>1558</v>
      </c>
      <c r="Q84" s="5">
        <v>0</v>
      </c>
      <c r="R84" s="5">
        <v>769</v>
      </c>
      <c r="S84" s="5">
        <v>82.666669999999996</v>
      </c>
      <c r="T84" s="5">
        <v>1561.7</v>
      </c>
      <c r="U84" s="5">
        <v>1.2250000000000001</v>
      </c>
      <c r="V84" s="5"/>
      <c r="W84" s="5"/>
      <c r="X84" s="5"/>
      <c r="Y84" s="5"/>
      <c r="Z84" s="5"/>
      <c r="AA84" s="5"/>
      <c r="AB84" s="5"/>
      <c r="AC84" s="5"/>
      <c r="AD84" s="5"/>
      <c r="AE84" s="5"/>
      <c r="AF84" s="5"/>
      <c r="AG84" s="5"/>
      <c r="AH84" s="5"/>
      <c r="AI84" s="5"/>
      <c r="AJ84" s="5"/>
      <c r="AK84" s="5"/>
      <c r="AL84" s="5"/>
      <c r="AM84" s="5"/>
      <c r="AN84" s="5"/>
      <c r="AO84" s="5"/>
      <c r="AP84" s="5"/>
      <c r="AQ84" s="5"/>
      <c r="AR84" s="5"/>
      <c r="AS84" s="5"/>
      <c r="AT84" s="10"/>
      <c r="AU84" s="5"/>
      <c r="AV84" s="5">
        <v>13067</v>
      </c>
      <c r="AW84" s="5">
        <v>5.5</v>
      </c>
      <c r="AX84" s="5"/>
      <c r="AY84" s="5">
        <f t="shared" si="7"/>
        <v>31.044963348371233</v>
      </c>
      <c r="AZ84" s="5"/>
      <c r="BA84" s="5"/>
      <c r="BB84" s="5"/>
      <c r="BC84" s="5"/>
      <c r="BD84" s="5"/>
      <c r="BE84" s="5"/>
      <c r="BF84" s="5"/>
      <c r="BG84" s="5"/>
      <c r="BH84" s="5"/>
      <c r="BI84" s="5"/>
      <c r="BJ84" s="5"/>
      <c r="BK84" s="5"/>
      <c r="BL84" s="5"/>
      <c r="BM84" s="5"/>
      <c r="BN84" s="5"/>
      <c r="BO84" s="5">
        <v>60.4</v>
      </c>
      <c r="BP84" s="5"/>
      <c r="BQ84" s="5"/>
      <c r="BR84" s="5"/>
      <c r="BS84" s="5"/>
      <c r="BT84" s="5"/>
      <c r="BU84" s="5"/>
      <c r="BV84" s="5"/>
      <c r="BW84" s="5"/>
      <c r="BX84" s="5"/>
      <c r="BY84" s="5"/>
      <c r="BZ84" s="5"/>
      <c r="CA84" s="5"/>
      <c r="CB84" s="5"/>
      <c r="CC84" s="5"/>
      <c r="CD84" s="5">
        <f>((51.7-53.2)+(53.2-60.4)+(60.4-59.2)+(59.2-49.8)+(49.8-46.7)+(46.7-38.4))/6</f>
        <v>2.2166666666666672</v>
      </c>
      <c r="CE84" s="5"/>
      <c r="CF84" s="5"/>
      <c r="CG84" s="5"/>
      <c r="CH84" s="5"/>
      <c r="CI84" s="5"/>
      <c r="CJ84" s="5"/>
      <c r="CK84" s="5"/>
      <c r="CL84" s="5"/>
      <c r="CM84" s="10" t="s">
        <v>14</v>
      </c>
      <c r="CN84" s="10" t="s">
        <v>3</v>
      </c>
      <c r="CO84" s="11" t="s">
        <v>13</v>
      </c>
      <c r="CP84" s="12" t="s">
        <v>1</v>
      </c>
    </row>
    <row r="85" spans="1:100" s="2" customFormat="1" x14ac:dyDescent="0.25">
      <c r="A85" s="10" t="s">
        <v>9</v>
      </c>
      <c r="B85" s="10" t="s">
        <v>8</v>
      </c>
      <c r="C85" s="5" t="s">
        <v>7</v>
      </c>
      <c r="D85" s="10" t="s">
        <v>12</v>
      </c>
      <c r="E85" s="16" t="s">
        <v>11</v>
      </c>
      <c r="F85" s="10">
        <v>2012</v>
      </c>
      <c r="G85" s="10">
        <v>2012</v>
      </c>
      <c r="H85" s="10">
        <v>1</v>
      </c>
      <c r="I85" s="10">
        <v>1</v>
      </c>
      <c r="J85" s="10">
        <v>1</v>
      </c>
      <c r="K85" s="10">
        <v>0</v>
      </c>
      <c r="L85" s="10">
        <v>0</v>
      </c>
      <c r="M85" s="10">
        <v>0</v>
      </c>
      <c r="N85" s="5">
        <v>17.2</v>
      </c>
      <c r="O85" s="5">
        <f t="shared" si="8"/>
        <v>146.39999999999998</v>
      </c>
      <c r="P85" s="5">
        <v>3030</v>
      </c>
      <c r="Q85" s="5">
        <v>0</v>
      </c>
      <c r="R85" s="5">
        <v>1120</v>
      </c>
      <c r="S85" s="5">
        <v>83.666666666666671</v>
      </c>
      <c r="T85" s="5">
        <v>1388.8000000000002</v>
      </c>
      <c r="U85" s="5">
        <v>1.1000000000000003</v>
      </c>
      <c r="V85" s="5"/>
      <c r="W85" s="5"/>
      <c r="X85" s="5">
        <v>4.0999999999999996</v>
      </c>
      <c r="Y85" s="5"/>
      <c r="Z85" s="5"/>
      <c r="AA85" s="5"/>
      <c r="AB85" s="5"/>
      <c r="AC85" s="5"/>
      <c r="AD85" s="5"/>
      <c r="AE85" s="5"/>
      <c r="AF85" s="5"/>
      <c r="AG85" s="5"/>
      <c r="AH85" s="5"/>
      <c r="AI85" s="5"/>
      <c r="AJ85" s="5"/>
      <c r="AK85" s="5"/>
      <c r="AL85" s="5"/>
      <c r="AM85" s="5"/>
      <c r="AN85" s="5"/>
      <c r="AO85" s="5"/>
      <c r="AP85" s="5"/>
      <c r="AQ85" s="5"/>
      <c r="AR85" s="5"/>
      <c r="AS85" s="5"/>
      <c r="AT85" s="10"/>
      <c r="AU85" s="5"/>
      <c r="AV85" s="5">
        <v>3954</v>
      </c>
      <c r="AW85" s="5">
        <v>8.4</v>
      </c>
      <c r="AX85" s="5">
        <v>12</v>
      </c>
      <c r="AY85" s="5">
        <f t="shared" si="7"/>
        <v>21.912156369446688</v>
      </c>
      <c r="AZ85" s="5"/>
      <c r="BA85" s="5"/>
      <c r="BB85" s="5"/>
      <c r="BC85" s="5">
        <v>47.6</v>
      </c>
      <c r="BD85" s="5">
        <v>43.5</v>
      </c>
      <c r="BE85" s="5">
        <v>49.5</v>
      </c>
      <c r="BF85" s="5">
        <v>43.4</v>
      </c>
      <c r="BG85" s="5">
        <v>49.4</v>
      </c>
      <c r="BH85" s="5">
        <v>48.4</v>
      </c>
      <c r="BI85" s="5">
        <v>49.5</v>
      </c>
      <c r="BJ85" s="5">
        <v>4.05</v>
      </c>
      <c r="BK85" s="5">
        <f>(2.57+1.93)/2</f>
        <v>2.25</v>
      </c>
      <c r="BL85" s="5">
        <v>2.06</v>
      </c>
      <c r="BM85" s="5">
        <v>3.73</v>
      </c>
      <c r="BN85" s="5">
        <v>21.47</v>
      </c>
      <c r="BO85" s="5">
        <f>SUM(BL85:BN85)</f>
        <v>27.259999999999998</v>
      </c>
      <c r="BP85" s="5"/>
      <c r="BQ85" s="5"/>
      <c r="BR85" s="5"/>
      <c r="BS85" s="5"/>
      <c r="BT85" s="5"/>
      <c r="BU85" s="5"/>
      <c r="BV85" s="5"/>
      <c r="BW85" s="5"/>
      <c r="BX85" s="5"/>
      <c r="BY85" s="5"/>
      <c r="BZ85" s="5">
        <v>0.38</v>
      </c>
      <c r="CA85" s="5">
        <v>0.69</v>
      </c>
      <c r="CB85" s="5">
        <v>4.05</v>
      </c>
      <c r="CC85" s="5">
        <v>1.99</v>
      </c>
      <c r="CD85" s="5">
        <f>SUM(BZ85:CC85)</f>
        <v>7.1099999999999994</v>
      </c>
      <c r="CE85" s="5">
        <v>0.8</v>
      </c>
      <c r="CF85" s="5">
        <v>0.59</v>
      </c>
      <c r="CG85" s="5"/>
      <c r="CH85" s="5">
        <f>SUM(CE85:CG85)</f>
        <v>1.3900000000000001</v>
      </c>
      <c r="CI85" s="5">
        <f>CH85+CD85</f>
        <v>8.5</v>
      </c>
      <c r="CJ85" s="5">
        <v>11.21</v>
      </c>
      <c r="CK85" s="5">
        <v>4.4800000000000004</v>
      </c>
      <c r="CL85" s="5">
        <f>CI85-CK85</f>
        <v>4.0199999999999996</v>
      </c>
      <c r="CM85" s="10" t="s">
        <v>10</v>
      </c>
      <c r="CN85" s="10" t="s">
        <v>3</v>
      </c>
      <c r="CO85" s="11" t="s">
        <v>2</v>
      </c>
      <c r="CP85" s="12" t="s">
        <v>1</v>
      </c>
    </row>
    <row r="86" spans="1:100" s="2" customFormat="1" ht="17.25" thickBot="1" x14ac:dyDescent="0.3">
      <c r="A86" s="26" t="s">
        <v>9</v>
      </c>
      <c r="B86" s="26" t="s">
        <v>8</v>
      </c>
      <c r="C86" s="27" t="s">
        <v>7</v>
      </c>
      <c r="D86" s="26" t="s">
        <v>6</v>
      </c>
      <c r="E86" s="28" t="s">
        <v>5</v>
      </c>
      <c r="F86" s="26">
        <v>2012</v>
      </c>
      <c r="G86" s="26">
        <v>2015</v>
      </c>
      <c r="H86" s="26">
        <v>0</v>
      </c>
      <c r="I86" s="26">
        <v>0</v>
      </c>
      <c r="J86" s="26">
        <v>0</v>
      </c>
      <c r="K86" s="26">
        <v>0</v>
      </c>
      <c r="L86" s="26">
        <v>0</v>
      </c>
      <c r="M86" s="26">
        <v>0</v>
      </c>
      <c r="N86" s="27">
        <v>18.600000000000001</v>
      </c>
      <c r="O86" s="27">
        <f t="shared" si="8"/>
        <v>163.20000000000002</v>
      </c>
      <c r="P86" s="27">
        <v>2407</v>
      </c>
      <c r="Q86" s="27">
        <v>0</v>
      </c>
      <c r="R86" s="27">
        <v>1120</v>
      </c>
      <c r="S86" s="27">
        <v>83.104169999999996</v>
      </c>
      <c r="T86" s="27">
        <v>1541.15</v>
      </c>
      <c r="U86" s="27">
        <v>1.077083</v>
      </c>
      <c r="V86" s="27"/>
      <c r="W86" s="27"/>
      <c r="X86" s="27">
        <v>4.0999999999999996</v>
      </c>
      <c r="Y86" s="27"/>
      <c r="Z86" s="27"/>
      <c r="AA86" s="27"/>
      <c r="AB86" s="27"/>
      <c r="AC86" s="27"/>
      <c r="AD86" s="27"/>
      <c r="AE86" s="27"/>
      <c r="AF86" s="27"/>
      <c r="AG86" s="27"/>
      <c r="AH86" s="27"/>
      <c r="AI86" s="27"/>
      <c r="AJ86" s="27"/>
      <c r="AK86" s="27"/>
      <c r="AL86" s="27"/>
      <c r="AM86" s="27"/>
      <c r="AN86" s="27"/>
      <c r="AO86" s="27"/>
      <c r="AP86" s="27"/>
      <c r="AQ86" s="27"/>
      <c r="AR86" s="27"/>
      <c r="AS86" s="27"/>
      <c r="AT86" s="26"/>
      <c r="AU86" s="27"/>
      <c r="AV86" s="27">
        <v>6000</v>
      </c>
      <c r="AW86" s="27"/>
      <c r="AX86" s="27"/>
      <c r="AY86" s="27"/>
      <c r="AZ86" s="27"/>
      <c r="BA86" s="27"/>
      <c r="BB86" s="27"/>
      <c r="BC86" s="27">
        <v>47.6</v>
      </c>
      <c r="BD86" s="27">
        <v>43.5</v>
      </c>
      <c r="BE86" s="27">
        <v>49.5</v>
      </c>
      <c r="BF86" s="27">
        <v>43.4</v>
      </c>
      <c r="BG86" s="27">
        <v>49.4</v>
      </c>
      <c r="BH86" s="27">
        <v>48.4</v>
      </c>
      <c r="BI86" s="27">
        <v>49.5</v>
      </c>
      <c r="BJ86" s="27">
        <v>4.05</v>
      </c>
      <c r="BK86" s="27">
        <f>(2.57+1.93)/2</f>
        <v>2.25</v>
      </c>
      <c r="BL86" s="27">
        <v>3.13</v>
      </c>
      <c r="BM86" s="27">
        <v>5.65</v>
      </c>
      <c r="BN86" s="27">
        <v>33.26</v>
      </c>
      <c r="BO86" s="27">
        <f>SUM(BL86:BN86)</f>
        <v>42.04</v>
      </c>
      <c r="BP86" s="27">
        <f>BT86/BO86</f>
        <v>0.80137963843958127</v>
      </c>
      <c r="BQ86" s="27">
        <v>6.48</v>
      </c>
      <c r="BR86" s="27">
        <v>27.21</v>
      </c>
      <c r="BS86" s="27"/>
      <c r="BT86" s="27">
        <f>SUM(BQ86:BS86)</f>
        <v>33.69</v>
      </c>
      <c r="BU86" s="27">
        <f>BT86+BO86</f>
        <v>75.72999999999999</v>
      </c>
      <c r="BV86" s="27"/>
      <c r="BW86" s="27">
        <v>70.25</v>
      </c>
      <c r="BX86" s="27"/>
      <c r="BY86" s="27">
        <f>BU86+BW86</f>
        <v>145.97999999999999</v>
      </c>
      <c r="BZ86" s="27">
        <v>0.41</v>
      </c>
      <c r="CA86" s="27">
        <v>0.75</v>
      </c>
      <c r="CB86" s="27">
        <v>4.42</v>
      </c>
      <c r="CC86" s="27">
        <v>2.1800000000000002</v>
      </c>
      <c r="CD86" s="27">
        <f>SUM(BZ86:CC86)</f>
        <v>7.76</v>
      </c>
      <c r="CE86" s="27">
        <v>0.71</v>
      </c>
      <c r="CF86" s="27">
        <v>0.4</v>
      </c>
      <c r="CG86" s="27"/>
      <c r="CH86" s="27">
        <f>SUM(CE86:CG86)</f>
        <v>1.1099999999999999</v>
      </c>
      <c r="CI86" s="27">
        <f>CH86+CD86</f>
        <v>8.8699999999999992</v>
      </c>
      <c r="CJ86" s="27">
        <v>11.41</v>
      </c>
      <c r="CK86" s="27">
        <v>4.55</v>
      </c>
      <c r="CL86" s="27">
        <f>CI86-CK86</f>
        <v>4.3199999999999994</v>
      </c>
      <c r="CM86" s="26" t="s">
        <v>4</v>
      </c>
      <c r="CN86" s="26" t="s">
        <v>3</v>
      </c>
      <c r="CO86" s="29" t="s">
        <v>2</v>
      </c>
      <c r="CP86" s="30" t="s">
        <v>1</v>
      </c>
    </row>
    <row r="87" spans="1:100" ht="18.75" x14ac:dyDescent="0.25">
      <c r="A87" s="3" t="s">
        <v>471</v>
      </c>
      <c r="B87" s="3"/>
      <c r="C87" s="18"/>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4"/>
      <c r="CR87" s="4"/>
      <c r="CS87" s="4"/>
      <c r="CT87" s="4"/>
      <c r="CU87" s="4"/>
      <c r="CV87" s="4"/>
    </row>
    <row r="88" spans="1:100" ht="18.75" x14ac:dyDescent="0.25">
      <c r="A88" s="3" t="s">
        <v>472</v>
      </c>
      <c r="B88" s="3"/>
      <c r="C88" s="18"/>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4"/>
      <c r="CR88" s="4"/>
      <c r="CS88" s="4"/>
      <c r="CT88" s="4"/>
      <c r="CU88" s="4"/>
      <c r="CV88" s="4"/>
    </row>
    <row r="89" spans="1:100" x14ac:dyDescent="0.25">
      <c r="A89" s="3" t="s">
        <v>0</v>
      </c>
      <c r="B89" s="3"/>
      <c r="C89" s="18"/>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4"/>
      <c r="CR89" s="4"/>
      <c r="CS89" s="4"/>
      <c r="CT89" s="4"/>
      <c r="CU89" s="4"/>
      <c r="CV89" s="4"/>
    </row>
    <row r="90" spans="1:100" ht="18.75" x14ac:dyDescent="0.25">
      <c r="A90" s="3" t="s">
        <v>473</v>
      </c>
      <c r="B90" s="3"/>
      <c r="C90" s="18"/>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4"/>
      <c r="CR90" s="4"/>
      <c r="CS90" s="4"/>
      <c r="CT90" s="4"/>
      <c r="CU90" s="4"/>
      <c r="CV90" s="4"/>
    </row>
    <row r="91" spans="1:100" ht="18.75" x14ac:dyDescent="0.25">
      <c r="A91" s="3" t="s">
        <v>474</v>
      </c>
      <c r="B91" s="3"/>
      <c r="C91" s="18"/>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4"/>
      <c r="CR91" s="4"/>
      <c r="CS91" s="4"/>
      <c r="CT91" s="4"/>
      <c r="CU91" s="4"/>
      <c r="CV91" s="4"/>
    </row>
    <row r="92" spans="1:100" ht="18.75" x14ac:dyDescent="0.25">
      <c r="A92" s="3" t="s">
        <v>475</v>
      </c>
      <c r="B92" s="3"/>
      <c r="C92" s="18"/>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4"/>
      <c r="CR92" s="4"/>
      <c r="CS92" s="4"/>
      <c r="CT92" s="4"/>
      <c r="CU92" s="4"/>
      <c r="CV92" s="4"/>
    </row>
    <row r="93" spans="1:100" ht="18.75" x14ac:dyDescent="0.25">
      <c r="A93" s="3" t="s">
        <v>476</v>
      </c>
      <c r="B93" s="3"/>
      <c r="C93" s="18"/>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4"/>
      <c r="CR93" s="4"/>
      <c r="CS93" s="4"/>
      <c r="CT93" s="4"/>
      <c r="CU93" s="4"/>
      <c r="CV93" s="4"/>
    </row>
    <row r="94" spans="1:100" x14ac:dyDescent="0.25">
      <c r="A94" s="3"/>
      <c r="B94" s="3"/>
      <c r="C94" s="18"/>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4"/>
      <c r="CR94" s="4"/>
      <c r="CS94" s="4"/>
      <c r="CT94" s="4"/>
      <c r="CU94" s="4"/>
      <c r="CV94" s="4"/>
    </row>
    <row r="95" spans="1:100" x14ac:dyDescent="0.25">
      <c r="A95" s="3"/>
      <c r="B95" s="3"/>
      <c r="C95" s="18"/>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4"/>
      <c r="CR95" s="4"/>
      <c r="CS95" s="4"/>
      <c r="CT95" s="4"/>
      <c r="CU95" s="4"/>
      <c r="CV95" s="4"/>
    </row>
    <row r="96" spans="1:100" x14ac:dyDescent="0.25">
      <c r="A96" s="3"/>
      <c r="B96" s="3"/>
      <c r="C96" s="18"/>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4"/>
      <c r="CR96" s="4"/>
      <c r="CS96" s="4"/>
      <c r="CT96" s="4"/>
      <c r="CU96" s="4"/>
      <c r="CV96" s="4"/>
    </row>
    <row r="97" spans="1:100"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4"/>
      <c r="CR97" s="4"/>
      <c r="CS97" s="4"/>
      <c r="CT97" s="4"/>
      <c r="CU97" s="4"/>
      <c r="CV97" s="4"/>
    </row>
    <row r="98" spans="1:100"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4"/>
      <c r="CR98" s="4"/>
      <c r="CS98" s="4"/>
      <c r="CT98" s="4"/>
      <c r="CU98" s="4"/>
      <c r="CV98" s="4"/>
    </row>
    <row r="99" spans="1:100"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4"/>
      <c r="CR99" s="4"/>
      <c r="CS99" s="4"/>
      <c r="CT99" s="4"/>
      <c r="CU99" s="4"/>
      <c r="CV99" s="4"/>
    </row>
    <row r="100" spans="1:100"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4"/>
      <c r="CR100" s="4"/>
      <c r="CS100" s="4"/>
      <c r="CT100" s="4"/>
      <c r="CU100" s="4"/>
      <c r="CV100" s="4"/>
    </row>
    <row r="101" spans="1:100"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4"/>
      <c r="CR101" s="4"/>
      <c r="CS101" s="4"/>
      <c r="CT101" s="4"/>
      <c r="CU101" s="4"/>
      <c r="CV101" s="4"/>
    </row>
    <row r="102" spans="1:100"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4"/>
      <c r="CR102" s="4"/>
      <c r="CS102" s="4"/>
      <c r="CT102" s="4"/>
      <c r="CU102" s="4"/>
      <c r="CV102" s="4"/>
    </row>
    <row r="103" spans="1:100"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4"/>
      <c r="CR103" s="4"/>
      <c r="CS103" s="4"/>
      <c r="CT103" s="4"/>
      <c r="CU103" s="4"/>
      <c r="CV103" s="4"/>
    </row>
    <row r="104" spans="1:100"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4"/>
      <c r="CR104" s="4"/>
      <c r="CS104" s="4"/>
      <c r="CT104" s="4"/>
      <c r="CU104" s="4"/>
      <c r="CV104" s="4"/>
    </row>
    <row r="105" spans="1:100"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4"/>
      <c r="CR105" s="4"/>
      <c r="CS105" s="4"/>
      <c r="CT105" s="4"/>
      <c r="CU105" s="4"/>
      <c r="CV105" s="4"/>
    </row>
    <row r="106" spans="1:100"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4"/>
      <c r="CR106" s="4"/>
      <c r="CS106" s="4"/>
      <c r="CT106" s="4"/>
      <c r="CU106" s="4"/>
      <c r="CV106" s="4"/>
    </row>
    <row r="107" spans="1:100"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4"/>
      <c r="CR107" s="4"/>
      <c r="CS107" s="4"/>
      <c r="CT107" s="4"/>
      <c r="CU107" s="4"/>
      <c r="CV107" s="4"/>
    </row>
    <row r="108" spans="1:100"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4"/>
      <c r="CR108" s="4"/>
      <c r="CS108" s="4"/>
      <c r="CT108" s="4"/>
      <c r="CU108" s="4"/>
      <c r="CV108" s="4"/>
    </row>
    <row r="109" spans="1:100"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4"/>
      <c r="CR109" s="4"/>
      <c r="CS109" s="4"/>
      <c r="CT109" s="4"/>
      <c r="CU109" s="4"/>
      <c r="CV109" s="4"/>
    </row>
    <row r="110" spans="1:100"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4"/>
      <c r="CR110" s="4"/>
      <c r="CS110" s="4"/>
      <c r="CT110" s="4"/>
      <c r="CU110" s="4"/>
      <c r="CV110" s="4"/>
    </row>
    <row r="111" spans="1:100"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4"/>
      <c r="CR111" s="4"/>
      <c r="CS111" s="4"/>
      <c r="CT111" s="4"/>
      <c r="CU111" s="4"/>
      <c r="CV111" s="4"/>
    </row>
    <row r="112" spans="1:100"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4"/>
      <c r="CR112" s="4"/>
      <c r="CS112" s="4"/>
      <c r="CT112" s="4"/>
      <c r="CU112" s="4"/>
      <c r="CV112" s="4"/>
    </row>
    <row r="113" spans="1:100"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4"/>
      <c r="CR113" s="4"/>
      <c r="CS113" s="4"/>
      <c r="CT113" s="4"/>
      <c r="CU113" s="4"/>
      <c r="CV113" s="4"/>
    </row>
    <row r="114" spans="1:100"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4"/>
      <c r="CR114" s="4"/>
      <c r="CS114" s="4"/>
      <c r="CT114" s="4"/>
      <c r="CU114" s="4"/>
      <c r="CV114" s="4"/>
    </row>
    <row r="115" spans="1:100"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4"/>
      <c r="CR115" s="4"/>
      <c r="CS115" s="4"/>
      <c r="CT115" s="4"/>
      <c r="CU115" s="4"/>
      <c r="CV115" s="4"/>
    </row>
    <row r="116" spans="1:100"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4"/>
      <c r="CR116" s="4"/>
      <c r="CS116" s="4"/>
      <c r="CT116" s="4"/>
      <c r="CU116" s="4"/>
      <c r="CV116" s="4"/>
    </row>
    <row r="117" spans="1:100"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c r="BS117" s="3"/>
      <c r="BT117" s="3"/>
      <c r="BU117" s="3"/>
      <c r="BV117" s="3"/>
      <c r="BW117" s="3"/>
      <c r="BX117" s="3"/>
      <c r="BY117" s="3"/>
      <c r="BZ117" s="3"/>
      <c r="CA117" s="3"/>
      <c r="CB117" s="3"/>
      <c r="CC117" s="3"/>
      <c r="CD117" s="3"/>
      <c r="CE117" s="3"/>
      <c r="CF117" s="3"/>
      <c r="CG117" s="3"/>
      <c r="CH117" s="3"/>
      <c r="CI117" s="3"/>
      <c r="CJ117" s="3"/>
      <c r="CK117" s="3"/>
      <c r="CL117" s="3"/>
      <c r="CM117" s="3"/>
      <c r="CN117" s="3"/>
      <c r="CO117" s="3"/>
      <c r="CP117" s="3"/>
      <c r="CQ117" s="4"/>
      <c r="CR117" s="4"/>
      <c r="CS117" s="4"/>
      <c r="CT117" s="4"/>
      <c r="CU117" s="4"/>
      <c r="CV117" s="4"/>
    </row>
    <row r="118" spans="1:100"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c r="BS118" s="3"/>
      <c r="BT118" s="3"/>
      <c r="BU118" s="3"/>
      <c r="BV118" s="3"/>
      <c r="BW118" s="3"/>
      <c r="BX118" s="3"/>
      <c r="BY118" s="3"/>
      <c r="BZ118" s="3"/>
      <c r="CA118" s="3"/>
      <c r="CB118" s="3"/>
      <c r="CC118" s="3"/>
      <c r="CD118" s="3"/>
      <c r="CE118" s="3"/>
      <c r="CF118" s="3"/>
      <c r="CG118" s="3"/>
      <c r="CH118" s="3"/>
      <c r="CI118" s="3"/>
      <c r="CJ118" s="3"/>
      <c r="CK118" s="3"/>
      <c r="CL118" s="3"/>
      <c r="CM118" s="3"/>
      <c r="CN118" s="3"/>
      <c r="CO118" s="3"/>
      <c r="CP118" s="3"/>
      <c r="CQ118" s="4"/>
      <c r="CR118" s="4"/>
      <c r="CS118" s="4"/>
      <c r="CT118" s="4"/>
      <c r="CU118" s="4"/>
      <c r="CV118" s="4"/>
    </row>
    <row r="119" spans="1:100"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c r="BS119" s="3"/>
      <c r="BT119" s="3"/>
      <c r="BU119" s="3"/>
      <c r="BV119" s="3"/>
      <c r="BW119" s="3"/>
      <c r="BX119" s="3"/>
      <c r="BY119" s="3"/>
      <c r="BZ119" s="3"/>
      <c r="CA119" s="3"/>
      <c r="CB119" s="3"/>
      <c r="CC119" s="3"/>
      <c r="CD119" s="3"/>
      <c r="CE119" s="3"/>
      <c r="CF119" s="3"/>
      <c r="CG119" s="3"/>
      <c r="CH119" s="3"/>
      <c r="CI119" s="3"/>
      <c r="CJ119" s="3"/>
      <c r="CK119" s="3"/>
      <c r="CL119" s="3"/>
      <c r="CM119" s="3"/>
      <c r="CN119" s="3"/>
      <c r="CO119" s="3"/>
      <c r="CP119" s="3"/>
      <c r="CQ119" s="4"/>
      <c r="CR119" s="4"/>
      <c r="CS119" s="4"/>
      <c r="CT119" s="4"/>
      <c r="CU119" s="4"/>
      <c r="CV119" s="4"/>
    </row>
    <row r="120" spans="1:100"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c r="BS120" s="3"/>
      <c r="BT120" s="3"/>
      <c r="BU120" s="3"/>
      <c r="BV120" s="3"/>
      <c r="BW120" s="3"/>
      <c r="BX120" s="3"/>
      <c r="BY120" s="3"/>
      <c r="BZ120" s="3"/>
      <c r="CA120" s="3"/>
      <c r="CB120" s="3"/>
      <c r="CC120" s="3"/>
      <c r="CD120" s="3"/>
      <c r="CE120" s="3"/>
      <c r="CF120" s="3"/>
      <c r="CG120" s="3"/>
      <c r="CH120" s="3"/>
      <c r="CI120" s="3"/>
      <c r="CJ120" s="3"/>
      <c r="CK120" s="3"/>
      <c r="CL120" s="3"/>
      <c r="CM120" s="3"/>
      <c r="CN120" s="3"/>
      <c r="CO120" s="3"/>
      <c r="CP120" s="3"/>
      <c r="CQ120" s="4"/>
      <c r="CR120" s="4"/>
      <c r="CS120" s="4"/>
      <c r="CT120" s="4"/>
      <c r="CU120" s="4"/>
      <c r="CV120" s="4"/>
    </row>
    <row r="121" spans="1:100"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c r="BS121" s="3"/>
      <c r="BT121" s="3"/>
      <c r="BU121" s="3"/>
      <c r="BV121" s="3"/>
      <c r="BW121" s="3"/>
      <c r="BX121" s="3"/>
      <c r="BY121" s="3"/>
      <c r="BZ121" s="3"/>
      <c r="CA121" s="3"/>
      <c r="CB121" s="3"/>
      <c r="CC121" s="3"/>
      <c r="CD121" s="3"/>
      <c r="CE121" s="3"/>
      <c r="CF121" s="3"/>
      <c r="CG121" s="3"/>
      <c r="CH121" s="3"/>
      <c r="CI121" s="3"/>
      <c r="CJ121" s="3"/>
      <c r="CK121" s="3"/>
      <c r="CL121" s="3"/>
      <c r="CM121" s="3"/>
      <c r="CN121" s="3"/>
      <c r="CO121" s="3"/>
      <c r="CP121" s="3"/>
      <c r="CQ121" s="4"/>
      <c r="CR121" s="4"/>
      <c r="CS121" s="4"/>
      <c r="CT121" s="4"/>
      <c r="CU121" s="4"/>
      <c r="CV121" s="4"/>
    </row>
    <row r="122" spans="1:100"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c r="BS122" s="3"/>
      <c r="BT122" s="3"/>
      <c r="BU122" s="3"/>
      <c r="BV122" s="3"/>
      <c r="BW122" s="3"/>
      <c r="BX122" s="3"/>
      <c r="BY122" s="3"/>
      <c r="BZ122" s="3"/>
      <c r="CA122" s="3"/>
      <c r="CB122" s="3"/>
      <c r="CC122" s="3"/>
      <c r="CD122" s="3"/>
      <c r="CE122" s="3"/>
      <c r="CF122" s="3"/>
      <c r="CG122" s="3"/>
      <c r="CH122" s="3"/>
      <c r="CI122" s="3"/>
      <c r="CJ122" s="3"/>
      <c r="CK122" s="3"/>
      <c r="CL122" s="3"/>
      <c r="CM122" s="3"/>
      <c r="CN122" s="3"/>
      <c r="CO122" s="3"/>
      <c r="CP122" s="3"/>
      <c r="CQ122" s="4"/>
      <c r="CR122" s="4"/>
      <c r="CS122" s="4"/>
      <c r="CT122" s="4"/>
      <c r="CU122" s="4"/>
      <c r="CV122" s="4"/>
    </row>
    <row r="123" spans="1:100"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c r="BS123" s="3"/>
      <c r="BT123" s="3"/>
      <c r="BU123" s="3"/>
      <c r="BV123" s="3"/>
      <c r="BW123" s="3"/>
      <c r="BX123" s="3"/>
      <c r="BY123" s="3"/>
      <c r="BZ123" s="3"/>
      <c r="CA123" s="3"/>
      <c r="CB123" s="3"/>
      <c r="CC123" s="3"/>
      <c r="CD123" s="3"/>
      <c r="CE123" s="3"/>
      <c r="CF123" s="3"/>
      <c r="CG123" s="3"/>
      <c r="CH123" s="3"/>
      <c r="CI123" s="3"/>
      <c r="CJ123" s="3"/>
      <c r="CK123" s="3"/>
      <c r="CL123" s="3"/>
      <c r="CM123" s="3"/>
      <c r="CN123" s="3"/>
      <c r="CO123" s="3"/>
      <c r="CP123" s="3"/>
      <c r="CQ123" s="4"/>
      <c r="CR123" s="4"/>
      <c r="CS123" s="4"/>
      <c r="CT123" s="4"/>
      <c r="CU123" s="4"/>
      <c r="CV123" s="4"/>
    </row>
    <row r="124" spans="1:100"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c r="BS124" s="3"/>
      <c r="BT124" s="3"/>
      <c r="BU124" s="3"/>
      <c r="BV124" s="3"/>
      <c r="BW124" s="3"/>
      <c r="BX124" s="3"/>
      <c r="BY124" s="3"/>
      <c r="BZ124" s="3"/>
      <c r="CA124" s="3"/>
      <c r="CB124" s="3"/>
      <c r="CC124" s="3"/>
      <c r="CD124" s="3"/>
      <c r="CE124" s="3"/>
      <c r="CF124" s="3"/>
      <c r="CG124" s="3"/>
      <c r="CH124" s="3"/>
      <c r="CI124" s="3"/>
      <c r="CJ124" s="3"/>
      <c r="CK124" s="3"/>
      <c r="CL124" s="3"/>
      <c r="CM124" s="3"/>
      <c r="CN124" s="3"/>
      <c r="CO124" s="3"/>
      <c r="CP124" s="3"/>
      <c r="CQ124" s="4"/>
      <c r="CR124" s="4"/>
      <c r="CS124" s="4"/>
      <c r="CT124" s="4"/>
      <c r="CU124" s="4"/>
      <c r="CV124" s="4"/>
    </row>
    <row r="125" spans="1:100"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c r="BS125" s="3"/>
      <c r="BT125" s="3"/>
      <c r="BU125" s="3"/>
      <c r="BV125" s="3"/>
      <c r="BW125" s="3"/>
      <c r="BX125" s="3"/>
      <c r="BY125" s="3"/>
      <c r="BZ125" s="3"/>
      <c r="CA125" s="3"/>
      <c r="CB125" s="3"/>
      <c r="CC125" s="3"/>
      <c r="CD125" s="3"/>
      <c r="CE125" s="3"/>
      <c r="CF125" s="3"/>
      <c r="CG125" s="3"/>
      <c r="CH125" s="3"/>
      <c r="CI125" s="3"/>
      <c r="CJ125" s="3"/>
      <c r="CK125" s="3"/>
      <c r="CL125" s="3"/>
      <c r="CM125" s="3"/>
      <c r="CN125" s="3"/>
      <c r="CO125" s="3"/>
      <c r="CP125" s="3"/>
      <c r="CQ125" s="4"/>
      <c r="CR125" s="4"/>
      <c r="CS125" s="4"/>
      <c r="CT125" s="4"/>
      <c r="CU125" s="4"/>
      <c r="CV125" s="4"/>
    </row>
    <row r="126" spans="1:100"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c r="BS126" s="3"/>
      <c r="BT126" s="3"/>
      <c r="BU126" s="3"/>
      <c r="BV126" s="3"/>
      <c r="BW126" s="3"/>
      <c r="BX126" s="3"/>
      <c r="BY126" s="3"/>
      <c r="BZ126" s="3"/>
      <c r="CA126" s="3"/>
      <c r="CB126" s="3"/>
      <c r="CC126" s="3"/>
      <c r="CD126" s="3"/>
      <c r="CE126" s="3"/>
      <c r="CF126" s="3"/>
      <c r="CG126" s="3"/>
      <c r="CH126" s="3"/>
      <c r="CI126" s="3"/>
      <c r="CJ126" s="3"/>
      <c r="CK126" s="3"/>
      <c r="CL126" s="3"/>
      <c r="CM126" s="3"/>
      <c r="CN126" s="3"/>
      <c r="CO126" s="3"/>
      <c r="CP126" s="3"/>
      <c r="CQ126" s="4"/>
      <c r="CR126" s="4"/>
      <c r="CS126" s="4"/>
      <c r="CT126" s="4"/>
      <c r="CU126" s="4"/>
      <c r="CV126" s="4"/>
    </row>
    <row r="127" spans="1:100"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c r="BS127" s="3"/>
      <c r="BT127" s="3"/>
      <c r="BU127" s="3"/>
      <c r="BV127" s="3"/>
      <c r="BW127" s="3"/>
      <c r="BX127" s="3"/>
      <c r="BY127" s="3"/>
      <c r="BZ127" s="3"/>
      <c r="CA127" s="3"/>
      <c r="CB127" s="3"/>
      <c r="CC127" s="3"/>
      <c r="CD127" s="3"/>
      <c r="CE127" s="3"/>
      <c r="CF127" s="3"/>
      <c r="CG127" s="3"/>
      <c r="CH127" s="3"/>
      <c r="CI127" s="3"/>
      <c r="CJ127" s="3"/>
      <c r="CK127" s="3"/>
      <c r="CL127" s="3"/>
      <c r="CM127" s="3"/>
      <c r="CN127" s="3"/>
      <c r="CO127" s="3"/>
      <c r="CP127" s="3"/>
      <c r="CQ127" s="4"/>
      <c r="CR127" s="4"/>
      <c r="CS127" s="4"/>
      <c r="CT127" s="4"/>
      <c r="CU127" s="4"/>
      <c r="CV127" s="4"/>
    </row>
    <row r="128" spans="1:100"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c r="BS128" s="3"/>
      <c r="BT128" s="3"/>
      <c r="BU128" s="3"/>
      <c r="BV128" s="3"/>
      <c r="BW128" s="3"/>
      <c r="BX128" s="3"/>
      <c r="BY128" s="3"/>
      <c r="BZ128" s="3"/>
      <c r="CA128" s="3"/>
      <c r="CB128" s="3"/>
      <c r="CC128" s="3"/>
      <c r="CD128" s="3"/>
      <c r="CE128" s="3"/>
      <c r="CF128" s="3"/>
      <c r="CG128" s="3"/>
      <c r="CH128" s="3"/>
      <c r="CI128" s="3"/>
      <c r="CJ128" s="3"/>
      <c r="CK128" s="3"/>
      <c r="CL128" s="3"/>
      <c r="CM128" s="3"/>
      <c r="CN128" s="3"/>
      <c r="CO128" s="3"/>
      <c r="CP128" s="3"/>
      <c r="CQ128" s="4"/>
      <c r="CR128" s="4"/>
      <c r="CS128" s="4"/>
      <c r="CT128" s="4"/>
      <c r="CU128" s="4"/>
      <c r="CV128" s="4"/>
    </row>
    <row r="129" spans="1:100"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c r="BS129" s="3"/>
      <c r="BT129" s="3"/>
      <c r="BU129" s="3"/>
      <c r="BV129" s="3"/>
      <c r="BW129" s="3"/>
      <c r="BX129" s="3"/>
      <c r="BY129" s="3"/>
      <c r="BZ129" s="3"/>
      <c r="CA129" s="3"/>
      <c r="CB129" s="3"/>
      <c r="CC129" s="3"/>
      <c r="CD129" s="3"/>
      <c r="CE129" s="3"/>
      <c r="CF129" s="3"/>
      <c r="CG129" s="3"/>
      <c r="CH129" s="3"/>
      <c r="CI129" s="3"/>
      <c r="CJ129" s="3"/>
      <c r="CK129" s="3"/>
      <c r="CL129" s="3"/>
      <c r="CM129" s="3"/>
      <c r="CN129" s="3"/>
      <c r="CO129" s="3"/>
      <c r="CP129" s="3"/>
      <c r="CQ129" s="4"/>
      <c r="CR129" s="4"/>
      <c r="CS129" s="4"/>
      <c r="CT129" s="4"/>
      <c r="CU129" s="4"/>
      <c r="CV129" s="4"/>
    </row>
    <row r="130" spans="1:100"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c r="BS130" s="3"/>
      <c r="BT130" s="3"/>
      <c r="BU130" s="3"/>
      <c r="BV130" s="3"/>
      <c r="BW130" s="3"/>
      <c r="BX130" s="3"/>
      <c r="BY130" s="3"/>
      <c r="BZ130" s="3"/>
      <c r="CA130" s="3"/>
      <c r="CB130" s="3"/>
      <c r="CC130" s="3"/>
      <c r="CD130" s="3"/>
      <c r="CE130" s="3"/>
      <c r="CF130" s="3"/>
      <c r="CG130" s="3"/>
      <c r="CH130" s="3"/>
      <c r="CI130" s="3"/>
      <c r="CJ130" s="3"/>
      <c r="CK130" s="3"/>
      <c r="CL130" s="3"/>
      <c r="CM130" s="3"/>
      <c r="CN130" s="3"/>
      <c r="CO130" s="3"/>
      <c r="CP130" s="3"/>
      <c r="CQ130" s="4"/>
      <c r="CR130" s="4"/>
      <c r="CS130" s="4"/>
      <c r="CT130" s="4"/>
      <c r="CU130" s="4"/>
      <c r="CV130" s="4"/>
    </row>
    <row r="131" spans="1:100"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c r="BS131" s="3"/>
      <c r="BT131" s="3"/>
      <c r="BU131" s="3"/>
      <c r="BV131" s="3"/>
      <c r="BW131" s="3"/>
      <c r="BX131" s="3"/>
      <c r="BY131" s="3"/>
      <c r="BZ131" s="3"/>
      <c r="CA131" s="3"/>
      <c r="CB131" s="3"/>
      <c r="CC131" s="3"/>
      <c r="CD131" s="3"/>
      <c r="CE131" s="3"/>
      <c r="CF131" s="3"/>
      <c r="CG131" s="3"/>
      <c r="CH131" s="3"/>
      <c r="CI131" s="3"/>
      <c r="CJ131" s="3"/>
      <c r="CK131" s="3"/>
      <c r="CL131" s="3"/>
      <c r="CM131" s="3"/>
      <c r="CN131" s="3"/>
      <c r="CO131" s="3"/>
      <c r="CP131" s="3"/>
      <c r="CQ131" s="4"/>
      <c r="CR131" s="4"/>
      <c r="CS131" s="4"/>
      <c r="CT131" s="4"/>
      <c r="CU131" s="4"/>
      <c r="CV131" s="4"/>
    </row>
    <row r="132" spans="1:100"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c r="BS132" s="3"/>
      <c r="BT132" s="3"/>
      <c r="BU132" s="3"/>
      <c r="BV132" s="3"/>
      <c r="BW132" s="3"/>
      <c r="BX132" s="3"/>
      <c r="BY132" s="3"/>
      <c r="BZ132" s="3"/>
      <c r="CA132" s="3"/>
      <c r="CB132" s="3"/>
      <c r="CC132" s="3"/>
      <c r="CD132" s="3"/>
      <c r="CE132" s="3"/>
      <c r="CF132" s="3"/>
      <c r="CG132" s="3"/>
      <c r="CH132" s="3"/>
      <c r="CI132" s="3"/>
      <c r="CJ132" s="3"/>
      <c r="CK132" s="3"/>
      <c r="CL132" s="3"/>
      <c r="CM132" s="3"/>
      <c r="CN132" s="3"/>
      <c r="CO132" s="3"/>
      <c r="CP132" s="3"/>
      <c r="CQ132" s="4"/>
      <c r="CR132" s="4"/>
      <c r="CS132" s="4"/>
      <c r="CT132" s="4"/>
      <c r="CU132" s="4"/>
      <c r="CV132" s="4"/>
    </row>
    <row r="133" spans="1:100"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c r="BS133" s="3"/>
      <c r="BT133" s="3"/>
      <c r="BU133" s="3"/>
      <c r="BV133" s="3"/>
      <c r="BW133" s="3"/>
      <c r="BX133" s="3"/>
      <c r="BY133" s="3"/>
      <c r="BZ133" s="3"/>
      <c r="CA133" s="3"/>
      <c r="CB133" s="3"/>
      <c r="CC133" s="3"/>
      <c r="CD133" s="3"/>
      <c r="CE133" s="3"/>
      <c r="CF133" s="3"/>
      <c r="CG133" s="3"/>
      <c r="CH133" s="3"/>
      <c r="CI133" s="3"/>
      <c r="CJ133" s="3"/>
      <c r="CK133" s="3"/>
      <c r="CL133" s="3"/>
      <c r="CM133" s="3"/>
      <c r="CN133" s="3"/>
      <c r="CO133" s="3"/>
      <c r="CP133" s="3"/>
      <c r="CQ133" s="4"/>
      <c r="CR133" s="4"/>
      <c r="CS133" s="4"/>
      <c r="CT133" s="4"/>
      <c r="CU133" s="4"/>
      <c r="CV133" s="4"/>
    </row>
    <row r="134" spans="1:100"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c r="BS134" s="3"/>
      <c r="BT134" s="3"/>
      <c r="BU134" s="3"/>
      <c r="BV134" s="3"/>
      <c r="BW134" s="3"/>
      <c r="BX134" s="3"/>
      <c r="BY134" s="3"/>
      <c r="BZ134" s="3"/>
      <c r="CA134" s="3"/>
      <c r="CB134" s="3"/>
      <c r="CC134" s="3"/>
      <c r="CD134" s="3"/>
      <c r="CE134" s="3"/>
      <c r="CF134" s="3"/>
      <c r="CG134" s="3"/>
      <c r="CH134" s="3"/>
      <c r="CI134" s="3"/>
      <c r="CJ134" s="3"/>
      <c r="CK134" s="3"/>
      <c r="CL134" s="3"/>
      <c r="CM134" s="3"/>
      <c r="CN134" s="3"/>
      <c r="CO134" s="3"/>
      <c r="CP134" s="3"/>
      <c r="CQ134" s="4"/>
      <c r="CR134" s="4"/>
      <c r="CS134" s="4"/>
      <c r="CT134" s="4"/>
      <c r="CU134" s="4"/>
      <c r="CV134" s="4"/>
    </row>
    <row r="135" spans="1:100"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c r="BS135" s="3"/>
      <c r="BT135" s="3"/>
      <c r="BU135" s="3"/>
      <c r="BV135" s="3"/>
      <c r="BW135" s="3"/>
      <c r="BX135" s="3"/>
      <c r="BY135" s="3"/>
      <c r="BZ135" s="3"/>
      <c r="CA135" s="3"/>
      <c r="CB135" s="3"/>
      <c r="CC135" s="3"/>
      <c r="CD135" s="3"/>
      <c r="CE135" s="3"/>
      <c r="CF135" s="3"/>
      <c r="CG135" s="3"/>
      <c r="CH135" s="3"/>
      <c r="CI135" s="3"/>
      <c r="CJ135" s="3"/>
      <c r="CK135" s="3"/>
      <c r="CL135" s="3"/>
      <c r="CM135" s="3"/>
      <c r="CN135" s="3"/>
      <c r="CO135" s="3"/>
      <c r="CP135" s="3"/>
      <c r="CQ135" s="4"/>
      <c r="CR135" s="4"/>
      <c r="CS135" s="4"/>
      <c r="CT135" s="4"/>
      <c r="CU135" s="4"/>
      <c r="CV135" s="4"/>
    </row>
    <row r="136" spans="1:100"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c r="BS136" s="3"/>
      <c r="BT136" s="3"/>
      <c r="BU136" s="3"/>
      <c r="BV136" s="3"/>
      <c r="BW136" s="3"/>
      <c r="BX136" s="3"/>
      <c r="BY136" s="3"/>
      <c r="BZ136" s="3"/>
      <c r="CA136" s="3"/>
      <c r="CB136" s="3"/>
      <c r="CC136" s="3"/>
      <c r="CD136" s="3"/>
      <c r="CE136" s="3"/>
      <c r="CF136" s="3"/>
      <c r="CG136" s="3"/>
      <c r="CH136" s="3"/>
      <c r="CI136" s="3"/>
      <c r="CJ136" s="3"/>
      <c r="CK136" s="3"/>
      <c r="CL136" s="3"/>
      <c r="CM136" s="3"/>
      <c r="CN136" s="3"/>
      <c r="CO136" s="3"/>
      <c r="CP136" s="3"/>
      <c r="CQ136" s="4"/>
      <c r="CR136" s="4"/>
      <c r="CS136" s="4"/>
      <c r="CT136" s="4"/>
      <c r="CU136" s="4"/>
      <c r="CV136" s="4"/>
    </row>
    <row r="137" spans="1:100"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c r="BS137" s="3"/>
      <c r="BT137" s="3"/>
      <c r="BU137" s="3"/>
      <c r="BV137" s="3"/>
      <c r="BW137" s="3"/>
      <c r="BX137" s="3"/>
      <c r="BY137" s="3"/>
      <c r="BZ137" s="3"/>
      <c r="CA137" s="3"/>
      <c r="CB137" s="3"/>
      <c r="CC137" s="3"/>
      <c r="CD137" s="3"/>
      <c r="CE137" s="3"/>
      <c r="CF137" s="3"/>
      <c r="CG137" s="3"/>
      <c r="CH137" s="3"/>
      <c r="CI137" s="3"/>
      <c r="CJ137" s="3"/>
      <c r="CK137" s="3"/>
      <c r="CL137" s="3"/>
      <c r="CM137" s="3"/>
      <c r="CN137" s="3"/>
      <c r="CO137" s="3"/>
      <c r="CP137" s="3"/>
      <c r="CQ137" s="4"/>
      <c r="CR137" s="4"/>
      <c r="CS137" s="4"/>
      <c r="CT137" s="4"/>
      <c r="CU137" s="4"/>
      <c r="CV137" s="4"/>
    </row>
    <row r="138" spans="1:100"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c r="BS138" s="3"/>
      <c r="BT138" s="3"/>
      <c r="BU138" s="3"/>
      <c r="BV138" s="3"/>
      <c r="BW138" s="3"/>
      <c r="BX138" s="3"/>
      <c r="BY138" s="3"/>
      <c r="BZ138" s="3"/>
      <c r="CA138" s="3"/>
      <c r="CB138" s="3"/>
      <c r="CC138" s="3"/>
      <c r="CD138" s="3"/>
      <c r="CE138" s="3"/>
      <c r="CF138" s="3"/>
      <c r="CG138" s="3"/>
      <c r="CH138" s="3"/>
      <c r="CI138" s="3"/>
      <c r="CJ138" s="3"/>
      <c r="CK138" s="3"/>
      <c r="CL138" s="3"/>
      <c r="CM138" s="3"/>
      <c r="CN138" s="3"/>
      <c r="CO138" s="3"/>
      <c r="CP138" s="3"/>
      <c r="CQ138" s="4"/>
      <c r="CR138" s="4"/>
      <c r="CS138" s="4"/>
      <c r="CT138" s="4"/>
      <c r="CU138" s="4"/>
      <c r="CV138" s="4"/>
    </row>
    <row r="139" spans="1:100"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c r="BS139" s="3"/>
      <c r="BT139" s="3"/>
      <c r="BU139" s="3"/>
      <c r="BV139" s="3"/>
      <c r="BW139" s="3"/>
      <c r="BX139" s="3"/>
      <c r="BY139" s="3"/>
      <c r="BZ139" s="3"/>
      <c r="CA139" s="3"/>
      <c r="CB139" s="3"/>
      <c r="CC139" s="3"/>
      <c r="CD139" s="3"/>
      <c r="CE139" s="3"/>
      <c r="CF139" s="3"/>
      <c r="CG139" s="3"/>
      <c r="CH139" s="3"/>
      <c r="CI139" s="3"/>
      <c r="CJ139" s="3"/>
      <c r="CK139" s="3"/>
      <c r="CL139" s="3"/>
      <c r="CM139" s="3"/>
      <c r="CN139" s="3"/>
      <c r="CO139" s="3"/>
      <c r="CP139" s="3"/>
      <c r="CQ139" s="4"/>
      <c r="CR139" s="4"/>
      <c r="CS139" s="4"/>
      <c r="CT139" s="4"/>
      <c r="CU139" s="4"/>
      <c r="CV139" s="4"/>
    </row>
    <row r="140" spans="1:100"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c r="BS140" s="3"/>
      <c r="BT140" s="3"/>
      <c r="BU140" s="3"/>
      <c r="BV140" s="3"/>
      <c r="BW140" s="3"/>
      <c r="BX140" s="3"/>
      <c r="BY140" s="3"/>
      <c r="BZ140" s="3"/>
      <c r="CA140" s="3"/>
      <c r="CB140" s="3"/>
      <c r="CC140" s="3"/>
      <c r="CD140" s="3"/>
      <c r="CE140" s="3"/>
      <c r="CF140" s="3"/>
      <c r="CG140" s="3"/>
      <c r="CH140" s="3"/>
      <c r="CI140" s="3"/>
      <c r="CJ140" s="3"/>
      <c r="CK140" s="3"/>
      <c r="CL140" s="3"/>
      <c r="CM140" s="3"/>
      <c r="CN140" s="3"/>
      <c r="CO140" s="3"/>
      <c r="CP140" s="3"/>
      <c r="CQ140" s="4"/>
      <c r="CR140" s="4"/>
      <c r="CS140" s="4"/>
      <c r="CT140" s="4"/>
      <c r="CU140" s="4"/>
      <c r="CV140" s="4"/>
    </row>
    <row r="141" spans="1:100"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c r="BS141" s="3"/>
      <c r="BT141" s="3"/>
      <c r="BU141" s="3"/>
      <c r="BV141" s="3"/>
      <c r="BW141" s="3"/>
      <c r="BX141" s="3"/>
      <c r="BY141" s="3"/>
      <c r="BZ141" s="3"/>
      <c r="CA141" s="3"/>
      <c r="CB141" s="3"/>
      <c r="CC141" s="3"/>
      <c r="CD141" s="3"/>
      <c r="CE141" s="3"/>
      <c r="CF141" s="3"/>
      <c r="CG141" s="3"/>
      <c r="CH141" s="3"/>
      <c r="CI141" s="3"/>
      <c r="CJ141" s="3"/>
      <c r="CK141" s="3"/>
      <c r="CL141" s="3"/>
      <c r="CM141" s="3"/>
      <c r="CN141" s="3"/>
      <c r="CO141" s="3"/>
      <c r="CP141" s="3"/>
      <c r="CQ141" s="4"/>
      <c r="CR141" s="4"/>
      <c r="CS141" s="4"/>
      <c r="CT141" s="4"/>
      <c r="CU141" s="4"/>
      <c r="CV141" s="4"/>
    </row>
    <row r="142" spans="1:100"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c r="BS142" s="3"/>
      <c r="BT142" s="3"/>
      <c r="BU142" s="3"/>
      <c r="BV142" s="3"/>
      <c r="BW142" s="3"/>
      <c r="BX142" s="3"/>
      <c r="BY142" s="3"/>
      <c r="BZ142" s="3"/>
      <c r="CA142" s="3"/>
      <c r="CB142" s="3"/>
      <c r="CC142" s="3"/>
      <c r="CD142" s="3"/>
      <c r="CE142" s="3"/>
      <c r="CF142" s="3"/>
      <c r="CG142" s="3"/>
      <c r="CH142" s="3"/>
      <c r="CI142" s="3"/>
      <c r="CJ142" s="3"/>
      <c r="CK142" s="3"/>
      <c r="CL142" s="3"/>
      <c r="CM142" s="3"/>
      <c r="CN142" s="3"/>
      <c r="CO142" s="3"/>
      <c r="CP142" s="3"/>
      <c r="CQ142" s="4"/>
      <c r="CR142" s="4"/>
      <c r="CS142" s="4"/>
      <c r="CT142" s="4"/>
      <c r="CU142" s="4"/>
      <c r="CV142" s="4"/>
    </row>
    <row r="143" spans="1:100"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c r="BS143" s="3"/>
      <c r="BT143" s="3"/>
      <c r="BU143" s="3"/>
      <c r="BV143" s="3"/>
      <c r="BW143" s="3"/>
      <c r="BX143" s="3"/>
      <c r="BY143" s="3"/>
      <c r="BZ143" s="3"/>
      <c r="CA143" s="3"/>
      <c r="CB143" s="3"/>
      <c r="CC143" s="3"/>
      <c r="CD143" s="3"/>
      <c r="CE143" s="3"/>
      <c r="CF143" s="3"/>
      <c r="CG143" s="3"/>
      <c r="CH143" s="3"/>
      <c r="CI143" s="3"/>
      <c r="CJ143" s="3"/>
      <c r="CK143" s="3"/>
      <c r="CL143" s="3"/>
      <c r="CM143" s="3"/>
      <c r="CN143" s="3"/>
      <c r="CO143" s="3"/>
      <c r="CP143" s="3"/>
      <c r="CQ143" s="4"/>
      <c r="CR143" s="4"/>
      <c r="CS143" s="4"/>
      <c r="CT143" s="4"/>
      <c r="CU143" s="4"/>
      <c r="CV143" s="4"/>
    </row>
    <row r="144" spans="1:100"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c r="BS144" s="3"/>
      <c r="BT144" s="3"/>
      <c r="BU144" s="3"/>
      <c r="BV144" s="3"/>
      <c r="BW144" s="3"/>
      <c r="BX144" s="3"/>
      <c r="BY144" s="3"/>
      <c r="BZ144" s="3"/>
      <c r="CA144" s="3"/>
      <c r="CB144" s="3"/>
      <c r="CC144" s="3"/>
      <c r="CD144" s="3"/>
      <c r="CE144" s="3"/>
      <c r="CF144" s="3"/>
      <c r="CG144" s="3"/>
      <c r="CH144" s="3"/>
      <c r="CI144" s="3"/>
      <c r="CJ144" s="3"/>
      <c r="CK144" s="3"/>
      <c r="CL144" s="3"/>
      <c r="CM144" s="3"/>
      <c r="CN144" s="3"/>
      <c r="CO144" s="3"/>
      <c r="CP144" s="3"/>
      <c r="CQ144" s="4"/>
      <c r="CR144" s="4"/>
      <c r="CS144" s="4"/>
      <c r="CT144" s="4"/>
      <c r="CU144" s="4"/>
      <c r="CV144" s="4"/>
    </row>
    <row r="145" spans="1:100"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c r="BS145" s="3"/>
      <c r="BT145" s="3"/>
      <c r="BU145" s="3"/>
      <c r="BV145" s="3"/>
      <c r="BW145" s="3"/>
      <c r="BX145" s="3"/>
      <c r="BY145" s="3"/>
      <c r="BZ145" s="3"/>
      <c r="CA145" s="3"/>
      <c r="CB145" s="3"/>
      <c r="CC145" s="3"/>
      <c r="CD145" s="3"/>
      <c r="CE145" s="3"/>
      <c r="CF145" s="3"/>
      <c r="CG145" s="3"/>
      <c r="CH145" s="3"/>
      <c r="CI145" s="3"/>
      <c r="CJ145" s="3"/>
      <c r="CK145" s="3"/>
      <c r="CL145" s="3"/>
      <c r="CM145" s="3"/>
      <c r="CN145" s="3"/>
      <c r="CO145" s="3"/>
      <c r="CP145" s="3"/>
      <c r="CQ145" s="4"/>
      <c r="CR145" s="4"/>
      <c r="CS145" s="4"/>
      <c r="CT145" s="4"/>
      <c r="CU145" s="4"/>
      <c r="CV145" s="4"/>
    </row>
    <row r="146" spans="1:100"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c r="BQ146" s="3"/>
      <c r="BR146" s="3"/>
      <c r="BS146" s="3"/>
      <c r="BT146" s="3"/>
      <c r="BU146" s="3"/>
      <c r="BV146" s="3"/>
      <c r="BW146" s="3"/>
      <c r="BX146" s="3"/>
      <c r="BY146" s="3"/>
      <c r="BZ146" s="3"/>
      <c r="CA146" s="3"/>
      <c r="CB146" s="3"/>
      <c r="CC146" s="3"/>
      <c r="CD146" s="3"/>
      <c r="CE146" s="3"/>
      <c r="CF146" s="3"/>
      <c r="CG146" s="3"/>
      <c r="CH146" s="3"/>
      <c r="CI146" s="3"/>
      <c r="CJ146" s="3"/>
      <c r="CK146" s="3"/>
      <c r="CL146" s="3"/>
      <c r="CM146" s="3"/>
      <c r="CN146" s="3"/>
      <c r="CO146" s="3"/>
      <c r="CP146" s="3"/>
      <c r="CQ146" s="4"/>
      <c r="CR146" s="4"/>
      <c r="CS146" s="4"/>
      <c r="CT146" s="4"/>
      <c r="CU146" s="4"/>
      <c r="CV146" s="4"/>
    </row>
    <row r="147" spans="1:100"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c r="BP147" s="3"/>
      <c r="BQ147" s="3"/>
      <c r="BR147" s="3"/>
      <c r="BS147" s="3"/>
      <c r="BT147" s="3"/>
      <c r="BU147" s="3"/>
      <c r="BV147" s="3"/>
      <c r="BW147" s="3"/>
      <c r="BX147" s="3"/>
      <c r="BY147" s="3"/>
      <c r="BZ147" s="3"/>
      <c r="CA147" s="3"/>
      <c r="CB147" s="3"/>
      <c r="CC147" s="3"/>
      <c r="CD147" s="3"/>
      <c r="CE147" s="3"/>
      <c r="CF147" s="3"/>
      <c r="CG147" s="3"/>
      <c r="CH147" s="3"/>
      <c r="CI147" s="3"/>
      <c r="CJ147" s="3"/>
      <c r="CK147" s="3"/>
      <c r="CL147" s="3"/>
      <c r="CM147" s="3"/>
      <c r="CN147" s="3"/>
      <c r="CO147" s="3"/>
      <c r="CP147" s="3"/>
      <c r="CQ147" s="4"/>
      <c r="CR147" s="4"/>
      <c r="CS147" s="4"/>
      <c r="CT147" s="4"/>
      <c r="CU147" s="4"/>
      <c r="CV147" s="4"/>
    </row>
    <row r="148" spans="1:100"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c r="BL148" s="3"/>
      <c r="BM148" s="3"/>
      <c r="BN148" s="3"/>
      <c r="BO148" s="3"/>
      <c r="BP148" s="3"/>
      <c r="BQ148" s="3"/>
      <c r="BR148" s="3"/>
      <c r="BS148" s="3"/>
      <c r="BT148" s="3"/>
      <c r="BU148" s="3"/>
      <c r="BV148" s="3"/>
      <c r="BW148" s="3"/>
      <c r="BX148" s="3"/>
      <c r="BY148" s="3"/>
      <c r="BZ148" s="3"/>
      <c r="CA148" s="3"/>
      <c r="CB148" s="3"/>
      <c r="CC148" s="3"/>
      <c r="CD148" s="3"/>
      <c r="CE148" s="3"/>
      <c r="CF148" s="3"/>
      <c r="CG148" s="3"/>
      <c r="CH148" s="3"/>
      <c r="CI148" s="3"/>
      <c r="CJ148" s="3"/>
      <c r="CK148" s="3"/>
      <c r="CL148" s="3"/>
      <c r="CM148" s="3"/>
      <c r="CN148" s="3"/>
      <c r="CO148" s="3"/>
      <c r="CP148" s="3"/>
      <c r="CQ148" s="4"/>
      <c r="CR148" s="4"/>
      <c r="CS148" s="4"/>
      <c r="CT148" s="4"/>
      <c r="CU148" s="4"/>
      <c r="CV148" s="4"/>
    </row>
    <row r="149" spans="1:100"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c r="BL149" s="3"/>
      <c r="BM149" s="3"/>
      <c r="BN149" s="3"/>
      <c r="BO149" s="3"/>
      <c r="BP149" s="3"/>
      <c r="BQ149" s="3"/>
      <c r="BR149" s="3"/>
      <c r="BS149" s="3"/>
      <c r="BT149" s="3"/>
      <c r="BU149" s="3"/>
      <c r="BV149" s="3"/>
      <c r="BW149" s="3"/>
      <c r="BX149" s="3"/>
      <c r="BY149" s="3"/>
      <c r="BZ149" s="3"/>
      <c r="CA149" s="3"/>
      <c r="CB149" s="3"/>
      <c r="CC149" s="3"/>
      <c r="CD149" s="3"/>
      <c r="CE149" s="3"/>
      <c r="CF149" s="3"/>
      <c r="CG149" s="3"/>
      <c r="CH149" s="3"/>
      <c r="CI149" s="3"/>
      <c r="CJ149" s="3"/>
      <c r="CK149" s="3"/>
      <c r="CL149" s="3"/>
      <c r="CM149" s="3"/>
      <c r="CN149" s="3"/>
      <c r="CO149" s="3"/>
      <c r="CP149" s="3"/>
      <c r="CQ149" s="4"/>
      <c r="CR149" s="4"/>
      <c r="CS149" s="4"/>
      <c r="CT149" s="4"/>
      <c r="CU149" s="4"/>
      <c r="CV149" s="4"/>
    </row>
    <row r="150" spans="1:100"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c r="BL150" s="3"/>
      <c r="BM150" s="3"/>
      <c r="BN150" s="3"/>
      <c r="BO150" s="3"/>
      <c r="BP150" s="3"/>
      <c r="BQ150" s="3"/>
      <c r="BR150" s="3"/>
      <c r="BS150" s="3"/>
      <c r="BT150" s="3"/>
      <c r="BU150" s="3"/>
      <c r="BV150" s="3"/>
      <c r="BW150" s="3"/>
      <c r="BX150" s="3"/>
      <c r="BY150" s="3"/>
      <c r="BZ150" s="3"/>
      <c r="CA150" s="3"/>
      <c r="CB150" s="3"/>
      <c r="CC150" s="3"/>
      <c r="CD150" s="3"/>
      <c r="CE150" s="3"/>
      <c r="CF150" s="3"/>
      <c r="CG150" s="3"/>
      <c r="CH150" s="3"/>
      <c r="CI150" s="3"/>
      <c r="CJ150" s="3"/>
      <c r="CK150" s="3"/>
      <c r="CL150" s="3"/>
      <c r="CM150" s="3"/>
      <c r="CN150" s="3"/>
      <c r="CO150" s="3"/>
      <c r="CP150" s="3"/>
      <c r="CQ150" s="4"/>
      <c r="CR150" s="4"/>
      <c r="CS150" s="4"/>
      <c r="CT150" s="4"/>
      <c r="CU150" s="4"/>
      <c r="CV150" s="4"/>
    </row>
    <row r="151" spans="1:100"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c r="BL151" s="3"/>
      <c r="BM151" s="3"/>
      <c r="BN151" s="3"/>
      <c r="BO151" s="3"/>
      <c r="BP151" s="3"/>
      <c r="BQ151" s="3"/>
      <c r="BR151" s="3"/>
      <c r="BS151" s="3"/>
      <c r="BT151" s="3"/>
      <c r="BU151" s="3"/>
      <c r="BV151" s="3"/>
      <c r="BW151" s="3"/>
      <c r="BX151" s="3"/>
      <c r="BY151" s="3"/>
      <c r="BZ151" s="3"/>
      <c r="CA151" s="3"/>
      <c r="CB151" s="3"/>
      <c r="CC151" s="3"/>
      <c r="CD151" s="3"/>
      <c r="CE151" s="3"/>
      <c r="CF151" s="3"/>
      <c r="CG151" s="3"/>
      <c r="CH151" s="3"/>
      <c r="CI151" s="3"/>
      <c r="CJ151" s="3"/>
      <c r="CK151" s="3"/>
      <c r="CL151" s="3"/>
      <c r="CM151" s="3"/>
      <c r="CN151" s="3"/>
      <c r="CO151" s="3"/>
      <c r="CP151" s="3"/>
      <c r="CQ151" s="4"/>
      <c r="CR151" s="4"/>
      <c r="CS151" s="4"/>
      <c r="CT151" s="4"/>
      <c r="CU151" s="4"/>
      <c r="CV151" s="4"/>
    </row>
    <row r="152" spans="1:100"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c r="BL152" s="3"/>
      <c r="BM152" s="3"/>
      <c r="BN152" s="3"/>
      <c r="BO152" s="3"/>
      <c r="BP152" s="3"/>
      <c r="BQ152" s="3"/>
      <c r="BR152" s="3"/>
      <c r="BS152" s="3"/>
      <c r="BT152" s="3"/>
      <c r="BU152" s="3"/>
      <c r="BV152" s="3"/>
      <c r="BW152" s="3"/>
      <c r="BX152" s="3"/>
      <c r="BY152" s="3"/>
      <c r="BZ152" s="3"/>
      <c r="CA152" s="3"/>
      <c r="CB152" s="3"/>
      <c r="CC152" s="3"/>
      <c r="CD152" s="3"/>
      <c r="CE152" s="3"/>
      <c r="CF152" s="3"/>
      <c r="CG152" s="3"/>
      <c r="CH152" s="3"/>
      <c r="CI152" s="3"/>
      <c r="CJ152" s="3"/>
      <c r="CK152" s="3"/>
      <c r="CL152" s="3"/>
      <c r="CM152" s="3"/>
      <c r="CN152" s="3"/>
      <c r="CO152" s="3"/>
      <c r="CP152" s="3"/>
      <c r="CQ152" s="4"/>
      <c r="CR152" s="4"/>
      <c r="CS152" s="4"/>
      <c r="CT152" s="4"/>
      <c r="CU152" s="4"/>
      <c r="CV152" s="4"/>
    </row>
    <row r="153" spans="1:100"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c r="BL153" s="3"/>
      <c r="BM153" s="3"/>
      <c r="BN153" s="3"/>
      <c r="BO153" s="3"/>
      <c r="BP153" s="3"/>
      <c r="BQ153" s="3"/>
      <c r="BR153" s="3"/>
      <c r="BS153" s="3"/>
      <c r="BT153" s="3"/>
      <c r="BU153" s="3"/>
      <c r="BV153" s="3"/>
      <c r="BW153" s="3"/>
      <c r="BX153" s="3"/>
      <c r="BY153" s="3"/>
      <c r="BZ153" s="3"/>
      <c r="CA153" s="3"/>
      <c r="CB153" s="3"/>
      <c r="CC153" s="3"/>
      <c r="CD153" s="3"/>
      <c r="CE153" s="3"/>
      <c r="CF153" s="3"/>
      <c r="CG153" s="3"/>
      <c r="CH153" s="3"/>
      <c r="CI153" s="3"/>
      <c r="CJ153" s="3"/>
      <c r="CK153" s="3"/>
      <c r="CL153" s="3"/>
      <c r="CM153" s="3"/>
      <c r="CN153" s="3"/>
      <c r="CO153" s="3"/>
      <c r="CP153" s="3"/>
      <c r="CQ153" s="4"/>
      <c r="CR153" s="4"/>
      <c r="CS153" s="4"/>
      <c r="CT153" s="4"/>
      <c r="CU153" s="4"/>
      <c r="CV153" s="4"/>
    </row>
    <row r="154" spans="1:100"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c r="BL154" s="3"/>
      <c r="BM154" s="3"/>
      <c r="BN154" s="3"/>
      <c r="BO154" s="3"/>
      <c r="BP154" s="3"/>
      <c r="BQ154" s="3"/>
      <c r="BR154" s="3"/>
      <c r="BS154" s="3"/>
      <c r="BT154" s="3"/>
      <c r="BU154" s="3"/>
      <c r="BV154" s="3"/>
      <c r="BW154" s="3"/>
      <c r="BX154" s="3"/>
      <c r="BY154" s="3"/>
      <c r="BZ154" s="3"/>
      <c r="CA154" s="3"/>
      <c r="CB154" s="3"/>
      <c r="CC154" s="3"/>
      <c r="CD154" s="3"/>
      <c r="CE154" s="3"/>
      <c r="CF154" s="3"/>
      <c r="CG154" s="3"/>
      <c r="CH154" s="3"/>
      <c r="CI154" s="3"/>
      <c r="CJ154" s="3"/>
      <c r="CK154" s="3"/>
      <c r="CL154" s="3"/>
      <c r="CM154" s="3"/>
      <c r="CN154" s="3"/>
      <c r="CO154" s="3"/>
      <c r="CP154" s="3"/>
      <c r="CQ154" s="4"/>
      <c r="CR154" s="4"/>
      <c r="CS154" s="4"/>
      <c r="CT154" s="4"/>
      <c r="CU154" s="4"/>
      <c r="CV154" s="4"/>
    </row>
    <row r="155" spans="1:100"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c r="BL155" s="3"/>
      <c r="BM155" s="3"/>
      <c r="BN155" s="3"/>
      <c r="BO155" s="3"/>
      <c r="BP155" s="3"/>
      <c r="BQ155" s="3"/>
      <c r="BR155" s="3"/>
      <c r="BS155" s="3"/>
      <c r="BT155" s="3"/>
      <c r="BU155" s="3"/>
      <c r="BV155" s="3"/>
      <c r="BW155" s="3"/>
      <c r="BX155" s="3"/>
      <c r="BY155" s="3"/>
      <c r="BZ155" s="3"/>
      <c r="CA155" s="3"/>
      <c r="CB155" s="3"/>
      <c r="CC155" s="3"/>
      <c r="CD155" s="3"/>
      <c r="CE155" s="3"/>
      <c r="CF155" s="3"/>
      <c r="CG155" s="3"/>
      <c r="CH155" s="3"/>
      <c r="CI155" s="3"/>
      <c r="CJ155" s="3"/>
      <c r="CK155" s="3"/>
      <c r="CL155" s="3"/>
      <c r="CM155" s="3"/>
      <c r="CN155" s="3"/>
      <c r="CO155" s="3"/>
      <c r="CP155" s="3"/>
      <c r="CQ155" s="4"/>
      <c r="CR155" s="4"/>
      <c r="CS155" s="4"/>
      <c r="CT155" s="4"/>
      <c r="CU155" s="4"/>
      <c r="CV155" s="4"/>
    </row>
    <row r="156" spans="1:100"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c r="BL156" s="3"/>
      <c r="BM156" s="3"/>
      <c r="BN156" s="3"/>
      <c r="BO156" s="3"/>
      <c r="BP156" s="3"/>
      <c r="BQ156" s="3"/>
      <c r="BR156" s="3"/>
      <c r="BS156" s="3"/>
      <c r="BT156" s="3"/>
      <c r="BU156" s="3"/>
      <c r="BV156" s="3"/>
      <c r="BW156" s="3"/>
      <c r="BX156" s="3"/>
      <c r="BY156" s="3"/>
      <c r="BZ156" s="3"/>
      <c r="CA156" s="3"/>
      <c r="CB156" s="3"/>
      <c r="CC156" s="3"/>
      <c r="CD156" s="3"/>
      <c r="CE156" s="3"/>
      <c r="CF156" s="3"/>
      <c r="CG156" s="3"/>
      <c r="CH156" s="3"/>
      <c r="CI156" s="3"/>
      <c r="CJ156" s="3"/>
      <c r="CK156" s="3"/>
      <c r="CL156" s="3"/>
      <c r="CM156" s="3"/>
      <c r="CN156" s="3"/>
      <c r="CO156" s="3"/>
      <c r="CP156" s="3"/>
      <c r="CQ156" s="4"/>
      <c r="CR156" s="4"/>
      <c r="CS156" s="4"/>
      <c r="CT156" s="4"/>
      <c r="CU156" s="4"/>
      <c r="CV156" s="4"/>
    </row>
    <row r="157" spans="1:100"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c r="BE157" s="3"/>
      <c r="BF157" s="3"/>
      <c r="BG157" s="3"/>
      <c r="BH157" s="3"/>
      <c r="BI157" s="3"/>
      <c r="BJ157" s="3"/>
      <c r="BK157" s="3"/>
      <c r="BL157" s="3"/>
      <c r="BM157" s="3"/>
      <c r="BN157" s="3"/>
      <c r="BO157" s="3"/>
      <c r="BP157" s="3"/>
      <c r="BQ157" s="3"/>
      <c r="BR157" s="3"/>
      <c r="BS157" s="3"/>
      <c r="BT157" s="3"/>
      <c r="BU157" s="3"/>
      <c r="BV157" s="3"/>
      <c r="BW157" s="3"/>
      <c r="BX157" s="3"/>
      <c r="BY157" s="3"/>
      <c r="BZ157" s="3"/>
      <c r="CA157" s="3"/>
      <c r="CB157" s="3"/>
      <c r="CC157" s="3"/>
      <c r="CD157" s="3"/>
      <c r="CE157" s="3"/>
      <c r="CF157" s="3"/>
      <c r="CG157" s="3"/>
      <c r="CH157" s="3"/>
      <c r="CI157" s="3"/>
      <c r="CJ157" s="3"/>
      <c r="CK157" s="3"/>
      <c r="CL157" s="3"/>
      <c r="CM157" s="3"/>
      <c r="CN157" s="3"/>
      <c r="CO157" s="3"/>
      <c r="CP157" s="3"/>
      <c r="CQ157" s="4"/>
      <c r="CR157" s="4"/>
      <c r="CS157" s="4"/>
      <c r="CT157" s="4"/>
      <c r="CU157" s="4"/>
      <c r="CV157" s="4"/>
    </row>
    <row r="158" spans="1:100"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c r="BE158" s="3"/>
      <c r="BF158" s="3"/>
      <c r="BG158" s="3"/>
      <c r="BH158" s="3"/>
      <c r="BI158" s="3"/>
      <c r="BJ158" s="3"/>
      <c r="BK158" s="3"/>
      <c r="BL158" s="3"/>
      <c r="BM158" s="3"/>
      <c r="BN158" s="3"/>
      <c r="BO158" s="3"/>
      <c r="BP158" s="3"/>
      <c r="BQ158" s="3"/>
      <c r="BR158" s="3"/>
      <c r="BS158" s="3"/>
      <c r="BT158" s="3"/>
      <c r="BU158" s="3"/>
      <c r="BV158" s="3"/>
      <c r="BW158" s="3"/>
      <c r="BX158" s="3"/>
      <c r="BY158" s="3"/>
      <c r="BZ158" s="3"/>
      <c r="CA158" s="3"/>
      <c r="CB158" s="3"/>
      <c r="CC158" s="3"/>
      <c r="CD158" s="3"/>
      <c r="CE158" s="3"/>
      <c r="CF158" s="3"/>
      <c r="CG158" s="3"/>
      <c r="CH158" s="3"/>
      <c r="CI158" s="3"/>
      <c r="CJ158" s="3"/>
      <c r="CK158" s="3"/>
      <c r="CL158" s="3"/>
      <c r="CM158" s="3"/>
      <c r="CN158" s="3"/>
      <c r="CO158" s="3"/>
      <c r="CP158" s="3"/>
      <c r="CQ158" s="4"/>
      <c r="CR158" s="4"/>
      <c r="CS158" s="4"/>
      <c r="CT158" s="4"/>
      <c r="CU158" s="4"/>
      <c r="CV158" s="4"/>
    </row>
    <row r="159" spans="1:100"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c r="BE159" s="3"/>
      <c r="BF159" s="3"/>
      <c r="BG159" s="3"/>
      <c r="BH159" s="3"/>
      <c r="BI159" s="3"/>
      <c r="BJ159" s="3"/>
      <c r="BK159" s="3"/>
      <c r="BL159" s="3"/>
      <c r="BM159" s="3"/>
      <c r="BN159" s="3"/>
      <c r="BO159" s="3"/>
      <c r="BP159" s="3"/>
      <c r="BQ159" s="3"/>
      <c r="BR159" s="3"/>
      <c r="BS159" s="3"/>
      <c r="BT159" s="3"/>
      <c r="BU159" s="3"/>
      <c r="BV159" s="3"/>
      <c r="BW159" s="3"/>
      <c r="BX159" s="3"/>
      <c r="BY159" s="3"/>
      <c r="BZ159" s="3"/>
      <c r="CA159" s="3"/>
      <c r="CB159" s="3"/>
      <c r="CC159" s="3"/>
      <c r="CD159" s="3"/>
      <c r="CE159" s="3"/>
      <c r="CF159" s="3"/>
      <c r="CG159" s="3"/>
      <c r="CH159" s="3"/>
      <c r="CI159" s="3"/>
      <c r="CJ159" s="3"/>
      <c r="CK159" s="3"/>
      <c r="CL159" s="3"/>
      <c r="CM159" s="3"/>
      <c r="CN159" s="3"/>
      <c r="CO159" s="3"/>
      <c r="CP159" s="3"/>
      <c r="CQ159" s="4"/>
      <c r="CR159" s="4"/>
      <c r="CS159" s="4"/>
      <c r="CT159" s="4"/>
      <c r="CU159" s="4"/>
      <c r="CV159" s="4"/>
    </row>
    <row r="160" spans="1:100"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c r="BE160" s="3"/>
      <c r="BF160" s="3"/>
      <c r="BG160" s="3"/>
      <c r="BH160" s="3"/>
      <c r="BI160" s="3"/>
      <c r="BJ160" s="3"/>
      <c r="BK160" s="3"/>
      <c r="BL160" s="3"/>
      <c r="BM160" s="3"/>
      <c r="BN160" s="3"/>
      <c r="BO160" s="3"/>
      <c r="BP160" s="3"/>
      <c r="BQ160" s="3"/>
      <c r="BR160" s="3"/>
      <c r="BS160" s="3"/>
      <c r="BT160" s="3"/>
      <c r="BU160" s="3"/>
      <c r="BV160" s="3"/>
      <c r="BW160" s="3"/>
      <c r="BX160" s="3"/>
      <c r="BY160" s="3"/>
      <c r="BZ160" s="3"/>
      <c r="CA160" s="3"/>
      <c r="CB160" s="3"/>
      <c r="CC160" s="3"/>
      <c r="CD160" s="3"/>
      <c r="CE160" s="3"/>
      <c r="CF160" s="3"/>
      <c r="CG160" s="3"/>
      <c r="CH160" s="3"/>
      <c r="CI160" s="3"/>
      <c r="CJ160" s="3"/>
      <c r="CK160" s="3"/>
      <c r="CL160" s="3"/>
      <c r="CM160" s="3"/>
      <c r="CN160" s="3"/>
      <c r="CO160" s="3"/>
      <c r="CP160" s="3"/>
      <c r="CQ160" s="4"/>
      <c r="CR160" s="4"/>
      <c r="CS160" s="4"/>
      <c r="CT160" s="4"/>
      <c r="CU160" s="4"/>
      <c r="CV160" s="4"/>
    </row>
    <row r="161" spans="1:100"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c r="BE161" s="3"/>
      <c r="BF161" s="3"/>
      <c r="BG161" s="3"/>
      <c r="BH161" s="3"/>
      <c r="BI161" s="3"/>
      <c r="BJ161" s="3"/>
      <c r="BK161" s="3"/>
      <c r="BL161" s="3"/>
      <c r="BM161" s="3"/>
      <c r="BN161" s="3"/>
      <c r="BO161" s="3"/>
      <c r="BP161" s="3"/>
      <c r="BQ161" s="3"/>
      <c r="BR161" s="3"/>
      <c r="BS161" s="3"/>
      <c r="BT161" s="3"/>
      <c r="BU161" s="3"/>
      <c r="BV161" s="3"/>
      <c r="BW161" s="3"/>
      <c r="BX161" s="3"/>
      <c r="BY161" s="3"/>
      <c r="BZ161" s="3"/>
      <c r="CA161" s="3"/>
      <c r="CB161" s="3"/>
      <c r="CC161" s="3"/>
      <c r="CD161" s="3"/>
      <c r="CE161" s="3"/>
      <c r="CF161" s="3"/>
      <c r="CG161" s="3"/>
      <c r="CH161" s="3"/>
      <c r="CI161" s="3"/>
      <c r="CJ161" s="3"/>
      <c r="CK161" s="3"/>
      <c r="CL161" s="3"/>
      <c r="CM161" s="3"/>
      <c r="CN161" s="3"/>
      <c r="CO161" s="3"/>
      <c r="CP161" s="3"/>
      <c r="CQ161" s="4"/>
      <c r="CR161" s="4"/>
      <c r="CS161" s="4"/>
      <c r="CT161" s="4"/>
      <c r="CU161" s="4"/>
      <c r="CV161" s="4"/>
    </row>
    <row r="162" spans="1:100"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c r="BE162" s="3"/>
      <c r="BF162" s="3"/>
      <c r="BG162" s="3"/>
      <c r="BH162" s="3"/>
      <c r="BI162" s="3"/>
      <c r="BJ162" s="3"/>
      <c r="BK162" s="3"/>
      <c r="BL162" s="3"/>
      <c r="BM162" s="3"/>
      <c r="BN162" s="3"/>
      <c r="BO162" s="3"/>
      <c r="BP162" s="3"/>
      <c r="BQ162" s="3"/>
      <c r="BR162" s="3"/>
      <c r="BS162" s="3"/>
      <c r="BT162" s="3"/>
      <c r="BU162" s="3"/>
      <c r="BV162" s="3"/>
      <c r="BW162" s="3"/>
      <c r="BX162" s="3"/>
      <c r="BY162" s="3"/>
      <c r="BZ162" s="3"/>
      <c r="CA162" s="3"/>
      <c r="CB162" s="3"/>
      <c r="CC162" s="3"/>
      <c r="CD162" s="3"/>
      <c r="CE162" s="3"/>
      <c r="CF162" s="3"/>
      <c r="CG162" s="3"/>
      <c r="CH162" s="3"/>
      <c r="CI162" s="3"/>
      <c r="CJ162" s="3"/>
      <c r="CK162" s="3"/>
      <c r="CL162" s="3"/>
      <c r="CM162" s="3"/>
      <c r="CN162" s="3"/>
      <c r="CO162" s="3"/>
      <c r="CP162" s="3"/>
      <c r="CQ162" s="4"/>
      <c r="CR162" s="4"/>
      <c r="CS162" s="4"/>
      <c r="CT162" s="4"/>
      <c r="CU162" s="4"/>
      <c r="CV162" s="4"/>
    </row>
    <row r="163" spans="1:100"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c r="BM163" s="3"/>
      <c r="BN163" s="3"/>
      <c r="BO163" s="3"/>
      <c r="BP163" s="3"/>
      <c r="BQ163" s="3"/>
      <c r="BR163" s="3"/>
      <c r="BS163" s="3"/>
      <c r="BT163" s="3"/>
      <c r="BU163" s="3"/>
      <c r="BV163" s="3"/>
      <c r="BW163" s="3"/>
      <c r="BX163" s="3"/>
      <c r="BY163" s="3"/>
      <c r="BZ163" s="3"/>
      <c r="CA163" s="3"/>
      <c r="CB163" s="3"/>
      <c r="CC163" s="3"/>
      <c r="CD163" s="3"/>
      <c r="CE163" s="3"/>
      <c r="CF163" s="3"/>
      <c r="CG163" s="3"/>
      <c r="CH163" s="3"/>
      <c r="CI163" s="3"/>
      <c r="CJ163" s="3"/>
      <c r="CK163" s="3"/>
      <c r="CL163" s="3"/>
      <c r="CM163" s="3"/>
      <c r="CN163" s="3"/>
      <c r="CO163" s="3"/>
      <c r="CP163" s="3"/>
      <c r="CQ163" s="4"/>
      <c r="CR163" s="4"/>
      <c r="CS163" s="4"/>
      <c r="CT163" s="4"/>
      <c r="CU163" s="4"/>
      <c r="CV163" s="4"/>
    </row>
    <row r="164" spans="1:100"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c r="BE164" s="3"/>
      <c r="BF164" s="3"/>
      <c r="BG164" s="3"/>
      <c r="BH164" s="3"/>
      <c r="BI164" s="3"/>
      <c r="BJ164" s="3"/>
      <c r="BK164" s="3"/>
      <c r="BL164" s="3"/>
      <c r="BM164" s="3"/>
      <c r="BN164" s="3"/>
      <c r="BO164" s="3"/>
      <c r="BP164" s="3"/>
      <c r="BQ164" s="3"/>
      <c r="BR164" s="3"/>
      <c r="BS164" s="3"/>
      <c r="BT164" s="3"/>
      <c r="BU164" s="3"/>
      <c r="BV164" s="3"/>
      <c r="BW164" s="3"/>
      <c r="BX164" s="3"/>
      <c r="BY164" s="3"/>
      <c r="BZ164" s="3"/>
      <c r="CA164" s="3"/>
      <c r="CB164" s="3"/>
      <c r="CC164" s="3"/>
      <c r="CD164" s="3"/>
      <c r="CE164" s="3"/>
      <c r="CF164" s="3"/>
      <c r="CG164" s="3"/>
      <c r="CH164" s="3"/>
      <c r="CI164" s="3"/>
      <c r="CJ164" s="3"/>
      <c r="CK164" s="3"/>
      <c r="CL164" s="3"/>
      <c r="CM164" s="3"/>
      <c r="CN164" s="3"/>
      <c r="CO164" s="3"/>
      <c r="CP164" s="3"/>
      <c r="CQ164" s="4"/>
      <c r="CR164" s="4"/>
      <c r="CS164" s="4"/>
      <c r="CT164" s="4"/>
      <c r="CU164" s="4"/>
      <c r="CV164" s="4"/>
    </row>
    <row r="165" spans="1:100"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c r="BE165" s="3"/>
      <c r="BF165" s="3"/>
      <c r="BG165" s="3"/>
      <c r="BH165" s="3"/>
      <c r="BI165" s="3"/>
      <c r="BJ165" s="3"/>
      <c r="BK165" s="3"/>
      <c r="BL165" s="3"/>
      <c r="BM165" s="3"/>
      <c r="BN165" s="3"/>
      <c r="BO165" s="3"/>
      <c r="BP165" s="3"/>
      <c r="BQ165" s="3"/>
      <c r="BR165" s="3"/>
      <c r="BS165" s="3"/>
      <c r="BT165" s="3"/>
      <c r="BU165" s="3"/>
      <c r="BV165" s="3"/>
      <c r="BW165" s="3"/>
      <c r="BX165" s="3"/>
      <c r="BY165" s="3"/>
      <c r="BZ165" s="3"/>
      <c r="CA165" s="3"/>
      <c r="CB165" s="3"/>
      <c r="CC165" s="3"/>
      <c r="CD165" s="3"/>
      <c r="CE165" s="3"/>
      <c r="CF165" s="3"/>
      <c r="CG165" s="3"/>
      <c r="CH165" s="3"/>
      <c r="CI165" s="3"/>
      <c r="CJ165" s="3"/>
      <c r="CK165" s="3"/>
      <c r="CL165" s="3"/>
      <c r="CM165" s="3"/>
      <c r="CN165" s="3"/>
      <c r="CO165" s="3"/>
      <c r="CP165" s="3"/>
      <c r="CQ165" s="4"/>
      <c r="CR165" s="4"/>
      <c r="CS165" s="4"/>
      <c r="CT165" s="4"/>
      <c r="CU165" s="4"/>
      <c r="CV165" s="4"/>
    </row>
    <row r="166" spans="1:100"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c r="BE166" s="3"/>
      <c r="BF166" s="3"/>
      <c r="BG166" s="3"/>
      <c r="BH166" s="3"/>
      <c r="BI166" s="3"/>
      <c r="BJ166" s="3"/>
      <c r="BK166" s="3"/>
      <c r="BL166" s="3"/>
      <c r="BM166" s="3"/>
      <c r="BN166" s="3"/>
      <c r="BO166" s="3"/>
      <c r="BP166" s="3"/>
      <c r="BQ166" s="3"/>
      <c r="BR166" s="3"/>
      <c r="BS166" s="3"/>
      <c r="BT166" s="3"/>
      <c r="BU166" s="3"/>
      <c r="BV166" s="3"/>
      <c r="BW166" s="3"/>
      <c r="BX166" s="3"/>
      <c r="BY166" s="3"/>
      <c r="BZ166" s="3"/>
      <c r="CA166" s="3"/>
      <c r="CB166" s="3"/>
      <c r="CC166" s="3"/>
      <c r="CD166" s="3"/>
      <c r="CE166" s="3"/>
      <c r="CF166" s="3"/>
      <c r="CG166" s="3"/>
      <c r="CH166" s="3"/>
      <c r="CI166" s="3"/>
      <c r="CJ166" s="3"/>
      <c r="CK166" s="3"/>
      <c r="CL166" s="3"/>
      <c r="CM166" s="3"/>
      <c r="CN166" s="3"/>
      <c r="CO166" s="3"/>
      <c r="CP166" s="3"/>
      <c r="CQ166" s="4"/>
      <c r="CR166" s="4"/>
      <c r="CS166" s="4"/>
      <c r="CT166" s="4"/>
      <c r="CU166" s="4"/>
      <c r="CV166" s="4"/>
    </row>
    <row r="167" spans="1:100"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c r="BM167" s="3"/>
      <c r="BN167" s="3"/>
      <c r="BO167" s="3"/>
      <c r="BP167" s="3"/>
      <c r="BQ167" s="3"/>
      <c r="BR167" s="3"/>
      <c r="BS167" s="3"/>
      <c r="BT167" s="3"/>
      <c r="BU167" s="3"/>
      <c r="BV167" s="3"/>
      <c r="BW167" s="3"/>
      <c r="BX167" s="3"/>
      <c r="BY167" s="3"/>
      <c r="BZ167" s="3"/>
      <c r="CA167" s="3"/>
      <c r="CB167" s="3"/>
      <c r="CC167" s="3"/>
      <c r="CD167" s="3"/>
      <c r="CE167" s="3"/>
      <c r="CF167" s="3"/>
      <c r="CG167" s="3"/>
      <c r="CH167" s="3"/>
      <c r="CI167" s="3"/>
      <c r="CJ167" s="3"/>
      <c r="CK167" s="3"/>
      <c r="CL167" s="3"/>
      <c r="CM167" s="3"/>
      <c r="CN167" s="3"/>
      <c r="CO167" s="3"/>
      <c r="CP167" s="3"/>
      <c r="CQ167" s="4"/>
      <c r="CR167" s="4"/>
      <c r="CS167" s="4"/>
      <c r="CT167" s="4"/>
      <c r="CU167" s="4"/>
      <c r="CV167" s="4"/>
    </row>
    <row r="168" spans="1:100"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c r="BM168" s="3"/>
      <c r="BN168" s="3"/>
      <c r="BO168" s="3"/>
      <c r="BP168" s="3"/>
      <c r="BQ168" s="3"/>
      <c r="BR168" s="3"/>
      <c r="BS168" s="3"/>
      <c r="BT168" s="3"/>
      <c r="BU168" s="3"/>
      <c r="BV168" s="3"/>
      <c r="BW168" s="3"/>
      <c r="BX168" s="3"/>
      <c r="BY168" s="3"/>
      <c r="BZ168" s="3"/>
      <c r="CA168" s="3"/>
      <c r="CB168" s="3"/>
      <c r="CC168" s="3"/>
      <c r="CD168" s="3"/>
      <c r="CE168" s="3"/>
      <c r="CF168" s="3"/>
      <c r="CG168" s="3"/>
      <c r="CH168" s="3"/>
      <c r="CI168" s="3"/>
      <c r="CJ168" s="3"/>
      <c r="CK168" s="3"/>
      <c r="CL168" s="3"/>
      <c r="CM168" s="3"/>
      <c r="CN168" s="3"/>
      <c r="CO168" s="3"/>
      <c r="CP168" s="3"/>
      <c r="CQ168" s="4"/>
      <c r="CR168" s="4"/>
      <c r="CS168" s="4"/>
      <c r="CT168" s="4"/>
      <c r="CU168" s="4"/>
      <c r="CV168" s="4"/>
    </row>
    <row r="169" spans="1:100"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c r="BP169" s="3"/>
      <c r="BQ169" s="3"/>
      <c r="BR169" s="3"/>
      <c r="BS169" s="3"/>
      <c r="BT169" s="3"/>
      <c r="BU169" s="3"/>
      <c r="BV169" s="3"/>
      <c r="BW169" s="3"/>
      <c r="BX169" s="3"/>
      <c r="BY169" s="3"/>
      <c r="BZ169" s="3"/>
      <c r="CA169" s="3"/>
      <c r="CB169" s="3"/>
      <c r="CC169" s="3"/>
      <c r="CD169" s="3"/>
      <c r="CE169" s="3"/>
      <c r="CF169" s="3"/>
      <c r="CG169" s="3"/>
      <c r="CH169" s="3"/>
      <c r="CI169" s="3"/>
      <c r="CJ169" s="3"/>
      <c r="CK169" s="3"/>
      <c r="CL169" s="3"/>
      <c r="CM169" s="3"/>
      <c r="CN169" s="3"/>
      <c r="CO169" s="3"/>
      <c r="CP169" s="3"/>
      <c r="CQ169" s="4"/>
      <c r="CR169" s="4"/>
      <c r="CS169" s="4"/>
      <c r="CT169" s="4"/>
      <c r="CU169" s="4"/>
      <c r="CV169" s="4"/>
    </row>
    <row r="170" spans="1:100"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c r="BS170" s="3"/>
      <c r="BT170" s="3"/>
      <c r="BU170" s="3"/>
      <c r="BV170" s="3"/>
      <c r="BW170" s="3"/>
      <c r="BX170" s="3"/>
      <c r="BY170" s="3"/>
      <c r="BZ170" s="3"/>
      <c r="CA170" s="3"/>
      <c r="CB170" s="3"/>
      <c r="CC170" s="3"/>
      <c r="CD170" s="3"/>
      <c r="CE170" s="3"/>
      <c r="CF170" s="3"/>
      <c r="CG170" s="3"/>
      <c r="CH170" s="3"/>
      <c r="CI170" s="3"/>
      <c r="CJ170" s="3"/>
      <c r="CK170" s="3"/>
      <c r="CL170" s="3"/>
      <c r="CM170" s="3"/>
      <c r="CN170" s="3"/>
      <c r="CO170" s="3"/>
      <c r="CP170" s="3"/>
      <c r="CQ170" s="4"/>
      <c r="CR170" s="4"/>
      <c r="CS170" s="4"/>
      <c r="CT170" s="4"/>
      <c r="CU170" s="4"/>
      <c r="CV170" s="4"/>
    </row>
    <row r="171" spans="1:100"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c r="BP171" s="3"/>
      <c r="BQ171" s="3"/>
      <c r="BR171" s="3"/>
      <c r="BS171" s="3"/>
      <c r="BT171" s="3"/>
      <c r="BU171" s="3"/>
      <c r="BV171" s="3"/>
      <c r="BW171" s="3"/>
      <c r="BX171" s="3"/>
      <c r="BY171" s="3"/>
      <c r="BZ171" s="3"/>
      <c r="CA171" s="3"/>
      <c r="CB171" s="3"/>
      <c r="CC171" s="3"/>
      <c r="CD171" s="3"/>
      <c r="CE171" s="3"/>
      <c r="CF171" s="3"/>
      <c r="CG171" s="3"/>
      <c r="CH171" s="3"/>
      <c r="CI171" s="3"/>
      <c r="CJ171" s="3"/>
      <c r="CK171" s="3"/>
      <c r="CL171" s="3"/>
      <c r="CM171" s="3"/>
      <c r="CN171" s="3"/>
      <c r="CO171" s="3"/>
      <c r="CP171" s="3"/>
      <c r="CQ171" s="4"/>
      <c r="CR171" s="4"/>
      <c r="CS171" s="4"/>
      <c r="CT171" s="4"/>
      <c r="CU171" s="4"/>
      <c r="CV171" s="4"/>
    </row>
    <row r="172" spans="1:100"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c r="BQ172" s="3"/>
      <c r="BR172" s="3"/>
      <c r="BS172" s="3"/>
      <c r="BT172" s="3"/>
      <c r="BU172" s="3"/>
      <c r="BV172" s="3"/>
      <c r="BW172" s="3"/>
      <c r="BX172" s="3"/>
      <c r="BY172" s="3"/>
      <c r="BZ172" s="3"/>
      <c r="CA172" s="3"/>
      <c r="CB172" s="3"/>
      <c r="CC172" s="3"/>
      <c r="CD172" s="3"/>
      <c r="CE172" s="3"/>
      <c r="CF172" s="3"/>
      <c r="CG172" s="3"/>
      <c r="CH172" s="3"/>
      <c r="CI172" s="3"/>
      <c r="CJ172" s="3"/>
      <c r="CK172" s="3"/>
      <c r="CL172" s="3"/>
      <c r="CM172" s="3"/>
      <c r="CN172" s="3"/>
      <c r="CO172" s="3"/>
      <c r="CP172" s="3"/>
      <c r="CQ172" s="4"/>
      <c r="CR172" s="4"/>
      <c r="CS172" s="4"/>
      <c r="CT172" s="4"/>
      <c r="CU172" s="4"/>
      <c r="CV172" s="4"/>
    </row>
    <row r="173" spans="1:100"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c r="BP173" s="3"/>
      <c r="BQ173" s="3"/>
      <c r="BR173" s="3"/>
      <c r="BS173" s="3"/>
      <c r="BT173" s="3"/>
      <c r="BU173" s="3"/>
      <c r="BV173" s="3"/>
      <c r="BW173" s="3"/>
      <c r="BX173" s="3"/>
      <c r="BY173" s="3"/>
      <c r="BZ173" s="3"/>
      <c r="CA173" s="3"/>
      <c r="CB173" s="3"/>
      <c r="CC173" s="3"/>
      <c r="CD173" s="3"/>
      <c r="CE173" s="3"/>
      <c r="CF173" s="3"/>
      <c r="CG173" s="3"/>
      <c r="CH173" s="3"/>
      <c r="CI173" s="3"/>
      <c r="CJ173" s="3"/>
      <c r="CK173" s="3"/>
      <c r="CL173" s="3"/>
      <c r="CM173" s="3"/>
      <c r="CN173" s="3"/>
      <c r="CO173" s="3"/>
      <c r="CP173" s="3"/>
      <c r="CQ173" s="4"/>
      <c r="CR173" s="4"/>
      <c r="CS173" s="4"/>
      <c r="CT173" s="4"/>
      <c r="CU173" s="4"/>
      <c r="CV173" s="4"/>
    </row>
    <row r="174" spans="1:100"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c r="BQ174" s="3"/>
      <c r="BR174" s="3"/>
      <c r="BS174" s="3"/>
      <c r="BT174" s="3"/>
      <c r="BU174" s="3"/>
      <c r="BV174" s="3"/>
      <c r="BW174" s="3"/>
      <c r="BX174" s="3"/>
      <c r="BY174" s="3"/>
      <c r="BZ174" s="3"/>
      <c r="CA174" s="3"/>
      <c r="CB174" s="3"/>
      <c r="CC174" s="3"/>
      <c r="CD174" s="3"/>
      <c r="CE174" s="3"/>
      <c r="CF174" s="3"/>
      <c r="CG174" s="3"/>
      <c r="CH174" s="3"/>
      <c r="CI174" s="3"/>
      <c r="CJ174" s="3"/>
      <c r="CK174" s="3"/>
      <c r="CL174" s="3"/>
      <c r="CM174" s="3"/>
      <c r="CN174" s="3"/>
      <c r="CO174" s="3"/>
      <c r="CP174" s="3"/>
      <c r="CQ174" s="4"/>
      <c r="CR174" s="4"/>
      <c r="CS174" s="4"/>
      <c r="CT174" s="4"/>
      <c r="CU174" s="4"/>
      <c r="CV174" s="4"/>
    </row>
    <row r="175" spans="1:100"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c r="BQ175" s="3"/>
      <c r="BR175" s="3"/>
      <c r="BS175" s="3"/>
      <c r="BT175" s="3"/>
      <c r="BU175" s="3"/>
      <c r="BV175" s="3"/>
      <c r="BW175" s="3"/>
      <c r="BX175" s="3"/>
      <c r="BY175" s="3"/>
      <c r="BZ175" s="3"/>
      <c r="CA175" s="3"/>
      <c r="CB175" s="3"/>
      <c r="CC175" s="3"/>
      <c r="CD175" s="3"/>
      <c r="CE175" s="3"/>
      <c r="CF175" s="3"/>
      <c r="CG175" s="3"/>
      <c r="CH175" s="3"/>
      <c r="CI175" s="3"/>
      <c r="CJ175" s="3"/>
      <c r="CK175" s="3"/>
      <c r="CL175" s="3"/>
      <c r="CM175" s="3"/>
      <c r="CN175" s="3"/>
      <c r="CO175" s="3"/>
      <c r="CP175" s="3"/>
      <c r="CQ175" s="4"/>
      <c r="CR175" s="4"/>
      <c r="CS175" s="4"/>
      <c r="CT175" s="4"/>
      <c r="CU175" s="4"/>
      <c r="CV175" s="4"/>
    </row>
    <row r="176" spans="1:100"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c r="BQ176" s="3"/>
      <c r="BR176" s="3"/>
      <c r="BS176" s="3"/>
      <c r="BT176" s="3"/>
      <c r="BU176" s="3"/>
      <c r="BV176" s="3"/>
      <c r="BW176" s="3"/>
      <c r="BX176" s="3"/>
      <c r="BY176" s="3"/>
      <c r="BZ176" s="3"/>
      <c r="CA176" s="3"/>
      <c r="CB176" s="3"/>
      <c r="CC176" s="3"/>
      <c r="CD176" s="3"/>
      <c r="CE176" s="3"/>
      <c r="CF176" s="3"/>
      <c r="CG176" s="3"/>
      <c r="CH176" s="3"/>
      <c r="CI176" s="3"/>
      <c r="CJ176" s="3"/>
      <c r="CK176" s="3"/>
      <c r="CL176" s="3"/>
      <c r="CM176" s="3"/>
      <c r="CN176" s="3"/>
      <c r="CO176" s="3"/>
      <c r="CP176" s="3"/>
      <c r="CQ176" s="4"/>
      <c r="CR176" s="4"/>
      <c r="CS176" s="4"/>
      <c r="CT176" s="4"/>
      <c r="CU176" s="4"/>
      <c r="CV176" s="4"/>
    </row>
    <row r="177" spans="1:100"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c r="BP177" s="3"/>
      <c r="BQ177" s="3"/>
      <c r="BR177" s="3"/>
      <c r="BS177" s="3"/>
      <c r="BT177" s="3"/>
      <c r="BU177" s="3"/>
      <c r="BV177" s="3"/>
      <c r="BW177" s="3"/>
      <c r="BX177" s="3"/>
      <c r="BY177" s="3"/>
      <c r="BZ177" s="3"/>
      <c r="CA177" s="3"/>
      <c r="CB177" s="3"/>
      <c r="CC177" s="3"/>
      <c r="CD177" s="3"/>
      <c r="CE177" s="3"/>
      <c r="CF177" s="3"/>
      <c r="CG177" s="3"/>
      <c r="CH177" s="3"/>
      <c r="CI177" s="3"/>
      <c r="CJ177" s="3"/>
      <c r="CK177" s="3"/>
      <c r="CL177" s="3"/>
      <c r="CM177" s="3"/>
      <c r="CN177" s="3"/>
      <c r="CO177" s="3"/>
      <c r="CP177" s="3"/>
      <c r="CQ177" s="4"/>
      <c r="CR177" s="4"/>
      <c r="CS177" s="4"/>
      <c r="CT177" s="4"/>
      <c r="CU177" s="4"/>
      <c r="CV177" s="4"/>
    </row>
    <row r="178" spans="1:100"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c r="BP178" s="3"/>
      <c r="BQ178" s="3"/>
      <c r="BR178" s="3"/>
      <c r="BS178" s="3"/>
      <c r="BT178" s="3"/>
      <c r="BU178" s="3"/>
      <c r="BV178" s="3"/>
      <c r="BW178" s="3"/>
      <c r="BX178" s="3"/>
      <c r="BY178" s="3"/>
      <c r="BZ178" s="3"/>
      <c r="CA178" s="3"/>
      <c r="CB178" s="3"/>
      <c r="CC178" s="3"/>
      <c r="CD178" s="3"/>
      <c r="CE178" s="3"/>
      <c r="CF178" s="3"/>
      <c r="CG178" s="3"/>
      <c r="CH178" s="3"/>
      <c r="CI178" s="3"/>
      <c r="CJ178" s="3"/>
      <c r="CK178" s="3"/>
      <c r="CL178" s="3"/>
      <c r="CM178" s="3"/>
      <c r="CN178" s="3"/>
      <c r="CO178" s="3"/>
      <c r="CP178" s="3"/>
      <c r="CQ178" s="4"/>
      <c r="CR178" s="4"/>
      <c r="CS178" s="4"/>
      <c r="CT178" s="4"/>
      <c r="CU178" s="4"/>
      <c r="CV178" s="4"/>
    </row>
    <row r="179" spans="1:100"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c r="BP179" s="3"/>
      <c r="BQ179" s="3"/>
      <c r="BR179" s="3"/>
      <c r="BS179" s="3"/>
      <c r="BT179" s="3"/>
      <c r="BU179" s="3"/>
      <c r="BV179" s="3"/>
      <c r="BW179" s="3"/>
      <c r="BX179" s="3"/>
      <c r="BY179" s="3"/>
      <c r="BZ179" s="3"/>
      <c r="CA179" s="3"/>
      <c r="CB179" s="3"/>
      <c r="CC179" s="3"/>
      <c r="CD179" s="3"/>
      <c r="CE179" s="3"/>
      <c r="CF179" s="3"/>
      <c r="CG179" s="3"/>
      <c r="CH179" s="3"/>
      <c r="CI179" s="3"/>
      <c r="CJ179" s="3"/>
      <c r="CK179" s="3"/>
      <c r="CL179" s="3"/>
      <c r="CM179" s="3"/>
      <c r="CN179" s="3"/>
      <c r="CO179" s="3"/>
      <c r="CP179" s="3"/>
      <c r="CQ179" s="4"/>
      <c r="CR179" s="4"/>
      <c r="CS179" s="4"/>
      <c r="CT179" s="4"/>
      <c r="CU179" s="4"/>
      <c r="CV179" s="4"/>
    </row>
    <row r="180" spans="1:100"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c r="BS180" s="3"/>
      <c r="BT180" s="3"/>
      <c r="BU180" s="3"/>
      <c r="BV180" s="3"/>
      <c r="BW180" s="3"/>
      <c r="BX180" s="3"/>
      <c r="BY180" s="3"/>
      <c r="BZ180" s="3"/>
      <c r="CA180" s="3"/>
      <c r="CB180" s="3"/>
      <c r="CC180" s="3"/>
      <c r="CD180" s="3"/>
      <c r="CE180" s="3"/>
      <c r="CF180" s="3"/>
      <c r="CG180" s="3"/>
      <c r="CH180" s="3"/>
      <c r="CI180" s="3"/>
      <c r="CJ180" s="3"/>
      <c r="CK180" s="3"/>
      <c r="CL180" s="3"/>
      <c r="CM180" s="3"/>
      <c r="CN180" s="3"/>
      <c r="CO180" s="3"/>
      <c r="CP180" s="3"/>
      <c r="CQ180" s="4"/>
      <c r="CR180" s="4"/>
      <c r="CS180" s="4"/>
      <c r="CT180" s="4"/>
      <c r="CU180" s="4"/>
      <c r="CV180" s="4"/>
    </row>
    <row r="181" spans="1:100"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c r="BP181" s="3"/>
      <c r="BQ181" s="3"/>
      <c r="BR181" s="3"/>
      <c r="BS181" s="3"/>
      <c r="BT181" s="3"/>
      <c r="BU181" s="3"/>
      <c r="BV181" s="3"/>
      <c r="BW181" s="3"/>
      <c r="BX181" s="3"/>
      <c r="BY181" s="3"/>
      <c r="BZ181" s="3"/>
      <c r="CA181" s="3"/>
      <c r="CB181" s="3"/>
      <c r="CC181" s="3"/>
      <c r="CD181" s="3"/>
      <c r="CE181" s="3"/>
      <c r="CF181" s="3"/>
      <c r="CG181" s="3"/>
      <c r="CH181" s="3"/>
      <c r="CI181" s="3"/>
      <c r="CJ181" s="3"/>
      <c r="CK181" s="3"/>
      <c r="CL181" s="3"/>
      <c r="CM181" s="3"/>
      <c r="CN181" s="3"/>
      <c r="CO181" s="3"/>
      <c r="CP181" s="3"/>
      <c r="CQ181" s="4"/>
      <c r="CR181" s="4"/>
      <c r="CS181" s="4"/>
      <c r="CT181" s="4"/>
      <c r="CU181" s="4"/>
      <c r="CV181" s="4"/>
    </row>
    <row r="182" spans="1:100"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c r="BQ182" s="3"/>
      <c r="BR182" s="3"/>
      <c r="BS182" s="3"/>
      <c r="BT182" s="3"/>
      <c r="BU182" s="3"/>
      <c r="BV182" s="3"/>
      <c r="BW182" s="3"/>
      <c r="BX182" s="3"/>
      <c r="BY182" s="3"/>
      <c r="BZ182" s="3"/>
      <c r="CA182" s="3"/>
      <c r="CB182" s="3"/>
      <c r="CC182" s="3"/>
      <c r="CD182" s="3"/>
      <c r="CE182" s="3"/>
      <c r="CF182" s="3"/>
      <c r="CG182" s="3"/>
      <c r="CH182" s="3"/>
      <c r="CI182" s="3"/>
      <c r="CJ182" s="3"/>
      <c r="CK182" s="3"/>
      <c r="CL182" s="3"/>
      <c r="CM182" s="3"/>
      <c r="CN182" s="3"/>
      <c r="CO182" s="3"/>
      <c r="CP182" s="3"/>
      <c r="CQ182" s="4"/>
      <c r="CR182" s="4"/>
      <c r="CS182" s="4"/>
      <c r="CT182" s="4"/>
      <c r="CU182" s="4"/>
      <c r="CV182" s="4"/>
    </row>
    <row r="183" spans="1:100"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c r="BP183" s="3"/>
      <c r="BQ183" s="3"/>
      <c r="BR183" s="3"/>
      <c r="BS183" s="3"/>
      <c r="BT183" s="3"/>
      <c r="BU183" s="3"/>
      <c r="BV183" s="3"/>
      <c r="BW183" s="3"/>
      <c r="BX183" s="3"/>
      <c r="BY183" s="3"/>
      <c r="BZ183" s="3"/>
      <c r="CA183" s="3"/>
      <c r="CB183" s="3"/>
      <c r="CC183" s="3"/>
      <c r="CD183" s="3"/>
      <c r="CE183" s="3"/>
      <c r="CF183" s="3"/>
      <c r="CG183" s="3"/>
      <c r="CH183" s="3"/>
      <c r="CI183" s="3"/>
      <c r="CJ183" s="3"/>
      <c r="CK183" s="3"/>
      <c r="CL183" s="3"/>
      <c r="CM183" s="3"/>
      <c r="CN183" s="3"/>
      <c r="CO183" s="3"/>
      <c r="CP183" s="3"/>
      <c r="CQ183" s="4"/>
      <c r="CR183" s="4"/>
      <c r="CS183" s="4"/>
      <c r="CT183" s="4"/>
      <c r="CU183" s="4"/>
      <c r="CV183" s="4"/>
    </row>
    <row r="184" spans="1:100"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c r="BP184" s="3"/>
      <c r="BQ184" s="3"/>
      <c r="BR184" s="3"/>
      <c r="BS184" s="3"/>
      <c r="BT184" s="3"/>
      <c r="BU184" s="3"/>
      <c r="BV184" s="3"/>
      <c r="BW184" s="3"/>
      <c r="BX184" s="3"/>
      <c r="BY184" s="3"/>
      <c r="BZ184" s="3"/>
      <c r="CA184" s="3"/>
      <c r="CB184" s="3"/>
      <c r="CC184" s="3"/>
      <c r="CD184" s="3"/>
      <c r="CE184" s="3"/>
      <c r="CF184" s="3"/>
      <c r="CG184" s="3"/>
      <c r="CH184" s="3"/>
      <c r="CI184" s="3"/>
      <c r="CJ184" s="3"/>
      <c r="CK184" s="3"/>
      <c r="CL184" s="3"/>
      <c r="CM184" s="3"/>
      <c r="CN184" s="3"/>
      <c r="CO184" s="3"/>
      <c r="CP184" s="3"/>
      <c r="CQ184" s="4"/>
      <c r="CR184" s="4"/>
      <c r="CS184" s="4"/>
      <c r="CT184" s="4"/>
      <c r="CU184" s="4"/>
      <c r="CV184" s="4"/>
    </row>
    <row r="185" spans="1:100"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c r="BQ185" s="3"/>
      <c r="BR185" s="3"/>
      <c r="BS185" s="3"/>
      <c r="BT185" s="3"/>
      <c r="BU185" s="3"/>
      <c r="BV185" s="3"/>
      <c r="BW185" s="3"/>
      <c r="BX185" s="3"/>
      <c r="BY185" s="3"/>
      <c r="BZ185" s="3"/>
      <c r="CA185" s="3"/>
      <c r="CB185" s="3"/>
      <c r="CC185" s="3"/>
      <c r="CD185" s="3"/>
      <c r="CE185" s="3"/>
      <c r="CF185" s="3"/>
      <c r="CG185" s="3"/>
      <c r="CH185" s="3"/>
      <c r="CI185" s="3"/>
      <c r="CJ185" s="3"/>
      <c r="CK185" s="3"/>
      <c r="CL185" s="3"/>
      <c r="CM185" s="3"/>
      <c r="CN185" s="3"/>
      <c r="CO185" s="3"/>
      <c r="CP185" s="3"/>
      <c r="CQ185" s="4"/>
      <c r="CR185" s="4"/>
      <c r="CS185" s="4"/>
      <c r="CT185" s="4"/>
      <c r="CU185" s="4"/>
      <c r="CV185" s="4"/>
    </row>
    <row r="186" spans="1:100"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c r="BP186" s="3"/>
      <c r="BQ186" s="3"/>
      <c r="BR186" s="3"/>
      <c r="BS186" s="3"/>
      <c r="BT186" s="3"/>
      <c r="BU186" s="3"/>
      <c r="BV186" s="3"/>
      <c r="BW186" s="3"/>
      <c r="BX186" s="3"/>
      <c r="BY186" s="3"/>
      <c r="BZ186" s="3"/>
      <c r="CA186" s="3"/>
      <c r="CB186" s="3"/>
      <c r="CC186" s="3"/>
      <c r="CD186" s="3"/>
      <c r="CE186" s="3"/>
      <c r="CF186" s="3"/>
      <c r="CG186" s="3"/>
      <c r="CH186" s="3"/>
      <c r="CI186" s="3"/>
      <c r="CJ186" s="3"/>
      <c r="CK186" s="3"/>
      <c r="CL186" s="3"/>
      <c r="CM186" s="3"/>
      <c r="CN186" s="3"/>
      <c r="CO186" s="3"/>
      <c r="CP186" s="3"/>
      <c r="CQ186" s="4"/>
      <c r="CR186" s="4"/>
      <c r="CS186" s="4"/>
      <c r="CT186" s="4"/>
      <c r="CU186" s="4"/>
      <c r="CV186" s="4"/>
    </row>
    <row r="187" spans="1:100"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c r="BQ187" s="3"/>
      <c r="BR187" s="3"/>
      <c r="BS187" s="3"/>
      <c r="BT187" s="3"/>
      <c r="BU187" s="3"/>
      <c r="BV187" s="3"/>
      <c r="BW187" s="3"/>
      <c r="BX187" s="3"/>
      <c r="BY187" s="3"/>
      <c r="BZ187" s="3"/>
      <c r="CA187" s="3"/>
      <c r="CB187" s="3"/>
      <c r="CC187" s="3"/>
      <c r="CD187" s="3"/>
      <c r="CE187" s="3"/>
      <c r="CF187" s="3"/>
      <c r="CG187" s="3"/>
      <c r="CH187" s="3"/>
      <c r="CI187" s="3"/>
      <c r="CJ187" s="3"/>
      <c r="CK187" s="3"/>
      <c r="CL187" s="3"/>
      <c r="CM187" s="3"/>
      <c r="CN187" s="3"/>
      <c r="CO187" s="3"/>
      <c r="CP187" s="3"/>
      <c r="CQ187" s="4"/>
      <c r="CR187" s="4"/>
      <c r="CS187" s="4"/>
      <c r="CT187" s="4"/>
      <c r="CU187" s="4"/>
      <c r="CV187" s="4"/>
    </row>
    <row r="188" spans="1:100"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c r="BP188" s="3"/>
      <c r="BQ188" s="3"/>
      <c r="BR188" s="3"/>
      <c r="BS188" s="3"/>
      <c r="BT188" s="3"/>
      <c r="BU188" s="3"/>
      <c r="BV188" s="3"/>
      <c r="BW188" s="3"/>
      <c r="BX188" s="3"/>
      <c r="BY188" s="3"/>
      <c r="BZ188" s="3"/>
      <c r="CA188" s="3"/>
      <c r="CB188" s="3"/>
      <c r="CC188" s="3"/>
      <c r="CD188" s="3"/>
      <c r="CE188" s="3"/>
      <c r="CF188" s="3"/>
      <c r="CG188" s="3"/>
      <c r="CH188" s="3"/>
      <c r="CI188" s="3"/>
      <c r="CJ188" s="3"/>
      <c r="CK188" s="3"/>
      <c r="CL188" s="3"/>
      <c r="CM188" s="3"/>
      <c r="CN188" s="3"/>
      <c r="CO188" s="3"/>
      <c r="CP188" s="3"/>
      <c r="CQ188" s="4"/>
      <c r="CR188" s="4"/>
      <c r="CS188" s="4"/>
      <c r="CT188" s="4"/>
      <c r="CU188" s="4"/>
      <c r="CV188" s="4"/>
    </row>
    <row r="189" spans="1:100"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c r="BR189" s="3"/>
      <c r="BS189" s="3"/>
      <c r="BT189" s="3"/>
      <c r="BU189" s="3"/>
      <c r="BV189" s="3"/>
      <c r="BW189" s="3"/>
      <c r="BX189" s="3"/>
      <c r="BY189" s="3"/>
      <c r="BZ189" s="3"/>
      <c r="CA189" s="3"/>
      <c r="CB189" s="3"/>
      <c r="CC189" s="3"/>
      <c r="CD189" s="3"/>
      <c r="CE189" s="3"/>
      <c r="CF189" s="3"/>
      <c r="CG189" s="3"/>
      <c r="CH189" s="3"/>
      <c r="CI189" s="3"/>
      <c r="CJ189" s="3"/>
      <c r="CK189" s="3"/>
      <c r="CL189" s="3"/>
      <c r="CM189" s="3"/>
      <c r="CN189" s="3"/>
      <c r="CO189" s="3"/>
      <c r="CP189" s="3"/>
      <c r="CQ189" s="4"/>
      <c r="CR189" s="4"/>
      <c r="CS189" s="4"/>
      <c r="CT189" s="4"/>
      <c r="CU189" s="4"/>
      <c r="CV189" s="4"/>
    </row>
    <row r="190" spans="1:100"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c r="BS190" s="3"/>
      <c r="BT190" s="3"/>
      <c r="BU190" s="3"/>
      <c r="BV190" s="3"/>
      <c r="BW190" s="3"/>
      <c r="BX190" s="3"/>
      <c r="BY190" s="3"/>
      <c r="BZ190" s="3"/>
      <c r="CA190" s="3"/>
      <c r="CB190" s="3"/>
      <c r="CC190" s="3"/>
      <c r="CD190" s="3"/>
      <c r="CE190" s="3"/>
      <c r="CF190" s="3"/>
      <c r="CG190" s="3"/>
      <c r="CH190" s="3"/>
      <c r="CI190" s="3"/>
      <c r="CJ190" s="3"/>
      <c r="CK190" s="3"/>
      <c r="CL190" s="3"/>
      <c r="CM190" s="3"/>
      <c r="CN190" s="3"/>
      <c r="CO190" s="3"/>
      <c r="CP190" s="3"/>
      <c r="CQ190" s="4"/>
      <c r="CR190" s="4"/>
      <c r="CS190" s="4"/>
      <c r="CT190" s="4"/>
      <c r="CU190" s="4"/>
      <c r="CV190" s="4"/>
    </row>
    <row r="191" spans="1:100"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c r="BR191" s="3"/>
      <c r="BS191" s="3"/>
      <c r="BT191" s="3"/>
      <c r="BU191" s="3"/>
      <c r="BV191" s="3"/>
      <c r="BW191" s="3"/>
      <c r="BX191" s="3"/>
      <c r="BY191" s="3"/>
      <c r="BZ191" s="3"/>
      <c r="CA191" s="3"/>
      <c r="CB191" s="3"/>
      <c r="CC191" s="3"/>
      <c r="CD191" s="3"/>
      <c r="CE191" s="3"/>
      <c r="CF191" s="3"/>
      <c r="CG191" s="3"/>
      <c r="CH191" s="3"/>
      <c r="CI191" s="3"/>
      <c r="CJ191" s="3"/>
      <c r="CK191" s="3"/>
      <c r="CL191" s="3"/>
      <c r="CM191" s="3"/>
      <c r="CN191" s="3"/>
      <c r="CO191" s="3"/>
      <c r="CP191" s="3"/>
      <c r="CQ191" s="4"/>
      <c r="CR191" s="4"/>
      <c r="CS191" s="4"/>
      <c r="CT191" s="4"/>
      <c r="CU191" s="4"/>
      <c r="CV191" s="4"/>
    </row>
    <row r="192" spans="1:100"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c r="BQ192" s="3"/>
      <c r="BR192" s="3"/>
      <c r="BS192" s="3"/>
      <c r="BT192" s="3"/>
      <c r="BU192" s="3"/>
      <c r="BV192" s="3"/>
      <c r="BW192" s="3"/>
      <c r="BX192" s="3"/>
      <c r="BY192" s="3"/>
      <c r="BZ192" s="3"/>
      <c r="CA192" s="3"/>
      <c r="CB192" s="3"/>
      <c r="CC192" s="3"/>
      <c r="CD192" s="3"/>
      <c r="CE192" s="3"/>
      <c r="CF192" s="3"/>
      <c r="CG192" s="3"/>
      <c r="CH192" s="3"/>
      <c r="CI192" s="3"/>
      <c r="CJ192" s="3"/>
      <c r="CK192" s="3"/>
      <c r="CL192" s="3"/>
      <c r="CM192" s="3"/>
      <c r="CN192" s="3"/>
      <c r="CO192" s="3"/>
      <c r="CP192" s="3"/>
      <c r="CQ192" s="4"/>
      <c r="CR192" s="4"/>
      <c r="CS192" s="4"/>
      <c r="CT192" s="4"/>
      <c r="CU192" s="4"/>
      <c r="CV192" s="4"/>
    </row>
    <row r="193" spans="1:100"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c r="BS193" s="3"/>
      <c r="BT193" s="3"/>
      <c r="BU193" s="3"/>
      <c r="BV193" s="3"/>
      <c r="BW193" s="3"/>
      <c r="BX193" s="3"/>
      <c r="BY193" s="3"/>
      <c r="BZ193" s="3"/>
      <c r="CA193" s="3"/>
      <c r="CB193" s="3"/>
      <c r="CC193" s="3"/>
      <c r="CD193" s="3"/>
      <c r="CE193" s="3"/>
      <c r="CF193" s="3"/>
      <c r="CG193" s="3"/>
      <c r="CH193" s="3"/>
      <c r="CI193" s="3"/>
      <c r="CJ193" s="3"/>
      <c r="CK193" s="3"/>
      <c r="CL193" s="3"/>
      <c r="CM193" s="3"/>
      <c r="CN193" s="3"/>
      <c r="CO193" s="3"/>
      <c r="CP193" s="3"/>
      <c r="CQ193" s="4"/>
      <c r="CR193" s="4"/>
      <c r="CS193" s="4"/>
      <c r="CT193" s="4"/>
      <c r="CU193" s="4"/>
      <c r="CV193" s="4"/>
    </row>
    <row r="194" spans="1:100"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c r="BQ194" s="3"/>
      <c r="BR194" s="3"/>
      <c r="BS194" s="3"/>
      <c r="BT194" s="3"/>
      <c r="BU194" s="3"/>
      <c r="BV194" s="3"/>
      <c r="BW194" s="3"/>
      <c r="BX194" s="3"/>
      <c r="BY194" s="3"/>
      <c r="BZ194" s="3"/>
      <c r="CA194" s="3"/>
      <c r="CB194" s="3"/>
      <c r="CC194" s="3"/>
      <c r="CD194" s="3"/>
      <c r="CE194" s="3"/>
      <c r="CF194" s="3"/>
      <c r="CG194" s="3"/>
      <c r="CH194" s="3"/>
      <c r="CI194" s="3"/>
      <c r="CJ194" s="3"/>
      <c r="CK194" s="3"/>
      <c r="CL194" s="3"/>
      <c r="CM194" s="3"/>
      <c r="CN194" s="3"/>
      <c r="CO194" s="3"/>
      <c r="CP194" s="3"/>
      <c r="CQ194" s="4"/>
      <c r="CR194" s="4"/>
      <c r="CS194" s="4"/>
      <c r="CT194" s="4"/>
      <c r="CU194" s="4"/>
      <c r="CV194" s="4"/>
    </row>
    <row r="195" spans="1:100"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c r="BS195" s="3"/>
      <c r="BT195" s="3"/>
      <c r="BU195" s="3"/>
      <c r="BV195" s="3"/>
      <c r="BW195" s="3"/>
      <c r="BX195" s="3"/>
      <c r="BY195" s="3"/>
      <c r="BZ195" s="3"/>
      <c r="CA195" s="3"/>
      <c r="CB195" s="3"/>
      <c r="CC195" s="3"/>
      <c r="CD195" s="3"/>
      <c r="CE195" s="3"/>
      <c r="CF195" s="3"/>
      <c r="CG195" s="3"/>
      <c r="CH195" s="3"/>
      <c r="CI195" s="3"/>
      <c r="CJ195" s="3"/>
      <c r="CK195" s="3"/>
      <c r="CL195" s="3"/>
      <c r="CM195" s="3"/>
      <c r="CN195" s="3"/>
      <c r="CO195" s="3"/>
      <c r="CP195" s="3"/>
      <c r="CQ195" s="4"/>
      <c r="CR195" s="4"/>
      <c r="CS195" s="4"/>
      <c r="CT195" s="4"/>
      <c r="CU195" s="4"/>
      <c r="CV195" s="4"/>
    </row>
    <row r="196" spans="1:100"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c r="BQ196" s="3"/>
      <c r="BR196" s="3"/>
      <c r="BS196" s="3"/>
      <c r="BT196" s="3"/>
      <c r="BU196" s="3"/>
      <c r="BV196" s="3"/>
      <c r="BW196" s="3"/>
      <c r="BX196" s="3"/>
      <c r="BY196" s="3"/>
      <c r="BZ196" s="3"/>
      <c r="CA196" s="3"/>
      <c r="CB196" s="3"/>
      <c r="CC196" s="3"/>
      <c r="CD196" s="3"/>
      <c r="CE196" s="3"/>
      <c r="CF196" s="3"/>
      <c r="CG196" s="3"/>
      <c r="CH196" s="3"/>
      <c r="CI196" s="3"/>
      <c r="CJ196" s="3"/>
      <c r="CK196" s="3"/>
      <c r="CL196" s="3"/>
      <c r="CM196" s="3"/>
      <c r="CN196" s="3"/>
      <c r="CO196" s="3"/>
      <c r="CP196" s="3"/>
      <c r="CQ196" s="4"/>
      <c r="CR196" s="4"/>
      <c r="CS196" s="4"/>
      <c r="CT196" s="4"/>
      <c r="CU196" s="4"/>
      <c r="CV196" s="4"/>
    </row>
    <row r="197" spans="1:100"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c r="BR197" s="3"/>
      <c r="BS197" s="3"/>
      <c r="BT197" s="3"/>
      <c r="BU197" s="3"/>
      <c r="BV197" s="3"/>
      <c r="BW197" s="3"/>
      <c r="BX197" s="3"/>
      <c r="BY197" s="3"/>
      <c r="BZ197" s="3"/>
      <c r="CA197" s="3"/>
      <c r="CB197" s="3"/>
      <c r="CC197" s="3"/>
      <c r="CD197" s="3"/>
      <c r="CE197" s="3"/>
      <c r="CF197" s="3"/>
      <c r="CG197" s="3"/>
      <c r="CH197" s="3"/>
      <c r="CI197" s="3"/>
      <c r="CJ197" s="3"/>
      <c r="CK197" s="3"/>
      <c r="CL197" s="3"/>
      <c r="CM197" s="3"/>
      <c r="CN197" s="3"/>
      <c r="CO197" s="3"/>
      <c r="CP197" s="3"/>
      <c r="CQ197" s="4"/>
      <c r="CR197" s="4"/>
      <c r="CS197" s="4"/>
      <c r="CT197" s="4"/>
      <c r="CU197" s="4"/>
      <c r="CV197" s="4"/>
    </row>
    <row r="198" spans="1:100"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c r="BQ198" s="3"/>
      <c r="BR198" s="3"/>
      <c r="BS198" s="3"/>
      <c r="BT198" s="3"/>
      <c r="BU198" s="3"/>
      <c r="BV198" s="3"/>
      <c r="BW198" s="3"/>
      <c r="BX198" s="3"/>
      <c r="BY198" s="3"/>
      <c r="BZ198" s="3"/>
      <c r="CA198" s="3"/>
      <c r="CB198" s="3"/>
      <c r="CC198" s="3"/>
      <c r="CD198" s="3"/>
      <c r="CE198" s="3"/>
      <c r="CF198" s="3"/>
      <c r="CG198" s="3"/>
      <c r="CH198" s="3"/>
      <c r="CI198" s="3"/>
      <c r="CJ198" s="3"/>
      <c r="CK198" s="3"/>
      <c r="CL198" s="3"/>
      <c r="CM198" s="3"/>
      <c r="CN198" s="3"/>
      <c r="CO198" s="3"/>
      <c r="CP198" s="3"/>
      <c r="CQ198" s="4"/>
      <c r="CR198" s="4"/>
      <c r="CS198" s="4"/>
      <c r="CT198" s="4"/>
      <c r="CU198" s="4"/>
      <c r="CV198" s="4"/>
    </row>
    <row r="199" spans="1:100"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c r="BQ199" s="3"/>
      <c r="BR199" s="3"/>
      <c r="BS199" s="3"/>
      <c r="BT199" s="3"/>
      <c r="BU199" s="3"/>
      <c r="BV199" s="3"/>
      <c r="BW199" s="3"/>
      <c r="BX199" s="3"/>
      <c r="BY199" s="3"/>
      <c r="BZ199" s="3"/>
      <c r="CA199" s="3"/>
      <c r="CB199" s="3"/>
      <c r="CC199" s="3"/>
      <c r="CD199" s="3"/>
      <c r="CE199" s="3"/>
      <c r="CF199" s="3"/>
      <c r="CG199" s="3"/>
      <c r="CH199" s="3"/>
      <c r="CI199" s="3"/>
      <c r="CJ199" s="3"/>
      <c r="CK199" s="3"/>
      <c r="CL199" s="3"/>
      <c r="CM199" s="3"/>
      <c r="CN199" s="3"/>
      <c r="CO199" s="3"/>
      <c r="CP199" s="3"/>
      <c r="CQ199" s="4"/>
      <c r="CR199" s="4"/>
      <c r="CS199" s="4"/>
      <c r="CT199" s="4"/>
      <c r="CU199" s="4"/>
      <c r="CV199" s="4"/>
    </row>
    <row r="200" spans="1:100"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c r="BQ200" s="3"/>
      <c r="BR200" s="3"/>
      <c r="BS200" s="3"/>
      <c r="BT200" s="3"/>
      <c r="BU200" s="3"/>
      <c r="BV200" s="3"/>
      <c r="BW200" s="3"/>
      <c r="BX200" s="3"/>
      <c r="BY200" s="3"/>
      <c r="BZ200" s="3"/>
      <c r="CA200" s="3"/>
      <c r="CB200" s="3"/>
      <c r="CC200" s="3"/>
      <c r="CD200" s="3"/>
      <c r="CE200" s="3"/>
      <c r="CF200" s="3"/>
      <c r="CG200" s="3"/>
      <c r="CH200" s="3"/>
      <c r="CI200" s="3"/>
      <c r="CJ200" s="3"/>
      <c r="CK200" s="3"/>
      <c r="CL200" s="3"/>
      <c r="CM200" s="3"/>
      <c r="CN200" s="3"/>
      <c r="CO200" s="3"/>
      <c r="CP200" s="3"/>
      <c r="CQ200" s="4"/>
      <c r="CR200" s="4"/>
      <c r="CS200" s="4"/>
      <c r="CT200" s="4"/>
      <c r="CU200" s="4"/>
      <c r="CV200" s="4"/>
    </row>
    <row r="201" spans="1:100"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c r="BP201" s="3"/>
      <c r="BQ201" s="3"/>
      <c r="BR201" s="3"/>
      <c r="BS201" s="3"/>
      <c r="BT201" s="3"/>
      <c r="BU201" s="3"/>
      <c r="BV201" s="3"/>
      <c r="BW201" s="3"/>
      <c r="BX201" s="3"/>
      <c r="BY201" s="3"/>
      <c r="BZ201" s="3"/>
      <c r="CA201" s="3"/>
      <c r="CB201" s="3"/>
      <c r="CC201" s="3"/>
      <c r="CD201" s="3"/>
      <c r="CE201" s="3"/>
      <c r="CF201" s="3"/>
      <c r="CG201" s="3"/>
      <c r="CH201" s="3"/>
      <c r="CI201" s="3"/>
      <c r="CJ201" s="3"/>
      <c r="CK201" s="3"/>
      <c r="CL201" s="3"/>
      <c r="CM201" s="3"/>
      <c r="CN201" s="3"/>
      <c r="CO201" s="3"/>
      <c r="CP201" s="3"/>
      <c r="CQ201" s="4"/>
      <c r="CR201" s="4"/>
      <c r="CS201" s="4"/>
      <c r="CT201" s="4"/>
      <c r="CU201" s="4"/>
      <c r="CV201" s="4"/>
    </row>
    <row r="202" spans="1:100"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c r="BS202" s="3"/>
      <c r="BT202" s="3"/>
      <c r="BU202" s="3"/>
      <c r="BV202" s="3"/>
      <c r="BW202" s="3"/>
      <c r="BX202" s="3"/>
      <c r="BY202" s="3"/>
      <c r="BZ202" s="3"/>
      <c r="CA202" s="3"/>
      <c r="CB202" s="3"/>
      <c r="CC202" s="3"/>
      <c r="CD202" s="3"/>
      <c r="CE202" s="3"/>
      <c r="CF202" s="3"/>
      <c r="CG202" s="3"/>
      <c r="CH202" s="3"/>
      <c r="CI202" s="3"/>
      <c r="CJ202" s="3"/>
      <c r="CK202" s="3"/>
      <c r="CL202" s="3"/>
      <c r="CM202" s="3"/>
      <c r="CN202" s="3"/>
      <c r="CO202" s="3"/>
      <c r="CP202" s="3"/>
      <c r="CQ202" s="4"/>
      <c r="CR202" s="4"/>
      <c r="CS202" s="4"/>
      <c r="CT202" s="4"/>
      <c r="CU202" s="4"/>
      <c r="CV202" s="4"/>
    </row>
    <row r="203" spans="1:100"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c r="BS203" s="3"/>
      <c r="BT203" s="3"/>
      <c r="BU203" s="3"/>
      <c r="BV203" s="3"/>
      <c r="BW203" s="3"/>
      <c r="BX203" s="3"/>
      <c r="BY203" s="3"/>
      <c r="BZ203" s="3"/>
      <c r="CA203" s="3"/>
      <c r="CB203" s="3"/>
      <c r="CC203" s="3"/>
      <c r="CD203" s="3"/>
      <c r="CE203" s="3"/>
      <c r="CF203" s="3"/>
      <c r="CG203" s="3"/>
      <c r="CH203" s="3"/>
      <c r="CI203" s="3"/>
      <c r="CJ203" s="3"/>
      <c r="CK203" s="3"/>
      <c r="CL203" s="3"/>
      <c r="CM203" s="3"/>
      <c r="CN203" s="3"/>
      <c r="CO203" s="3"/>
      <c r="CP203" s="3"/>
      <c r="CQ203" s="4"/>
      <c r="CR203" s="4"/>
      <c r="CS203" s="4"/>
      <c r="CT203" s="4"/>
      <c r="CU203" s="4"/>
      <c r="CV203" s="4"/>
    </row>
    <row r="204" spans="1:100"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c r="BP204" s="3"/>
      <c r="BQ204" s="3"/>
      <c r="BR204" s="3"/>
      <c r="BS204" s="3"/>
      <c r="BT204" s="3"/>
      <c r="BU204" s="3"/>
      <c r="BV204" s="3"/>
      <c r="BW204" s="3"/>
      <c r="BX204" s="3"/>
      <c r="BY204" s="3"/>
      <c r="BZ204" s="3"/>
      <c r="CA204" s="3"/>
      <c r="CB204" s="3"/>
      <c r="CC204" s="3"/>
      <c r="CD204" s="3"/>
      <c r="CE204" s="3"/>
      <c r="CF204" s="3"/>
      <c r="CG204" s="3"/>
      <c r="CH204" s="3"/>
      <c r="CI204" s="3"/>
      <c r="CJ204" s="3"/>
      <c r="CK204" s="3"/>
      <c r="CL204" s="3"/>
      <c r="CM204" s="3"/>
      <c r="CN204" s="3"/>
      <c r="CO204" s="3"/>
      <c r="CP204" s="3"/>
      <c r="CQ204" s="4"/>
      <c r="CR204" s="4"/>
      <c r="CS204" s="4"/>
      <c r="CT204" s="4"/>
      <c r="CU204" s="4"/>
      <c r="CV204" s="4"/>
    </row>
    <row r="205" spans="1:100"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c r="BP205" s="3"/>
      <c r="BQ205" s="3"/>
      <c r="BR205" s="3"/>
      <c r="BS205" s="3"/>
      <c r="BT205" s="3"/>
      <c r="BU205" s="3"/>
      <c r="BV205" s="3"/>
      <c r="BW205" s="3"/>
      <c r="BX205" s="3"/>
      <c r="BY205" s="3"/>
      <c r="BZ205" s="3"/>
      <c r="CA205" s="3"/>
      <c r="CB205" s="3"/>
      <c r="CC205" s="3"/>
      <c r="CD205" s="3"/>
      <c r="CE205" s="3"/>
      <c r="CF205" s="3"/>
      <c r="CG205" s="3"/>
      <c r="CH205" s="3"/>
      <c r="CI205" s="3"/>
      <c r="CJ205" s="3"/>
      <c r="CK205" s="3"/>
      <c r="CL205" s="3"/>
      <c r="CM205" s="3"/>
      <c r="CN205" s="3"/>
      <c r="CO205" s="3"/>
      <c r="CP205" s="3"/>
      <c r="CQ205" s="4"/>
      <c r="CR205" s="4"/>
      <c r="CS205" s="4"/>
      <c r="CT205" s="4"/>
      <c r="CU205" s="4"/>
      <c r="CV205" s="4"/>
    </row>
    <row r="206" spans="1:100"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c r="BP206" s="3"/>
      <c r="BQ206" s="3"/>
      <c r="BR206" s="3"/>
      <c r="BS206" s="3"/>
      <c r="BT206" s="3"/>
      <c r="BU206" s="3"/>
      <c r="BV206" s="3"/>
      <c r="BW206" s="3"/>
      <c r="BX206" s="3"/>
      <c r="BY206" s="3"/>
      <c r="BZ206" s="3"/>
      <c r="CA206" s="3"/>
      <c r="CB206" s="3"/>
      <c r="CC206" s="3"/>
      <c r="CD206" s="3"/>
      <c r="CE206" s="3"/>
      <c r="CF206" s="3"/>
      <c r="CG206" s="3"/>
      <c r="CH206" s="3"/>
      <c r="CI206" s="3"/>
      <c r="CJ206" s="3"/>
      <c r="CK206" s="3"/>
      <c r="CL206" s="3"/>
      <c r="CM206" s="3"/>
      <c r="CN206" s="3"/>
      <c r="CO206" s="3"/>
      <c r="CP206" s="3"/>
      <c r="CQ206" s="4"/>
      <c r="CR206" s="4"/>
      <c r="CS206" s="4"/>
      <c r="CT206" s="4"/>
      <c r="CU206" s="4"/>
      <c r="CV206" s="4"/>
    </row>
    <row r="207" spans="1:100"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c r="BP207" s="3"/>
      <c r="BQ207" s="3"/>
      <c r="BR207" s="3"/>
      <c r="BS207" s="3"/>
      <c r="BT207" s="3"/>
      <c r="BU207" s="3"/>
      <c r="BV207" s="3"/>
      <c r="BW207" s="3"/>
      <c r="BX207" s="3"/>
      <c r="BY207" s="3"/>
      <c r="BZ207" s="3"/>
      <c r="CA207" s="3"/>
      <c r="CB207" s="3"/>
      <c r="CC207" s="3"/>
      <c r="CD207" s="3"/>
      <c r="CE207" s="3"/>
      <c r="CF207" s="3"/>
      <c r="CG207" s="3"/>
      <c r="CH207" s="3"/>
      <c r="CI207" s="3"/>
      <c r="CJ207" s="3"/>
      <c r="CK207" s="3"/>
      <c r="CL207" s="3"/>
      <c r="CM207" s="3"/>
      <c r="CN207" s="3"/>
      <c r="CO207" s="3"/>
      <c r="CP207" s="3"/>
      <c r="CQ207" s="4"/>
      <c r="CR207" s="4"/>
      <c r="CS207" s="4"/>
      <c r="CT207" s="4"/>
      <c r="CU207" s="4"/>
      <c r="CV207" s="4"/>
    </row>
    <row r="208" spans="1:100"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c r="BP208" s="3"/>
      <c r="BQ208" s="3"/>
      <c r="BR208" s="3"/>
      <c r="BS208" s="3"/>
      <c r="BT208" s="3"/>
      <c r="BU208" s="3"/>
      <c r="BV208" s="3"/>
      <c r="BW208" s="3"/>
      <c r="BX208" s="3"/>
      <c r="BY208" s="3"/>
      <c r="BZ208" s="3"/>
      <c r="CA208" s="3"/>
      <c r="CB208" s="3"/>
      <c r="CC208" s="3"/>
      <c r="CD208" s="3"/>
      <c r="CE208" s="3"/>
      <c r="CF208" s="3"/>
      <c r="CG208" s="3"/>
      <c r="CH208" s="3"/>
      <c r="CI208" s="3"/>
      <c r="CJ208" s="3"/>
      <c r="CK208" s="3"/>
      <c r="CL208" s="3"/>
      <c r="CM208" s="3"/>
      <c r="CN208" s="3"/>
      <c r="CO208" s="3"/>
      <c r="CP208" s="3"/>
      <c r="CQ208" s="4"/>
      <c r="CR208" s="4"/>
      <c r="CS208" s="4"/>
      <c r="CT208" s="4"/>
      <c r="CU208" s="4"/>
      <c r="CV208" s="4"/>
    </row>
    <row r="209" spans="1:100"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c r="BS209" s="3"/>
      <c r="BT209" s="3"/>
      <c r="BU209" s="3"/>
      <c r="BV209" s="3"/>
      <c r="BW209" s="3"/>
      <c r="BX209" s="3"/>
      <c r="BY209" s="3"/>
      <c r="BZ209" s="3"/>
      <c r="CA209" s="3"/>
      <c r="CB209" s="3"/>
      <c r="CC209" s="3"/>
      <c r="CD209" s="3"/>
      <c r="CE209" s="3"/>
      <c r="CF209" s="3"/>
      <c r="CG209" s="3"/>
      <c r="CH209" s="3"/>
      <c r="CI209" s="3"/>
      <c r="CJ209" s="3"/>
      <c r="CK209" s="3"/>
      <c r="CL209" s="3"/>
      <c r="CM209" s="3"/>
      <c r="CN209" s="3"/>
      <c r="CO209" s="3"/>
      <c r="CP209" s="3"/>
      <c r="CQ209" s="4"/>
      <c r="CR209" s="4"/>
      <c r="CS209" s="4"/>
      <c r="CT209" s="4"/>
      <c r="CU209" s="4"/>
      <c r="CV209" s="4"/>
    </row>
    <row r="210" spans="1:100"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c r="BQ210" s="3"/>
      <c r="BR210" s="3"/>
      <c r="BS210" s="3"/>
      <c r="BT210" s="3"/>
      <c r="BU210" s="3"/>
      <c r="BV210" s="3"/>
      <c r="BW210" s="3"/>
      <c r="BX210" s="3"/>
      <c r="BY210" s="3"/>
      <c r="BZ210" s="3"/>
      <c r="CA210" s="3"/>
      <c r="CB210" s="3"/>
      <c r="CC210" s="3"/>
      <c r="CD210" s="3"/>
      <c r="CE210" s="3"/>
      <c r="CF210" s="3"/>
      <c r="CG210" s="3"/>
      <c r="CH210" s="3"/>
      <c r="CI210" s="3"/>
      <c r="CJ210" s="3"/>
      <c r="CK210" s="3"/>
      <c r="CL210" s="3"/>
      <c r="CM210" s="3"/>
      <c r="CN210" s="3"/>
      <c r="CO210" s="3"/>
      <c r="CP210" s="3"/>
      <c r="CQ210" s="4"/>
      <c r="CR210" s="4"/>
      <c r="CS210" s="4"/>
      <c r="CT210" s="4"/>
      <c r="CU210" s="4"/>
      <c r="CV210" s="4"/>
    </row>
    <row r="211" spans="1:100"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c r="BS211" s="3"/>
      <c r="BT211" s="3"/>
      <c r="BU211" s="3"/>
      <c r="BV211" s="3"/>
      <c r="BW211" s="3"/>
      <c r="BX211" s="3"/>
      <c r="BY211" s="3"/>
      <c r="BZ211" s="3"/>
      <c r="CA211" s="3"/>
      <c r="CB211" s="3"/>
      <c r="CC211" s="3"/>
      <c r="CD211" s="3"/>
      <c r="CE211" s="3"/>
      <c r="CF211" s="3"/>
      <c r="CG211" s="3"/>
      <c r="CH211" s="3"/>
      <c r="CI211" s="3"/>
      <c r="CJ211" s="3"/>
      <c r="CK211" s="3"/>
      <c r="CL211" s="3"/>
      <c r="CM211" s="3"/>
      <c r="CN211" s="3"/>
      <c r="CO211" s="3"/>
      <c r="CP211" s="3"/>
      <c r="CQ211" s="4"/>
      <c r="CR211" s="4"/>
      <c r="CS211" s="4"/>
      <c r="CT211" s="4"/>
      <c r="CU211" s="4"/>
      <c r="CV211" s="4"/>
    </row>
    <row r="212" spans="1:100"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c r="BP212" s="3"/>
      <c r="BQ212" s="3"/>
      <c r="BR212" s="3"/>
      <c r="BS212" s="3"/>
      <c r="BT212" s="3"/>
      <c r="BU212" s="3"/>
      <c r="BV212" s="3"/>
      <c r="BW212" s="3"/>
      <c r="BX212" s="3"/>
      <c r="BY212" s="3"/>
      <c r="BZ212" s="3"/>
      <c r="CA212" s="3"/>
      <c r="CB212" s="3"/>
      <c r="CC212" s="3"/>
      <c r="CD212" s="3"/>
      <c r="CE212" s="3"/>
      <c r="CF212" s="3"/>
      <c r="CG212" s="3"/>
      <c r="CH212" s="3"/>
      <c r="CI212" s="3"/>
      <c r="CJ212" s="3"/>
      <c r="CK212" s="3"/>
      <c r="CL212" s="3"/>
      <c r="CM212" s="3"/>
      <c r="CN212" s="3"/>
      <c r="CO212" s="3"/>
      <c r="CP212" s="3"/>
      <c r="CQ212" s="4"/>
      <c r="CR212" s="4"/>
      <c r="CS212" s="4"/>
      <c r="CT212" s="4"/>
      <c r="CU212" s="4"/>
      <c r="CV212" s="4"/>
    </row>
    <row r="213" spans="1:100"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c r="BS213" s="3"/>
      <c r="BT213" s="3"/>
      <c r="BU213" s="3"/>
      <c r="BV213" s="3"/>
      <c r="BW213" s="3"/>
      <c r="BX213" s="3"/>
      <c r="BY213" s="3"/>
      <c r="BZ213" s="3"/>
      <c r="CA213" s="3"/>
      <c r="CB213" s="3"/>
      <c r="CC213" s="3"/>
      <c r="CD213" s="3"/>
      <c r="CE213" s="3"/>
      <c r="CF213" s="3"/>
      <c r="CG213" s="3"/>
      <c r="CH213" s="3"/>
      <c r="CI213" s="3"/>
      <c r="CJ213" s="3"/>
      <c r="CK213" s="3"/>
      <c r="CL213" s="3"/>
      <c r="CM213" s="3"/>
      <c r="CN213" s="3"/>
      <c r="CO213" s="3"/>
      <c r="CP213" s="3"/>
      <c r="CQ213" s="4"/>
      <c r="CR213" s="4"/>
      <c r="CS213" s="4"/>
      <c r="CT213" s="4"/>
      <c r="CU213" s="4"/>
      <c r="CV213" s="4"/>
    </row>
    <row r="214" spans="1:100"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c r="BP214" s="3"/>
      <c r="BQ214" s="3"/>
      <c r="BR214" s="3"/>
      <c r="BS214" s="3"/>
      <c r="BT214" s="3"/>
      <c r="BU214" s="3"/>
      <c r="BV214" s="3"/>
      <c r="BW214" s="3"/>
      <c r="BX214" s="3"/>
      <c r="BY214" s="3"/>
      <c r="BZ214" s="3"/>
      <c r="CA214" s="3"/>
      <c r="CB214" s="3"/>
      <c r="CC214" s="3"/>
      <c r="CD214" s="3"/>
      <c r="CE214" s="3"/>
      <c r="CF214" s="3"/>
      <c r="CG214" s="3"/>
      <c r="CH214" s="3"/>
      <c r="CI214" s="3"/>
      <c r="CJ214" s="3"/>
      <c r="CK214" s="3"/>
      <c r="CL214" s="3"/>
      <c r="CM214" s="3"/>
      <c r="CN214" s="3"/>
      <c r="CO214" s="3"/>
      <c r="CP214" s="3"/>
      <c r="CQ214" s="4"/>
      <c r="CR214" s="4"/>
      <c r="CS214" s="4"/>
      <c r="CT214" s="4"/>
      <c r="CU214" s="4"/>
      <c r="CV214" s="4"/>
    </row>
    <row r="215" spans="1:100"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c r="BP215" s="3"/>
      <c r="BQ215" s="3"/>
      <c r="BR215" s="3"/>
      <c r="BS215" s="3"/>
      <c r="BT215" s="3"/>
      <c r="BU215" s="3"/>
      <c r="BV215" s="3"/>
      <c r="BW215" s="3"/>
      <c r="BX215" s="3"/>
      <c r="BY215" s="3"/>
      <c r="BZ215" s="3"/>
      <c r="CA215" s="3"/>
      <c r="CB215" s="3"/>
      <c r="CC215" s="3"/>
      <c r="CD215" s="3"/>
      <c r="CE215" s="3"/>
      <c r="CF215" s="3"/>
      <c r="CG215" s="3"/>
      <c r="CH215" s="3"/>
      <c r="CI215" s="3"/>
      <c r="CJ215" s="3"/>
      <c r="CK215" s="3"/>
      <c r="CL215" s="3"/>
      <c r="CM215" s="3"/>
      <c r="CN215" s="3"/>
      <c r="CO215" s="3"/>
      <c r="CP215" s="3"/>
      <c r="CQ215" s="4"/>
      <c r="CR215" s="4"/>
      <c r="CS215" s="4"/>
      <c r="CT215" s="4"/>
      <c r="CU215" s="4"/>
      <c r="CV215" s="4"/>
    </row>
    <row r="216" spans="1:100"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c r="BP216" s="3"/>
      <c r="BQ216" s="3"/>
      <c r="BR216" s="3"/>
      <c r="BS216" s="3"/>
      <c r="BT216" s="3"/>
      <c r="BU216" s="3"/>
      <c r="BV216" s="3"/>
      <c r="BW216" s="3"/>
      <c r="BX216" s="3"/>
      <c r="BY216" s="3"/>
      <c r="BZ216" s="3"/>
      <c r="CA216" s="3"/>
      <c r="CB216" s="3"/>
      <c r="CC216" s="3"/>
      <c r="CD216" s="3"/>
      <c r="CE216" s="3"/>
      <c r="CF216" s="3"/>
      <c r="CG216" s="3"/>
      <c r="CH216" s="3"/>
      <c r="CI216" s="3"/>
      <c r="CJ216" s="3"/>
      <c r="CK216" s="3"/>
      <c r="CL216" s="3"/>
      <c r="CM216" s="3"/>
      <c r="CN216" s="3"/>
      <c r="CO216" s="3"/>
      <c r="CP216" s="3"/>
      <c r="CQ216" s="4"/>
      <c r="CR216" s="4"/>
      <c r="CS216" s="4"/>
      <c r="CT216" s="4"/>
      <c r="CU216" s="4"/>
      <c r="CV216" s="4"/>
    </row>
    <row r="217" spans="1:100"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c r="BQ217" s="3"/>
      <c r="BR217" s="3"/>
      <c r="BS217" s="3"/>
      <c r="BT217" s="3"/>
      <c r="BU217" s="3"/>
      <c r="BV217" s="3"/>
      <c r="BW217" s="3"/>
      <c r="BX217" s="3"/>
      <c r="BY217" s="3"/>
      <c r="BZ217" s="3"/>
      <c r="CA217" s="3"/>
      <c r="CB217" s="3"/>
      <c r="CC217" s="3"/>
      <c r="CD217" s="3"/>
      <c r="CE217" s="3"/>
      <c r="CF217" s="3"/>
      <c r="CG217" s="3"/>
      <c r="CH217" s="3"/>
      <c r="CI217" s="3"/>
      <c r="CJ217" s="3"/>
      <c r="CK217" s="3"/>
      <c r="CL217" s="3"/>
      <c r="CM217" s="3"/>
      <c r="CN217" s="3"/>
      <c r="CO217" s="3"/>
      <c r="CP217" s="3"/>
      <c r="CQ217" s="4"/>
      <c r="CR217" s="4"/>
      <c r="CS217" s="4"/>
      <c r="CT217" s="4"/>
      <c r="CU217" s="4"/>
      <c r="CV217" s="4"/>
    </row>
    <row r="218" spans="1:100"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c r="BQ218" s="3"/>
      <c r="BR218" s="3"/>
      <c r="BS218" s="3"/>
      <c r="BT218" s="3"/>
      <c r="BU218" s="3"/>
      <c r="BV218" s="3"/>
      <c r="BW218" s="3"/>
      <c r="BX218" s="3"/>
      <c r="BY218" s="3"/>
      <c r="BZ218" s="3"/>
      <c r="CA218" s="3"/>
      <c r="CB218" s="3"/>
      <c r="CC218" s="3"/>
      <c r="CD218" s="3"/>
      <c r="CE218" s="3"/>
      <c r="CF218" s="3"/>
      <c r="CG218" s="3"/>
      <c r="CH218" s="3"/>
      <c r="CI218" s="3"/>
      <c r="CJ218" s="3"/>
      <c r="CK218" s="3"/>
      <c r="CL218" s="3"/>
      <c r="CM218" s="3"/>
      <c r="CN218" s="3"/>
      <c r="CO218" s="3"/>
      <c r="CP218" s="3"/>
      <c r="CQ218" s="4"/>
      <c r="CR218" s="4"/>
      <c r="CS218" s="4"/>
      <c r="CT218" s="4"/>
      <c r="CU218" s="4"/>
      <c r="CV218" s="4"/>
    </row>
    <row r="219" spans="1:100"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c r="BQ219" s="3"/>
      <c r="BR219" s="3"/>
      <c r="BS219" s="3"/>
      <c r="BT219" s="3"/>
      <c r="BU219" s="3"/>
      <c r="BV219" s="3"/>
      <c r="BW219" s="3"/>
      <c r="BX219" s="3"/>
      <c r="BY219" s="3"/>
      <c r="BZ219" s="3"/>
      <c r="CA219" s="3"/>
      <c r="CB219" s="3"/>
      <c r="CC219" s="3"/>
      <c r="CD219" s="3"/>
      <c r="CE219" s="3"/>
      <c r="CF219" s="3"/>
      <c r="CG219" s="3"/>
      <c r="CH219" s="3"/>
      <c r="CI219" s="3"/>
      <c r="CJ219" s="3"/>
      <c r="CK219" s="3"/>
      <c r="CL219" s="3"/>
      <c r="CM219" s="3"/>
      <c r="CN219" s="3"/>
      <c r="CO219" s="3"/>
      <c r="CP219" s="3"/>
      <c r="CQ219" s="4"/>
      <c r="CR219" s="4"/>
      <c r="CS219" s="4"/>
      <c r="CT219" s="4"/>
      <c r="CU219" s="4"/>
      <c r="CV219" s="4"/>
    </row>
    <row r="220" spans="1:100"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c r="BP220" s="3"/>
      <c r="BQ220" s="3"/>
      <c r="BR220" s="3"/>
      <c r="BS220" s="3"/>
      <c r="BT220" s="3"/>
      <c r="BU220" s="3"/>
      <c r="BV220" s="3"/>
      <c r="BW220" s="3"/>
      <c r="BX220" s="3"/>
      <c r="BY220" s="3"/>
      <c r="BZ220" s="3"/>
      <c r="CA220" s="3"/>
      <c r="CB220" s="3"/>
      <c r="CC220" s="3"/>
      <c r="CD220" s="3"/>
      <c r="CE220" s="3"/>
      <c r="CF220" s="3"/>
      <c r="CG220" s="3"/>
      <c r="CH220" s="3"/>
      <c r="CI220" s="3"/>
      <c r="CJ220" s="3"/>
      <c r="CK220" s="3"/>
      <c r="CL220" s="3"/>
      <c r="CM220" s="3"/>
      <c r="CN220" s="3"/>
      <c r="CO220" s="3"/>
      <c r="CP220" s="3"/>
      <c r="CQ220" s="4"/>
      <c r="CR220" s="4"/>
      <c r="CS220" s="4"/>
      <c r="CT220" s="4"/>
      <c r="CU220" s="4"/>
      <c r="CV220" s="4"/>
    </row>
    <row r="221" spans="1:100"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c r="BP221" s="3"/>
      <c r="BQ221" s="3"/>
      <c r="BR221" s="3"/>
      <c r="BS221" s="3"/>
      <c r="BT221" s="3"/>
      <c r="BU221" s="3"/>
      <c r="BV221" s="3"/>
      <c r="BW221" s="3"/>
      <c r="BX221" s="3"/>
      <c r="BY221" s="3"/>
      <c r="BZ221" s="3"/>
      <c r="CA221" s="3"/>
      <c r="CB221" s="3"/>
      <c r="CC221" s="3"/>
      <c r="CD221" s="3"/>
      <c r="CE221" s="3"/>
      <c r="CF221" s="3"/>
      <c r="CG221" s="3"/>
      <c r="CH221" s="3"/>
      <c r="CI221" s="3"/>
      <c r="CJ221" s="3"/>
      <c r="CK221" s="3"/>
      <c r="CL221" s="3"/>
      <c r="CM221" s="3"/>
      <c r="CN221" s="3"/>
      <c r="CO221" s="3"/>
      <c r="CP221" s="3"/>
      <c r="CQ221" s="4"/>
      <c r="CR221" s="4"/>
      <c r="CS221" s="4"/>
      <c r="CT221" s="4"/>
      <c r="CU221" s="4"/>
      <c r="CV221" s="4"/>
    </row>
    <row r="222" spans="1:100"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c r="BP222" s="3"/>
      <c r="BQ222" s="3"/>
      <c r="BR222" s="3"/>
      <c r="BS222" s="3"/>
      <c r="BT222" s="3"/>
      <c r="BU222" s="3"/>
      <c r="BV222" s="3"/>
      <c r="BW222" s="3"/>
      <c r="BX222" s="3"/>
      <c r="BY222" s="3"/>
      <c r="BZ222" s="3"/>
      <c r="CA222" s="3"/>
      <c r="CB222" s="3"/>
      <c r="CC222" s="3"/>
      <c r="CD222" s="3"/>
      <c r="CE222" s="3"/>
      <c r="CF222" s="3"/>
      <c r="CG222" s="3"/>
      <c r="CH222" s="3"/>
      <c r="CI222" s="3"/>
      <c r="CJ222" s="3"/>
      <c r="CK222" s="3"/>
      <c r="CL222" s="3"/>
      <c r="CM222" s="3"/>
      <c r="CN222" s="3"/>
      <c r="CO222" s="3"/>
      <c r="CP222" s="3"/>
      <c r="CQ222" s="4"/>
      <c r="CR222" s="4"/>
      <c r="CS222" s="4"/>
      <c r="CT222" s="4"/>
      <c r="CU222" s="4"/>
      <c r="CV222" s="4"/>
    </row>
    <row r="223" spans="1:100"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c r="BQ223" s="3"/>
      <c r="BR223" s="3"/>
      <c r="BS223" s="3"/>
      <c r="BT223" s="3"/>
      <c r="BU223" s="3"/>
      <c r="BV223" s="3"/>
      <c r="BW223" s="3"/>
      <c r="BX223" s="3"/>
      <c r="BY223" s="3"/>
      <c r="BZ223" s="3"/>
      <c r="CA223" s="3"/>
      <c r="CB223" s="3"/>
      <c r="CC223" s="3"/>
      <c r="CD223" s="3"/>
      <c r="CE223" s="3"/>
      <c r="CF223" s="3"/>
      <c r="CG223" s="3"/>
      <c r="CH223" s="3"/>
      <c r="CI223" s="3"/>
      <c r="CJ223" s="3"/>
      <c r="CK223" s="3"/>
      <c r="CL223" s="3"/>
      <c r="CM223" s="3"/>
      <c r="CN223" s="3"/>
      <c r="CO223" s="3"/>
      <c r="CP223" s="3"/>
      <c r="CQ223" s="4"/>
      <c r="CR223" s="4"/>
      <c r="CS223" s="4"/>
      <c r="CT223" s="4"/>
      <c r="CU223" s="4"/>
      <c r="CV223" s="4"/>
    </row>
    <row r="224" spans="1:100"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c r="BP224" s="3"/>
      <c r="BQ224" s="3"/>
      <c r="BR224" s="3"/>
      <c r="BS224" s="3"/>
      <c r="BT224" s="3"/>
      <c r="BU224" s="3"/>
      <c r="BV224" s="3"/>
      <c r="BW224" s="3"/>
      <c r="BX224" s="3"/>
      <c r="BY224" s="3"/>
      <c r="BZ224" s="3"/>
      <c r="CA224" s="3"/>
      <c r="CB224" s="3"/>
      <c r="CC224" s="3"/>
      <c r="CD224" s="3"/>
      <c r="CE224" s="3"/>
      <c r="CF224" s="3"/>
      <c r="CG224" s="3"/>
      <c r="CH224" s="3"/>
      <c r="CI224" s="3"/>
      <c r="CJ224" s="3"/>
      <c r="CK224" s="3"/>
      <c r="CL224" s="3"/>
      <c r="CM224" s="3"/>
      <c r="CN224" s="3"/>
      <c r="CO224" s="3"/>
      <c r="CP224" s="3"/>
      <c r="CQ224" s="4"/>
      <c r="CR224" s="4"/>
      <c r="CS224" s="4"/>
      <c r="CT224" s="4"/>
      <c r="CU224" s="4"/>
      <c r="CV224" s="4"/>
    </row>
    <row r="225" spans="1:100"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c r="BP225" s="3"/>
      <c r="BQ225" s="3"/>
      <c r="BR225" s="3"/>
      <c r="BS225" s="3"/>
      <c r="BT225" s="3"/>
      <c r="BU225" s="3"/>
      <c r="BV225" s="3"/>
      <c r="BW225" s="3"/>
      <c r="BX225" s="3"/>
      <c r="BY225" s="3"/>
      <c r="BZ225" s="3"/>
      <c r="CA225" s="3"/>
      <c r="CB225" s="3"/>
      <c r="CC225" s="3"/>
      <c r="CD225" s="3"/>
      <c r="CE225" s="3"/>
      <c r="CF225" s="3"/>
      <c r="CG225" s="3"/>
      <c r="CH225" s="3"/>
      <c r="CI225" s="3"/>
      <c r="CJ225" s="3"/>
      <c r="CK225" s="3"/>
      <c r="CL225" s="3"/>
      <c r="CM225" s="3"/>
      <c r="CN225" s="3"/>
      <c r="CO225" s="3"/>
      <c r="CP225" s="3"/>
      <c r="CQ225" s="4"/>
      <c r="CR225" s="4"/>
      <c r="CS225" s="4"/>
      <c r="CT225" s="4"/>
      <c r="CU225" s="4"/>
      <c r="CV225" s="4"/>
    </row>
    <row r="226" spans="1:100"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c r="BP226" s="3"/>
      <c r="BQ226" s="3"/>
      <c r="BR226" s="3"/>
      <c r="BS226" s="3"/>
      <c r="BT226" s="3"/>
      <c r="BU226" s="3"/>
      <c r="BV226" s="3"/>
      <c r="BW226" s="3"/>
      <c r="BX226" s="3"/>
      <c r="BY226" s="3"/>
      <c r="BZ226" s="3"/>
      <c r="CA226" s="3"/>
      <c r="CB226" s="3"/>
      <c r="CC226" s="3"/>
      <c r="CD226" s="3"/>
      <c r="CE226" s="3"/>
      <c r="CF226" s="3"/>
      <c r="CG226" s="3"/>
      <c r="CH226" s="3"/>
      <c r="CI226" s="3"/>
      <c r="CJ226" s="3"/>
      <c r="CK226" s="3"/>
      <c r="CL226" s="3"/>
      <c r="CM226" s="3"/>
      <c r="CN226" s="3"/>
      <c r="CO226" s="3"/>
      <c r="CP226" s="3"/>
      <c r="CQ226" s="4"/>
      <c r="CR226" s="4"/>
      <c r="CS226" s="4"/>
      <c r="CT226" s="4"/>
      <c r="CU226" s="4"/>
      <c r="CV226" s="4"/>
    </row>
    <row r="227" spans="1:100"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c r="BP227" s="3"/>
      <c r="BQ227" s="3"/>
      <c r="BR227" s="3"/>
      <c r="BS227" s="3"/>
      <c r="BT227" s="3"/>
      <c r="BU227" s="3"/>
      <c r="BV227" s="3"/>
      <c r="BW227" s="3"/>
      <c r="BX227" s="3"/>
      <c r="BY227" s="3"/>
      <c r="BZ227" s="3"/>
      <c r="CA227" s="3"/>
      <c r="CB227" s="3"/>
      <c r="CC227" s="3"/>
      <c r="CD227" s="3"/>
      <c r="CE227" s="3"/>
      <c r="CF227" s="3"/>
      <c r="CG227" s="3"/>
      <c r="CH227" s="3"/>
      <c r="CI227" s="3"/>
      <c r="CJ227" s="3"/>
      <c r="CK227" s="3"/>
      <c r="CL227" s="3"/>
      <c r="CM227" s="3"/>
      <c r="CN227" s="3"/>
      <c r="CO227" s="3"/>
      <c r="CP227" s="3"/>
      <c r="CQ227" s="4"/>
      <c r="CR227" s="4"/>
      <c r="CS227" s="4"/>
      <c r="CT227" s="4"/>
      <c r="CU227" s="4"/>
      <c r="CV227" s="4"/>
    </row>
    <row r="228" spans="1:100"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c r="BP228" s="3"/>
      <c r="BQ228" s="3"/>
      <c r="BR228" s="3"/>
      <c r="BS228" s="3"/>
      <c r="BT228" s="3"/>
      <c r="BU228" s="3"/>
      <c r="BV228" s="3"/>
      <c r="BW228" s="3"/>
      <c r="BX228" s="3"/>
      <c r="BY228" s="3"/>
      <c r="BZ228" s="3"/>
      <c r="CA228" s="3"/>
      <c r="CB228" s="3"/>
      <c r="CC228" s="3"/>
      <c r="CD228" s="3"/>
      <c r="CE228" s="3"/>
      <c r="CF228" s="3"/>
      <c r="CG228" s="3"/>
      <c r="CH228" s="3"/>
      <c r="CI228" s="3"/>
      <c r="CJ228" s="3"/>
      <c r="CK228" s="3"/>
      <c r="CL228" s="3"/>
      <c r="CM228" s="3"/>
      <c r="CN228" s="3"/>
      <c r="CO228" s="3"/>
      <c r="CP228" s="3"/>
      <c r="CQ228" s="4"/>
      <c r="CR228" s="4"/>
      <c r="CS228" s="4"/>
      <c r="CT228" s="4"/>
      <c r="CU228" s="4"/>
      <c r="CV228" s="4"/>
    </row>
    <row r="229" spans="1:100"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c r="BR229" s="3"/>
      <c r="BS229" s="3"/>
      <c r="BT229" s="3"/>
      <c r="BU229" s="3"/>
      <c r="BV229" s="3"/>
      <c r="BW229" s="3"/>
      <c r="BX229" s="3"/>
      <c r="BY229" s="3"/>
      <c r="BZ229" s="3"/>
      <c r="CA229" s="3"/>
      <c r="CB229" s="3"/>
      <c r="CC229" s="3"/>
      <c r="CD229" s="3"/>
      <c r="CE229" s="3"/>
      <c r="CF229" s="3"/>
      <c r="CG229" s="3"/>
      <c r="CH229" s="3"/>
      <c r="CI229" s="3"/>
      <c r="CJ229" s="3"/>
      <c r="CK229" s="3"/>
      <c r="CL229" s="3"/>
      <c r="CM229" s="3"/>
      <c r="CN229" s="3"/>
      <c r="CO229" s="3"/>
      <c r="CP229" s="3"/>
      <c r="CQ229" s="4"/>
      <c r="CR229" s="4"/>
      <c r="CS229" s="4"/>
      <c r="CT229" s="4"/>
      <c r="CU229" s="4"/>
      <c r="CV229" s="4"/>
    </row>
    <row r="230" spans="1:100"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c r="BP230" s="3"/>
      <c r="BQ230" s="3"/>
      <c r="BR230" s="3"/>
      <c r="BS230" s="3"/>
      <c r="BT230" s="3"/>
      <c r="BU230" s="3"/>
      <c r="BV230" s="3"/>
      <c r="BW230" s="3"/>
      <c r="BX230" s="3"/>
      <c r="BY230" s="3"/>
      <c r="BZ230" s="3"/>
      <c r="CA230" s="3"/>
      <c r="CB230" s="3"/>
      <c r="CC230" s="3"/>
      <c r="CD230" s="3"/>
      <c r="CE230" s="3"/>
      <c r="CF230" s="3"/>
      <c r="CG230" s="3"/>
      <c r="CH230" s="3"/>
      <c r="CI230" s="3"/>
      <c r="CJ230" s="3"/>
      <c r="CK230" s="3"/>
      <c r="CL230" s="3"/>
      <c r="CM230" s="3"/>
      <c r="CN230" s="3"/>
      <c r="CO230" s="3"/>
      <c r="CP230" s="3"/>
      <c r="CQ230" s="4"/>
      <c r="CR230" s="4"/>
      <c r="CS230" s="4"/>
      <c r="CT230" s="4"/>
      <c r="CU230" s="4"/>
      <c r="CV230" s="4"/>
    </row>
    <row r="231" spans="1:100"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c r="BR231" s="3"/>
      <c r="BS231" s="3"/>
      <c r="BT231" s="3"/>
      <c r="BU231" s="3"/>
      <c r="BV231" s="3"/>
      <c r="BW231" s="3"/>
      <c r="BX231" s="3"/>
      <c r="BY231" s="3"/>
      <c r="BZ231" s="3"/>
      <c r="CA231" s="3"/>
      <c r="CB231" s="3"/>
      <c r="CC231" s="3"/>
      <c r="CD231" s="3"/>
      <c r="CE231" s="3"/>
      <c r="CF231" s="3"/>
      <c r="CG231" s="3"/>
      <c r="CH231" s="3"/>
      <c r="CI231" s="3"/>
      <c r="CJ231" s="3"/>
      <c r="CK231" s="3"/>
      <c r="CL231" s="3"/>
      <c r="CM231" s="3"/>
      <c r="CN231" s="3"/>
      <c r="CO231" s="3"/>
      <c r="CP231" s="3"/>
      <c r="CQ231" s="4"/>
      <c r="CR231" s="4"/>
      <c r="CS231" s="4"/>
      <c r="CT231" s="4"/>
      <c r="CU231" s="4"/>
      <c r="CV231" s="4"/>
    </row>
    <row r="232" spans="1:100"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c r="BP232" s="3"/>
      <c r="BQ232" s="3"/>
      <c r="BR232" s="3"/>
      <c r="BS232" s="3"/>
      <c r="BT232" s="3"/>
      <c r="BU232" s="3"/>
      <c r="BV232" s="3"/>
      <c r="BW232" s="3"/>
      <c r="BX232" s="3"/>
      <c r="BY232" s="3"/>
      <c r="BZ232" s="3"/>
      <c r="CA232" s="3"/>
      <c r="CB232" s="3"/>
      <c r="CC232" s="3"/>
      <c r="CD232" s="3"/>
      <c r="CE232" s="3"/>
      <c r="CF232" s="3"/>
      <c r="CG232" s="3"/>
      <c r="CH232" s="3"/>
      <c r="CI232" s="3"/>
      <c r="CJ232" s="3"/>
      <c r="CK232" s="3"/>
      <c r="CL232" s="3"/>
      <c r="CM232" s="3"/>
      <c r="CN232" s="3"/>
      <c r="CO232" s="3"/>
      <c r="CP232" s="3"/>
      <c r="CQ232" s="4"/>
      <c r="CR232" s="4"/>
      <c r="CS232" s="4"/>
      <c r="CT232" s="4"/>
      <c r="CU232" s="4"/>
      <c r="CV232" s="4"/>
    </row>
    <row r="233" spans="1:100"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c r="BP233" s="3"/>
      <c r="BQ233" s="3"/>
      <c r="BR233" s="3"/>
      <c r="BS233" s="3"/>
      <c r="BT233" s="3"/>
      <c r="BU233" s="3"/>
      <c r="BV233" s="3"/>
      <c r="BW233" s="3"/>
      <c r="BX233" s="3"/>
      <c r="BY233" s="3"/>
      <c r="BZ233" s="3"/>
      <c r="CA233" s="3"/>
      <c r="CB233" s="3"/>
      <c r="CC233" s="3"/>
      <c r="CD233" s="3"/>
      <c r="CE233" s="3"/>
      <c r="CF233" s="3"/>
      <c r="CG233" s="3"/>
      <c r="CH233" s="3"/>
      <c r="CI233" s="3"/>
      <c r="CJ233" s="3"/>
      <c r="CK233" s="3"/>
      <c r="CL233" s="3"/>
      <c r="CM233" s="3"/>
      <c r="CN233" s="3"/>
      <c r="CO233" s="3"/>
      <c r="CP233" s="3"/>
      <c r="CQ233" s="4"/>
      <c r="CR233" s="4"/>
      <c r="CS233" s="4"/>
      <c r="CT233" s="4"/>
      <c r="CU233" s="4"/>
      <c r="CV233" s="4"/>
    </row>
    <row r="234" spans="1:100"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c r="BO234" s="3"/>
      <c r="BP234" s="3"/>
      <c r="BQ234" s="3"/>
      <c r="BR234" s="3"/>
      <c r="BS234" s="3"/>
      <c r="BT234" s="3"/>
      <c r="BU234" s="3"/>
      <c r="BV234" s="3"/>
      <c r="BW234" s="3"/>
      <c r="BX234" s="3"/>
      <c r="BY234" s="3"/>
      <c r="BZ234" s="3"/>
      <c r="CA234" s="3"/>
      <c r="CB234" s="3"/>
      <c r="CC234" s="3"/>
      <c r="CD234" s="3"/>
      <c r="CE234" s="3"/>
      <c r="CF234" s="3"/>
      <c r="CG234" s="3"/>
      <c r="CH234" s="3"/>
      <c r="CI234" s="3"/>
      <c r="CJ234" s="3"/>
      <c r="CK234" s="3"/>
      <c r="CL234" s="3"/>
      <c r="CM234" s="3"/>
      <c r="CN234" s="3"/>
      <c r="CO234" s="3"/>
      <c r="CP234" s="3"/>
      <c r="CQ234" s="4"/>
      <c r="CR234" s="4"/>
      <c r="CS234" s="4"/>
      <c r="CT234" s="4"/>
      <c r="CU234" s="4"/>
      <c r="CV234" s="4"/>
    </row>
    <row r="235" spans="1:100"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c r="BP235" s="3"/>
      <c r="BQ235" s="3"/>
      <c r="BR235" s="3"/>
      <c r="BS235" s="3"/>
      <c r="BT235" s="3"/>
      <c r="BU235" s="3"/>
      <c r="BV235" s="3"/>
      <c r="BW235" s="3"/>
      <c r="BX235" s="3"/>
      <c r="BY235" s="3"/>
      <c r="BZ235" s="3"/>
      <c r="CA235" s="3"/>
      <c r="CB235" s="3"/>
      <c r="CC235" s="3"/>
      <c r="CD235" s="3"/>
      <c r="CE235" s="3"/>
      <c r="CF235" s="3"/>
      <c r="CG235" s="3"/>
      <c r="CH235" s="3"/>
      <c r="CI235" s="3"/>
      <c r="CJ235" s="3"/>
      <c r="CK235" s="3"/>
      <c r="CL235" s="3"/>
      <c r="CM235" s="3"/>
      <c r="CN235" s="3"/>
      <c r="CO235" s="3"/>
      <c r="CP235" s="3"/>
      <c r="CQ235" s="4"/>
      <c r="CR235" s="4"/>
      <c r="CS235" s="4"/>
      <c r="CT235" s="4"/>
      <c r="CU235" s="4"/>
      <c r="CV235" s="4"/>
    </row>
    <row r="236" spans="1:100"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c r="BO236" s="3"/>
      <c r="BP236" s="3"/>
      <c r="BQ236" s="3"/>
      <c r="BR236" s="3"/>
      <c r="BS236" s="3"/>
      <c r="BT236" s="3"/>
      <c r="BU236" s="3"/>
      <c r="BV236" s="3"/>
      <c r="BW236" s="3"/>
      <c r="BX236" s="3"/>
      <c r="BY236" s="3"/>
      <c r="BZ236" s="3"/>
      <c r="CA236" s="3"/>
      <c r="CB236" s="3"/>
      <c r="CC236" s="3"/>
      <c r="CD236" s="3"/>
      <c r="CE236" s="3"/>
      <c r="CF236" s="3"/>
      <c r="CG236" s="3"/>
      <c r="CH236" s="3"/>
      <c r="CI236" s="3"/>
      <c r="CJ236" s="3"/>
      <c r="CK236" s="3"/>
      <c r="CL236" s="3"/>
      <c r="CM236" s="3"/>
      <c r="CN236" s="3"/>
      <c r="CO236" s="3"/>
      <c r="CP236" s="3"/>
      <c r="CQ236" s="4"/>
      <c r="CR236" s="4"/>
      <c r="CS236" s="4"/>
      <c r="CT236" s="4"/>
      <c r="CU236" s="4"/>
      <c r="CV236" s="4"/>
    </row>
    <row r="237" spans="1:100"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c r="BP237" s="3"/>
      <c r="BQ237" s="3"/>
      <c r="BR237" s="3"/>
      <c r="BS237" s="3"/>
      <c r="BT237" s="3"/>
      <c r="BU237" s="3"/>
      <c r="BV237" s="3"/>
      <c r="BW237" s="3"/>
      <c r="BX237" s="3"/>
      <c r="BY237" s="3"/>
      <c r="BZ237" s="3"/>
      <c r="CA237" s="3"/>
      <c r="CB237" s="3"/>
      <c r="CC237" s="3"/>
      <c r="CD237" s="3"/>
      <c r="CE237" s="3"/>
      <c r="CF237" s="3"/>
      <c r="CG237" s="3"/>
      <c r="CH237" s="3"/>
      <c r="CI237" s="3"/>
      <c r="CJ237" s="3"/>
      <c r="CK237" s="3"/>
      <c r="CL237" s="3"/>
      <c r="CM237" s="3"/>
      <c r="CN237" s="3"/>
      <c r="CO237" s="3"/>
      <c r="CP237" s="3"/>
      <c r="CQ237" s="4"/>
      <c r="CR237" s="4"/>
      <c r="CS237" s="4"/>
      <c r="CT237" s="4"/>
      <c r="CU237" s="4"/>
      <c r="CV237" s="4"/>
    </row>
    <row r="238" spans="1:100"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c r="BN238" s="3"/>
      <c r="BO238" s="3"/>
      <c r="BP238" s="3"/>
      <c r="BQ238" s="3"/>
      <c r="BR238" s="3"/>
      <c r="BS238" s="3"/>
      <c r="BT238" s="3"/>
      <c r="BU238" s="3"/>
      <c r="BV238" s="3"/>
      <c r="BW238" s="3"/>
      <c r="BX238" s="3"/>
      <c r="BY238" s="3"/>
      <c r="BZ238" s="3"/>
      <c r="CA238" s="3"/>
      <c r="CB238" s="3"/>
      <c r="CC238" s="3"/>
      <c r="CD238" s="3"/>
      <c r="CE238" s="3"/>
      <c r="CF238" s="3"/>
      <c r="CG238" s="3"/>
      <c r="CH238" s="3"/>
      <c r="CI238" s="3"/>
      <c r="CJ238" s="3"/>
      <c r="CK238" s="3"/>
      <c r="CL238" s="3"/>
      <c r="CM238" s="3"/>
      <c r="CN238" s="3"/>
      <c r="CO238" s="3"/>
      <c r="CP238" s="3"/>
      <c r="CQ238" s="4"/>
      <c r="CR238" s="4"/>
      <c r="CS238" s="4"/>
      <c r="CT238" s="4"/>
      <c r="CU238" s="4"/>
      <c r="CV238" s="4"/>
    </row>
    <row r="239" spans="1:100"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c r="BO239" s="3"/>
      <c r="BP239" s="3"/>
      <c r="BQ239" s="3"/>
      <c r="BR239" s="3"/>
      <c r="BS239" s="3"/>
      <c r="BT239" s="3"/>
      <c r="BU239" s="3"/>
      <c r="BV239" s="3"/>
      <c r="BW239" s="3"/>
      <c r="BX239" s="3"/>
      <c r="BY239" s="3"/>
      <c r="BZ239" s="3"/>
      <c r="CA239" s="3"/>
      <c r="CB239" s="3"/>
      <c r="CC239" s="3"/>
      <c r="CD239" s="3"/>
      <c r="CE239" s="3"/>
      <c r="CF239" s="3"/>
      <c r="CG239" s="3"/>
      <c r="CH239" s="3"/>
      <c r="CI239" s="3"/>
      <c r="CJ239" s="3"/>
      <c r="CK239" s="3"/>
      <c r="CL239" s="3"/>
      <c r="CM239" s="3"/>
      <c r="CN239" s="3"/>
      <c r="CO239" s="3"/>
      <c r="CP239" s="3"/>
      <c r="CQ239" s="4"/>
      <c r="CR239" s="4"/>
      <c r="CS239" s="4"/>
      <c r="CT239" s="4"/>
      <c r="CU239" s="4"/>
      <c r="CV239" s="4"/>
    </row>
    <row r="240" spans="1:100"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c r="BQ240" s="3"/>
      <c r="BR240" s="3"/>
      <c r="BS240" s="3"/>
      <c r="BT240" s="3"/>
      <c r="BU240" s="3"/>
      <c r="BV240" s="3"/>
      <c r="BW240" s="3"/>
      <c r="BX240" s="3"/>
      <c r="BY240" s="3"/>
      <c r="BZ240" s="3"/>
      <c r="CA240" s="3"/>
      <c r="CB240" s="3"/>
      <c r="CC240" s="3"/>
      <c r="CD240" s="3"/>
      <c r="CE240" s="3"/>
      <c r="CF240" s="3"/>
      <c r="CG240" s="3"/>
      <c r="CH240" s="3"/>
      <c r="CI240" s="3"/>
      <c r="CJ240" s="3"/>
      <c r="CK240" s="3"/>
      <c r="CL240" s="3"/>
      <c r="CM240" s="3"/>
      <c r="CN240" s="3"/>
      <c r="CO240" s="3"/>
      <c r="CP240" s="3"/>
      <c r="CQ240" s="4"/>
      <c r="CR240" s="4"/>
      <c r="CS240" s="4"/>
      <c r="CT240" s="4"/>
      <c r="CU240" s="4"/>
      <c r="CV240" s="4"/>
    </row>
    <row r="241" spans="1:100"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c r="BQ241" s="3"/>
      <c r="BR241" s="3"/>
      <c r="BS241" s="3"/>
      <c r="BT241" s="3"/>
      <c r="BU241" s="3"/>
      <c r="BV241" s="3"/>
      <c r="BW241" s="3"/>
      <c r="BX241" s="3"/>
      <c r="BY241" s="3"/>
      <c r="BZ241" s="3"/>
      <c r="CA241" s="3"/>
      <c r="CB241" s="3"/>
      <c r="CC241" s="3"/>
      <c r="CD241" s="3"/>
      <c r="CE241" s="3"/>
      <c r="CF241" s="3"/>
      <c r="CG241" s="3"/>
      <c r="CH241" s="3"/>
      <c r="CI241" s="3"/>
      <c r="CJ241" s="3"/>
      <c r="CK241" s="3"/>
      <c r="CL241" s="3"/>
      <c r="CM241" s="3"/>
      <c r="CN241" s="3"/>
      <c r="CO241" s="3"/>
      <c r="CP241" s="3"/>
      <c r="CQ241" s="4"/>
      <c r="CR241" s="4"/>
      <c r="CS241" s="4"/>
      <c r="CT241" s="4"/>
      <c r="CU241" s="4"/>
      <c r="CV241" s="4"/>
    </row>
    <row r="242" spans="1:100"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c r="BP242" s="3"/>
      <c r="BQ242" s="3"/>
      <c r="BR242" s="3"/>
      <c r="BS242" s="3"/>
      <c r="BT242" s="3"/>
      <c r="BU242" s="3"/>
      <c r="BV242" s="3"/>
      <c r="BW242" s="3"/>
      <c r="BX242" s="3"/>
      <c r="BY242" s="3"/>
      <c r="BZ242" s="3"/>
      <c r="CA242" s="3"/>
      <c r="CB242" s="3"/>
      <c r="CC242" s="3"/>
      <c r="CD242" s="3"/>
      <c r="CE242" s="3"/>
      <c r="CF242" s="3"/>
      <c r="CG242" s="3"/>
      <c r="CH242" s="3"/>
      <c r="CI242" s="3"/>
      <c r="CJ242" s="3"/>
      <c r="CK242" s="3"/>
      <c r="CL242" s="3"/>
      <c r="CM242" s="3"/>
      <c r="CN242" s="3"/>
      <c r="CO242" s="3"/>
      <c r="CP242" s="3"/>
      <c r="CQ242" s="4"/>
      <c r="CR242" s="4"/>
      <c r="CS242" s="4"/>
      <c r="CT242" s="4"/>
      <c r="CU242" s="4"/>
      <c r="CV242" s="4"/>
    </row>
    <row r="243" spans="1:100"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c r="BP243" s="3"/>
      <c r="BQ243" s="3"/>
      <c r="BR243" s="3"/>
      <c r="BS243" s="3"/>
      <c r="BT243" s="3"/>
      <c r="BU243" s="3"/>
      <c r="BV243" s="3"/>
      <c r="BW243" s="3"/>
      <c r="BX243" s="3"/>
      <c r="BY243" s="3"/>
      <c r="BZ243" s="3"/>
      <c r="CA243" s="3"/>
      <c r="CB243" s="3"/>
      <c r="CC243" s="3"/>
      <c r="CD243" s="3"/>
      <c r="CE243" s="3"/>
      <c r="CF243" s="3"/>
      <c r="CG243" s="3"/>
      <c r="CH243" s="3"/>
      <c r="CI243" s="3"/>
      <c r="CJ243" s="3"/>
      <c r="CK243" s="3"/>
      <c r="CL243" s="3"/>
      <c r="CM243" s="3"/>
      <c r="CN243" s="3"/>
      <c r="CO243" s="3"/>
      <c r="CP243" s="3"/>
      <c r="CQ243" s="4"/>
      <c r="CR243" s="4"/>
      <c r="CS243" s="4"/>
      <c r="CT243" s="4"/>
      <c r="CU243" s="4"/>
      <c r="CV243" s="4"/>
    </row>
    <row r="244" spans="1:100"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c r="BP244" s="3"/>
      <c r="BQ244" s="3"/>
      <c r="BR244" s="3"/>
      <c r="BS244" s="3"/>
      <c r="BT244" s="3"/>
      <c r="BU244" s="3"/>
      <c r="BV244" s="3"/>
      <c r="BW244" s="3"/>
      <c r="BX244" s="3"/>
      <c r="BY244" s="3"/>
      <c r="BZ244" s="3"/>
      <c r="CA244" s="3"/>
      <c r="CB244" s="3"/>
      <c r="CC244" s="3"/>
      <c r="CD244" s="3"/>
      <c r="CE244" s="3"/>
      <c r="CF244" s="3"/>
      <c r="CG244" s="3"/>
      <c r="CH244" s="3"/>
      <c r="CI244" s="3"/>
      <c r="CJ244" s="3"/>
      <c r="CK244" s="3"/>
      <c r="CL244" s="3"/>
      <c r="CM244" s="3"/>
      <c r="CN244" s="3"/>
      <c r="CO244" s="3"/>
      <c r="CP244" s="3"/>
      <c r="CQ244" s="4"/>
      <c r="CR244" s="4"/>
      <c r="CS244" s="4"/>
      <c r="CT244" s="4"/>
      <c r="CU244" s="4"/>
      <c r="CV244" s="4"/>
    </row>
    <row r="245" spans="1:100"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c r="BQ245" s="3"/>
      <c r="BR245" s="3"/>
      <c r="BS245" s="3"/>
      <c r="BT245" s="3"/>
      <c r="BU245" s="3"/>
      <c r="BV245" s="3"/>
      <c r="BW245" s="3"/>
      <c r="BX245" s="3"/>
      <c r="BY245" s="3"/>
      <c r="BZ245" s="3"/>
      <c r="CA245" s="3"/>
      <c r="CB245" s="3"/>
      <c r="CC245" s="3"/>
      <c r="CD245" s="3"/>
      <c r="CE245" s="3"/>
      <c r="CF245" s="3"/>
      <c r="CG245" s="3"/>
      <c r="CH245" s="3"/>
      <c r="CI245" s="3"/>
      <c r="CJ245" s="3"/>
      <c r="CK245" s="3"/>
      <c r="CL245" s="3"/>
      <c r="CM245" s="3"/>
      <c r="CN245" s="3"/>
      <c r="CO245" s="3"/>
      <c r="CP245" s="3"/>
      <c r="CQ245" s="4"/>
      <c r="CR245" s="4"/>
      <c r="CS245" s="4"/>
      <c r="CT245" s="4"/>
      <c r="CU245" s="4"/>
      <c r="CV245" s="4"/>
    </row>
    <row r="246" spans="1:100"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c r="BQ246" s="3"/>
      <c r="BR246" s="3"/>
      <c r="BS246" s="3"/>
      <c r="BT246" s="3"/>
      <c r="BU246" s="3"/>
      <c r="BV246" s="3"/>
      <c r="BW246" s="3"/>
      <c r="BX246" s="3"/>
      <c r="BY246" s="3"/>
      <c r="BZ246" s="3"/>
      <c r="CA246" s="3"/>
      <c r="CB246" s="3"/>
      <c r="CC246" s="3"/>
      <c r="CD246" s="3"/>
      <c r="CE246" s="3"/>
      <c r="CF246" s="3"/>
      <c r="CG246" s="3"/>
      <c r="CH246" s="3"/>
      <c r="CI246" s="3"/>
      <c r="CJ246" s="3"/>
      <c r="CK246" s="3"/>
      <c r="CL246" s="3"/>
      <c r="CM246" s="3"/>
      <c r="CN246" s="3"/>
      <c r="CO246" s="3"/>
      <c r="CP246" s="3"/>
      <c r="CQ246" s="4"/>
      <c r="CR246" s="4"/>
      <c r="CS246" s="4"/>
      <c r="CT246" s="4"/>
      <c r="CU246" s="4"/>
      <c r="CV246" s="4"/>
    </row>
    <row r="247" spans="1:100"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c r="BP247" s="3"/>
      <c r="BQ247" s="3"/>
      <c r="BR247" s="3"/>
      <c r="BS247" s="3"/>
      <c r="BT247" s="3"/>
      <c r="BU247" s="3"/>
      <c r="BV247" s="3"/>
      <c r="BW247" s="3"/>
      <c r="BX247" s="3"/>
      <c r="BY247" s="3"/>
      <c r="BZ247" s="3"/>
      <c r="CA247" s="3"/>
      <c r="CB247" s="3"/>
      <c r="CC247" s="3"/>
      <c r="CD247" s="3"/>
      <c r="CE247" s="3"/>
      <c r="CF247" s="3"/>
      <c r="CG247" s="3"/>
      <c r="CH247" s="3"/>
      <c r="CI247" s="3"/>
      <c r="CJ247" s="3"/>
      <c r="CK247" s="3"/>
      <c r="CL247" s="3"/>
      <c r="CM247" s="3"/>
      <c r="CN247" s="3"/>
      <c r="CO247" s="3"/>
      <c r="CP247" s="3"/>
      <c r="CQ247" s="4"/>
      <c r="CR247" s="4"/>
      <c r="CS247" s="4"/>
      <c r="CT247" s="4"/>
      <c r="CU247" s="4"/>
      <c r="CV247" s="4"/>
    </row>
    <row r="248" spans="1:100"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c r="BP248" s="3"/>
      <c r="BQ248" s="3"/>
      <c r="BR248" s="3"/>
      <c r="BS248" s="3"/>
      <c r="BT248" s="3"/>
      <c r="BU248" s="3"/>
      <c r="BV248" s="3"/>
      <c r="BW248" s="3"/>
      <c r="BX248" s="3"/>
      <c r="BY248" s="3"/>
      <c r="BZ248" s="3"/>
      <c r="CA248" s="3"/>
      <c r="CB248" s="3"/>
      <c r="CC248" s="3"/>
      <c r="CD248" s="3"/>
      <c r="CE248" s="3"/>
      <c r="CF248" s="3"/>
      <c r="CG248" s="3"/>
      <c r="CH248" s="3"/>
      <c r="CI248" s="3"/>
      <c r="CJ248" s="3"/>
      <c r="CK248" s="3"/>
      <c r="CL248" s="3"/>
      <c r="CM248" s="3"/>
      <c r="CN248" s="3"/>
      <c r="CO248" s="3"/>
      <c r="CP248" s="3"/>
      <c r="CQ248" s="4"/>
      <c r="CR248" s="4"/>
      <c r="CS248" s="4"/>
      <c r="CT248" s="4"/>
      <c r="CU248" s="4"/>
      <c r="CV248" s="4"/>
    </row>
    <row r="249" spans="1:100"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c r="BP249" s="3"/>
      <c r="BQ249" s="3"/>
      <c r="BR249" s="3"/>
      <c r="BS249" s="3"/>
      <c r="BT249" s="3"/>
      <c r="BU249" s="3"/>
      <c r="BV249" s="3"/>
      <c r="BW249" s="3"/>
      <c r="BX249" s="3"/>
      <c r="BY249" s="3"/>
      <c r="BZ249" s="3"/>
      <c r="CA249" s="3"/>
      <c r="CB249" s="3"/>
      <c r="CC249" s="3"/>
      <c r="CD249" s="3"/>
      <c r="CE249" s="3"/>
      <c r="CF249" s="3"/>
      <c r="CG249" s="3"/>
      <c r="CH249" s="3"/>
      <c r="CI249" s="3"/>
      <c r="CJ249" s="3"/>
      <c r="CK249" s="3"/>
      <c r="CL249" s="3"/>
      <c r="CM249" s="3"/>
      <c r="CN249" s="3"/>
      <c r="CO249" s="3"/>
      <c r="CP249" s="3"/>
      <c r="CQ249" s="4"/>
      <c r="CR249" s="4"/>
      <c r="CS249" s="4"/>
      <c r="CT249" s="4"/>
      <c r="CU249" s="4"/>
      <c r="CV249" s="4"/>
    </row>
    <row r="250" spans="1:100"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c r="BP250" s="3"/>
      <c r="BQ250" s="3"/>
      <c r="BR250" s="3"/>
      <c r="BS250" s="3"/>
      <c r="BT250" s="3"/>
      <c r="BU250" s="3"/>
      <c r="BV250" s="3"/>
      <c r="BW250" s="3"/>
      <c r="BX250" s="3"/>
      <c r="BY250" s="3"/>
      <c r="BZ250" s="3"/>
      <c r="CA250" s="3"/>
      <c r="CB250" s="3"/>
      <c r="CC250" s="3"/>
      <c r="CD250" s="3"/>
      <c r="CE250" s="3"/>
      <c r="CF250" s="3"/>
      <c r="CG250" s="3"/>
      <c r="CH250" s="3"/>
      <c r="CI250" s="3"/>
      <c r="CJ250" s="3"/>
      <c r="CK250" s="3"/>
      <c r="CL250" s="3"/>
      <c r="CM250" s="3"/>
      <c r="CN250" s="3"/>
      <c r="CO250" s="3"/>
      <c r="CP250" s="3"/>
      <c r="CQ250" s="4"/>
      <c r="CR250" s="4"/>
      <c r="CS250" s="4"/>
      <c r="CT250" s="4"/>
      <c r="CU250" s="4"/>
      <c r="CV250" s="4"/>
    </row>
    <row r="251" spans="1:100"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c r="BR251" s="3"/>
      <c r="BS251" s="3"/>
      <c r="BT251" s="3"/>
      <c r="BU251" s="3"/>
      <c r="BV251" s="3"/>
      <c r="BW251" s="3"/>
      <c r="BX251" s="3"/>
      <c r="BY251" s="3"/>
      <c r="BZ251" s="3"/>
      <c r="CA251" s="3"/>
      <c r="CB251" s="3"/>
      <c r="CC251" s="3"/>
      <c r="CD251" s="3"/>
      <c r="CE251" s="3"/>
      <c r="CF251" s="3"/>
      <c r="CG251" s="3"/>
      <c r="CH251" s="3"/>
      <c r="CI251" s="3"/>
      <c r="CJ251" s="3"/>
      <c r="CK251" s="3"/>
      <c r="CL251" s="3"/>
      <c r="CM251" s="3"/>
      <c r="CN251" s="3"/>
      <c r="CO251" s="3"/>
      <c r="CP251" s="3"/>
      <c r="CQ251" s="4"/>
      <c r="CR251" s="4"/>
      <c r="CS251" s="4"/>
      <c r="CT251" s="4"/>
      <c r="CU251" s="4"/>
      <c r="CV251" s="4"/>
    </row>
    <row r="252" spans="1:100"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c r="BP252" s="3"/>
      <c r="BQ252" s="3"/>
      <c r="BR252" s="3"/>
      <c r="BS252" s="3"/>
      <c r="BT252" s="3"/>
      <c r="BU252" s="3"/>
      <c r="BV252" s="3"/>
      <c r="BW252" s="3"/>
      <c r="BX252" s="3"/>
      <c r="BY252" s="3"/>
      <c r="BZ252" s="3"/>
      <c r="CA252" s="3"/>
      <c r="CB252" s="3"/>
      <c r="CC252" s="3"/>
      <c r="CD252" s="3"/>
      <c r="CE252" s="3"/>
      <c r="CF252" s="3"/>
      <c r="CG252" s="3"/>
      <c r="CH252" s="3"/>
      <c r="CI252" s="3"/>
      <c r="CJ252" s="3"/>
      <c r="CK252" s="3"/>
      <c r="CL252" s="3"/>
      <c r="CM252" s="3"/>
      <c r="CN252" s="3"/>
      <c r="CO252" s="3"/>
      <c r="CP252" s="3"/>
      <c r="CQ252" s="4"/>
      <c r="CR252" s="4"/>
      <c r="CS252" s="4"/>
      <c r="CT252" s="4"/>
      <c r="CU252" s="4"/>
      <c r="CV252" s="4"/>
    </row>
    <row r="253" spans="1:100"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c r="BP253" s="3"/>
      <c r="BQ253" s="3"/>
      <c r="BR253" s="3"/>
      <c r="BS253" s="3"/>
      <c r="BT253" s="3"/>
      <c r="BU253" s="3"/>
      <c r="BV253" s="3"/>
      <c r="BW253" s="3"/>
      <c r="BX253" s="3"/>
      <c r="BY253" s="3"/>
      <c r="BZ253" s="3"/>
      <c r="CA253" s="3"/>
      <c r="CB253" s="3"/>
      <c r="CC253" s="3"/>
      <c r="CD253" s="3"/>
      <c r="CE253" s="3"/>
      <c r="CF253" s="3"/>
      <c r="CG253" s="3"/>
      <c r="CH253" s="3"/>
      <c r="CI253" s="3"/>
      <c r="CJ253" s="3"/>
      <c r="CK253" s="3"/>
      <c r="CL253" s="3"/>
      <c r="CM253" s="3"/>
      <c r="CN253" s="3"/>
      <c r="CO253" s="3"/>
      <c r="CP253" s="3"/>
      <c r="CQ253" s="4"/>
      <c r="CR253" s="4"/>
      <c r="CS253" s="4"/>
      <c r="CT253" s="4"/>
      <c r="CU253" s="4"/>
      <c r="CV253" s="4"/>
    </row>
    <row r="254" spans="1:100"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c r="BQ254" s="3"/>
      <c r="BR254" s="3"/>
      <c r="BS254" s="3"/>
      <c r="BT254" s="3"/>
      <c r="BU254" s="3"/>
      <c r="BV254" s="3"/>
      <c r="BW254" s="3"/>
      <c r="BX254" s="3"/>
      <c r="BY254" s="3"/>
      <c r="BZ254" s="3"/>
      <c r="CA254" s="3"/>
      <c r="CB254" s="3"/>
      <c r="CC254" s="3"/>
      <c r="CD254" s="3"/>
      <c r="CE254" s="3"/>
      <c r="CF254" s="3"/>
      <c r="CG254" s="3"/>
      <c r="CH254" s="3"/>
      <c r="CI254" s="3"/>
      <c r="CJ254" s="3"/>
      <c r="CK254" s="3"/>
      <c r="CL254" s="3"/>
      <c r="CM254" s="3"/>
      <c r="CN254" s="3"/>
      <c r="CO254" s="3"/>
      <c r="CP254" s="3"/>
      <c r="CQ254" s="4"/>
      <c r="CR254" s="4"/>
      <c r="CS254" s="4"/>
      <c r="CT254" s="4"/>
      <c r="CU254" s="4"/>
      <c r="CV254" s="4"/>
    </row>
    <row r="255" spans="1:100"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c r="BR255" s="3"/>
      <c r="BS255" s="3"/>
      <c r="BT255" s="3"/>
      <c r="BU255" s="3"/>
      <c r="BV255" s="3"/>
      <c r="BW255" s="3"/>
      <c r="BX255" s="3"/>
      <c r="BY255" s="3"/>
      <c r="BZ255" s="3"/>
      <c r="CA255" s="3"/>
      <c r="CB255" s="3"/>
      <c r="CC255" s="3"/>
      <c r="CD255" s="3"/>
      <c r="CE255" s="3"/>
      <c r="CF255" s="3"/>
      <c r="CG255" s="3"/>
      <c r="CH255" s="3"/>
      <c r="CI255" s="3"/>
      <c r="CJ255" s="3"/>
      <c r="CK255" s="3"/>
      <c r="CL255" s="3"/>
      <c r="CM255" s="3"/>
      <c r="CN255" s="3"/>
      <c r="CO255" s="3"/>
      <c r="CP255" s="3"/>
      <c r="CQ255" s="4"/>
      <c r="CR255" s="4"/>
      <c r="CS255" s="4"/>
      <c r="CT255" s="4"/>
      <c r="CU255" s="4"/>
      <c r="CV255" s="4"/>
    </row>
    <row r="256" spans="1:100"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c r="BP256" s="3"/>
      <c r="BQ256" s="3"/>
      <c r="BR256" s="3"/>
      <c r="BS256" s="3"/>
      <c r="BT256" s="3"/>
      <c r="BU256" s="3"/>
      <c r="BV256" s="3"/>
      <c r="BW256" s="3"/>
      <c r="BX256" s="3"/>
      <c r="BY256" s="3"/>
      <c r="BZ256" s="3"/>
      <c r="CA256" s="3"/>
      <c r="CB256" s="3"/>
      <c r="CC256" s="3"/>
      <c r="CD256" s="3"/>
      <c r="CE256" s="3"/>
      <c r="CF256" s="3"/>
      <c r="CG256" s="3"/>
      <c r="CH256" s="3"/>
      <c r="CI256" s="3"/>
      <c r="CJ256" s="3"/>
      <c r="CK256" s="3"/>
      <c r="CL256" s="3"/>
      <c r="CM256" s="3"/>
      <c r="CN256" s="3"/>
      <c r="CO256" s="3"/>
      <c r="CP256" s="3"/>
      <c r="CQ256" s="4"/>
      <c r="CR256" s="4"/>
      <c r="CS256" s="4"/>
      <c r="CT256" s="4"/>
      <c r="CU256" s="4"/>
      <c r="CV256" s="4"/>
    </row>
    <row r="257" spans="1:100"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c r="BQ257" s="3"/>
      <c r="BR257" s="3"/>
      <c r="BS257" s="3"/>
      <c r="BT257" s="3"/>
      <c r="BU257" s="3"/>
      <c r="BV257" s="3"/>
      <c r="BW257" s="3"/>
      <c r="BX257" s="3"/>
      <c r="BY257" s="3"/>
      <c r="BZ257" s="3"/>
      <c r="CA257" s="3"/>
      <c r="CB257" s="3"/>
      <c r="CC257" s="3"/>
      <c r="CD257" s="3"/>
      <c r="CE257" s="3"/>
      <c r="CF257" s="3"/>
      <c r="CG257" s="3"/>
      <c r="CH257" s="3"/>
      <c r="CI257" s="3"/>
      <c r="CJ257" s="3"/>
      <c r="CK257" s="3"/>
      <c r="CL257" s="3"/>
      <c r="CM257" s="3"/>
      <c r="CN257" s="3"/>
      <c r="CO257" s="3"/>
      <c r="CP257" s="3"/>
      <c r="CQ257" s="4"/>
      <c r="CR257" s="4"/>
      <c r="CS257" s="4"/>
      <c r="CT257" s="4"/>
      <c r="CU257" s="4"/>
      <c r="CV257" s="4"/>
    </row>
    <row r="258" spans="1:100"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c r="BP258" s="3"/>
      <c r="BQ258" s="3"/>
      <c r="BR258" s="3"/>
      <c r="BS258" s="3"/>
      <c r="BT258" s="3"/>
      <c r="BU258" s="3"/>
      <c r="BV258" s="3"/>
      <c r="BW258" s="3"/>
      <c r="BX258" s="3"/>
      <c r="BY258" s="3"/>
      <c r="BZ258" s="3"/>
      <c r="CA258" s="3"/>
      <c r="CB258" s="3"/>
      <c r="CC258" s="3"/>
      <c r="CD258" s="3"/>
      <c r="CE258" s="3"/>
      <c r="CF258" s="3"/>
      <c r="CG258" s="3"/>
      <c r="CH258" s="3"/>
      <c r="CI258" s="3"/>
      <c r="CJ258" s="3"/>
      <c r="CK258" s="3"/>
      <c r="CL258" s="3"/>
      <c r="CM258" s="3"/>
      <c r="CN258" s="3"/>
      <c r="CO258" s="3"/>
      <c r="CP258" s="3"/>
      <c r="CQ258" s="4"/>
      <c r="CR258" s="4"/>
      <c r="CS258" s="4"/>
      <c r="CT258" s="4"/>
      <c r="CU258" s="4"/>
      <c r="CV258" s="4"/>
    </row>
    <row r="259" spans="1:100"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c r="BP259" s="3"/>
      <c r="BQ259" s="3"/>
      <c r="BR259" s="3"/>
      <c r="BS259" s="3"/>
      <c r="BT259" s="3"/>
      <c r="BU259" s="3"/>
      <c r="BV259" s="3"/>
      <c r="BW259" s="3"/>
      <c r="BX259" s="3"/>
      <c r="BY259" s="3"/>
      <c r="BZ259" s="3"/>
      <c r="CA259" s="3"/>
      <c r="CB259" s="3"/>
      <c r="CC259" s="3"/>
      <c r="CD259" s="3"/>
      <c r="CE259" s="3"/>
      <c r="CF259" s="3"/>
      <c r="CG259" s="3"/>
      <c r="CH259" s="3"/>
      <c r="CI259" s="3"/>
      <c r="CJ259" s="3"/>
      <c r="CK259" s="3"/>
      <c r="CL259" s="3"/>
      <c r="CM259" s="3"/>
      <c r="CN259" s="3"/>
      <c r="CO259" s="3"/>
      <c r="CP259" s="3"/>
      <c r="CQ259" s="4"/>
      <c r="CR259" s="4"/>
      <c r="CS259" s="4"/>
      <c r="CT259" s="4"/>
      <c r="CU259" s="4"/>
      <c r="CV259" s="4"/>
    </row>
    <row r="260" spans="1:100"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c r="BP260" s="3"/>
      <c r="BQ260" s="3"/>
      <c r="BR260" s="3"/>
      <c r="BS260" s="3"/>
      <c r="BT260" s="3"/>
      <c r="BU260" s="3"/>
      <c r="BV260" s="3"/>
      <c r="BW260" s="3"/>
      <c r="BX260" s="3"/>
      <c r="BY260" s="3"/>
      <c r="BZ260" s="3"/>
      <c r="CA260" s="3"/>
      <c r="CB260" s="3"/>
      <c r="CC260" s="3"/>
      <c r="CD260" s="3"/>
      <c r="CE260" s="3"/>
      <c r="CF260" s="3"/>
      <c r="CG260" s="3"/>
      <c r="CH260" s="3"/>
      <c r="CI260" s="3"/>
      <c r="CJ260" s="3"/>
      <c r="CK260" s="3"/>
      <c r="CL260" s="3"/>
      <c r="CM260" s="3"/>
      <c r="CN260" s="3"/>
      <c r="CO260" s="3"/>
      <c r="CP260" s="3"/>
      <c r="CQ260" s="4"/>
      <c r="CR260" s="4"/>
      <c r="CS260" s="4"/>
      <c r="CT260" s="4"/>
      <c r="CU260" s="4"/>
      <c r="CV260" s="4"/>
    </row>
    <row r="261" spans="1:100"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c r="BP261" s="3"/>
      <c r="BQ261" s="3"/>
      <c r="BR261" s="3"/>
      <c r="BS261" s="3"/>
      <c r="BT261" s="3"/>
      <c r="BU261" s="3"/>
      <c r="BV261" s="3"/>
      <c r="BW261" s="3"/>
      <c r="BX261" s="3"/>
      <c r="BY261" s="3"/>
      <c r="BZ261" s="3"/>
      <c r="CA261" s="3"/>
      <c r="CB261" s="3"/>
      <c r="CC261" s="3"/>
      <c r="CD261" s="3"/>
      <c r="CE261" s="3"/>
      <c r="CF261" s="3"/>
      <c r="CG261" s="3"/>
      <c r="CH261" s="3"/>
      <c r="CI261" s="3"/>
      <c r="CJ261" s="3"/>
      <c r="CK261" s="3"/>
      <c r="CL261" s="3"/>
      <c r="CM261" s="3"/>
      <c r="CN261" s="3"/>
      <c r="CO261" s="3"/>
      <c r="CP261" s="3"/>
      <c r="CQ261" s="4"/>
      <c r="CR261" s="4"/>
      <c r="CS261" s="4"/>
      <c r="CT261" s="4"/>
      <c r="CU261" s="4"/>
      <c r="CV261" s="4"/>
    </row>
    <row r="262" spans="1:100"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c r="BQ262" s="3"/>
      <c r="BR262" s="3"/>
      <c r="BS262" s="3"/>
      <c r="BT262" s="3"/>
      <c r="BU262" s="3"/>
      <c r="BV262" s="3"/>
      <c r="BW262" s="3"/>
      <c r="BX262" s="3"/>
      <c r="BY262" s="3"/>
      <c r="BZ262" s="3"/>
      <c r="CA262" s="3"/>
      <c r="CB262" s="3"/>
      <c r="CC262" s="3"/>
      <c r="CD262" s="3"/>
      <c r="CE262" s="3"/>
      <c r="CF262" s="3"/>
      <c r="CG262" s="3"/>
      <c r="CH262" s="3"/>
      <c r="CI262" s="3"/>
      <c r="CJ262" s="3"/>
      <c r="CK262" s="3"/>
      <c r="CL262" s="3"/>
      <c r="CM262" s="3"/>
      <c r="CN262" s="3"/>
      <c r="CO262" s="3"/>
      <c r="CP262" s="3"/>
      <c r="CQ262" s="4"/>
      <c r="CR262" s="4"/>
      <c r="CS262" s="4"/>
      <c r="CT262" s="4"/>
      <c r="CU262" s="4"/>
      <c r="CV262" s="4"/>
    </row>
    <row r="263" spans="1:100"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c r="BQ263" s="3"/>
      <c r="BR263" s="3"/>
      <c r="BS263" s="3"/>
      <c r="BT263" s="3"/>
      <c r="BU263" s="3"/>
      <c r="BV263" s="3"/>
      <c r="BW263" s="3"/>
      <c r="BX263" s="3"/>
      <c r="BY263" s="3"/>
      <c r="BZ263" s="3"/>
      <c r="CA263" s="3"/>
      <c r="CB263" s="3"/>
      <c r="CC263" s="3"/>
      <c r="CD263" s="3"/>
      <c r="CE263" s="3"/>
      <c r="CF263" s="3"/>
      <c r="CG263" s="3"/>
      <c r="CH263" s="3"/>
      <c r="CI263" s="3"/>
      <c r="CJ263" s="3"/>
      <c r="CK263" s="3"/>
      <c r="CL263" s="3"/>
      <c r="CM263" s="3"/>
      <c r="CN263" s="3"/>
      <c r="CO263" s="3"/>
      <c r="CP263" s="3"/>
      <c r="CQ263" s="4"/>
      <c r="CR263" s="4"/>
      <c r="CS263" s="4"/>
      <c r="CT263" s="4"/>
      <c r="CU263" s="4"/>
      <c r="CV263" s="4"/>
    </row>
    <row r="264" spans="1:100"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c r="BR264" s="3"/>
      <c r="BS264" s="3"/>
      <c r="BT264" s="3"/>
      <c r="BU264" s="3"/>
      <c r="BV264" s="3"/>
      <c r="BW264" s="3"/>
      <c r="BX264" s="3"/>
      <c r="BY264" s="3"/>
      <c r="BZ264" s="3"/>
      <c r="CA264" s="3"/>
      <c r="CB264" s="3"/>
      <c r="CC264" s="3"/>
      <c r="CD264" s="3"/>
      <c r="CE264" s="3"/>
      <c r="CF264" s="3"/>
      <c r="CG264" s="3"/>
      <c r="CH264" s="3"/>
      <c r="CI264" s="3"/>
      <c r="CJ264" s="3"/>
      <c r="CK264" s="3"/>
      <c r="CL264" s="3"/>
      <c r="CM264" s="3"/>
      <c r="CN264" s="3"/>
      <c r="CO264" s="3"/>
      <c r="CP264" s="3"/>
      <c r="CQ264" s="4"/>
      <c r="CR264" s="4"/>
      <c r="CS264" s="4"/>
      <c r="CT264" s="4"/>
      <c r="CU264" s="4"/>
      <c r="CV264" s="4"/>
    </row>
    <row r="265" spans="1:100"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c r="BS265" s="3"/>
      <c r="BT265" s="3"/>
      <c r="BU265" s="3"/>
      <c r="BV265" s="3"/>
      <c r="BW265" s="3"/>
      <c r="BX265" s="3"/>
      <c r="BY265" s="3"/>
      <c r="BZ265" s="3"/>
      <c r="CA265" s="3"/>
      <c r="CB265" s="3"/>
      <c r="CC265" s="3"/>
      <c r="CD265" s="3"/>
      <c r="CE265" s="3"/>
      <c r="CF265" s="3"/>
      <c r="CG265" s="3"/>
      <c r="CH265" s="3"/>
      <c r="CI265" s="3"/>
      <c r="CJ265" s="3"/>
      <c r="CK265" s="3"/>
      <c r="CL265" s="3"/>
      <c r="CM265" s="3"/>
      <c r="CN265" s="3"/>
      <c r="CO265" s="3"/>
      <c r="CP265" s="3"/>
      <c r="CQ265" s="4"/>
      <c r="CR265" s="4"/>
      <c r="CS265" s="4"/>
      <c r="CT265" s="4"/>
      <c r="CU265" s="4"/>
      <c r="CV265" s="4"/>
    </row>
    <row r="266" spans="1:100"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c r="BS266" s="3"/>
      <c r="BT266" s="3"/>
      <c r="BU266" s="3"/>
      <c r="BV266" s="3"/>
      <c r="BW266" s="3"/>
      <c r="BX266" s="3"/>
      <c r="BY266" s="3"/>
      <c r="BZ266" s="3"/>
      <c r="CA266" s="3"/>
      <c r="CB266" s="3"/>
      <c r="CC266" s="3"/>
      <c r="CD266" s="3"/>
      <c r="CE266" s="3"/>
      <c r="CF266" s="3"/>
      <c r="CG266" s="3"/>
      <c r="CH266" s="3"/>
      <c r="CI266" s="3"/>
      <c r="CJ266" s="3"/>
      <c r="CK266" s="3"/>
      <c r="CL266" s="3"/>
      <c r="CM266" s="3"/>
      <c r="CN266" s="3"/>
      <c r="CO266" s="3"/>
      <c r="CP266" s="3"/>
      <c r="CQ266" s="4"/>
      <c r="CR266" s="4"/>
      <c r="CS266" s="4"/>
      <c r="CT266" s="4"/>
      <c r="CU266" s="4"/>
      <c r="CV266" s="4"/>
    </row>
    <row r="267" spans="1:100"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c r="BS267" s="3"/>
      <c r="BT267" s="3"/>
      <c r="BU267" s="3"/>
      <c r="BV267" s="3"/>
      <c r="BW267" s="3"/>
      <c r="BX267" s="3"/>
      <c r="BY267" s="3"/>
      <c r="BZ267" s="3"/>
      <c r="CA267" s="3"/>
      <c r="CB267" s="3"/>
      <c r="CC267" s="3"/>
      <c r="CD267" s="3"/>
      <c r="CE267" s="3"/>
      <c r="CF267" s="3"/>
      <c r="CG267" s="3"/>
      <c r="CH267" s="3"/>
      <c r="CI267" s="3"/>
      <c r="CJ267" s="3"/>
      <c r="CK267" s="3"/>
      <c r="CL267" s="3"/>
      <c r="CM267" s="3"/>
      <c r="CN267" s="3"/>
      <c r="CO267" s="3"/>
      <c r="CP267" s="3"/>
      <c r="CQ267" s="4"/>
      <c r="CR267" s="4"/>
      <c r="CS267" s="4"/>
      <c r="CT267" s="4"/>
      <c r="CU267" s="4"/>
      <c r="CV267" s="4"/>
    </row>
    <row r="268" spans="1:100"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c r="BS268" s="3"/>
      <c r="BT268" s="3"/>
      <c r="BU268" s="3"/>
      <c r="BV268" s="3"/>
      <c r="BW268" s="3"/>
      <c r="BX268" s="3"/>
      <c r="BY268" s="3"/>
      <c r="BZ268" s="3"/>
      <c r="CA268" s="3"/>
      <c r="CB268" s="3"/>
      <c r="CC268" s="3"/>
      <c r="CD268" s="3"/>
      <c r="CE268" s="3"/>
      <c r="CF268" s="3"/>
      <c r="CG268" s="3"/>
      <c r="CH268" s="3"/>
      <c r="CI268" s="3"/>
      <c r="CJ268" s="3"/>
      <c r="CK268" s="3"/>
      <c r="CL268" s="3"/>
      <c r="CM268" s="3"/>
      <c r="CN268" s="3"/>
      <c r="CO268" s="3"/>
      <c r="CP268" s="3"/>
      <c r="CQ268" s="4"/>
      <c r="CR268" s="4"/>
      <c r="CS268" s="4"/>
      <c r="CT268" s="4"/>
      <c r="CU268" s="4"/>
      <c r="CV268" s="4"/>
    </row>
    <row r="269" spans="1:100"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c r="BS269" s="3"/>
      <c r="BT269" s="3"/>
      <c r="BU269" s="3"/>
      <c r="BV269" s="3"/>
      <c r="BW269" s="3"/>
      <c r="BX269" s="3"/>
      <c r="BY269" s="3"/>
      <c r="BZ269" s="3"/>
      <c r="CA269" s="3"/>
      <c r="CB269" s="3"/>
      <c r="CC269" s="3"/>
      <c r="CD269" s="3"/>
      <c r="CE269" s="3"/>
      <c r="CF269" s="3"/>
      <c r="CG269" s="3"/>
      <c r="CH269" s="3"/>
      <c r="CI269" s="3"/>
      <c r="CJ269" s="3"/>
      <c r="CK269" s="3"/>
      <c r="CL269" s="3"/>
      <c r="CM269" s="3"/>
      <c r="CN269" s="3"/>
      <c r="CO269" s="3"/>
      <c r="CP269" s="3"/>
      <c r="CQ269" s="4"/>
      <c r="CR269" s="4"/>
      <c r="CS269" s="4"/>
      <c r="CT269" s="4"/>
      <c r="CU269" s="4"/>
      <c r="CV269" s="4"/>
    </row>
    <row r="270" spans="1:100"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c r="BS270" s="3"/>
      <c r="BT270" s="3"/>
      <c r="BU270" s="3"/>
      <c r="BV270" s="3"/>
      <c r="BW270" s="3"/>
      <c r="BX270" s="3"/>
      <c r="BY270" s="3"/>
      <c r="BZ270" s="3"/>
      <c r="CA270" s="3"/>
      <c r="CB270" s="3"/>
      <c r="CC270" s="3"/>
      <c r="CD270" s="3"/>
      <c r="CE270" s="3"/>
      <c r="CF270" s="3"/>
      <c r="CG270" s="3"/>
      <c r="CH270" s="3"/>
      <c r="CI270" s="3"/>
      <c r="CJ270" s="3"/>
      <c r="CK270" s="3"/>
      <c r="CL270" s="3"/>
      <c r="CM270" s="3"/>
      <c r="CN270" s="3"/>
      <c r="CO270" s="3"/>
      <c r="CP270" s="3"/>
      <c r="CQ270" s="4"/>
      <c r="CR270" s="4"/>
      <c r="CS270" s="4"/>
      <c r="CT270" s="4"/>
      <c r="CU270" s="4"/>
      <c r="CV270" s="4"/>
    </row>
    <row r="271" spans="1:100"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c r="BS271" s="3"/>
      <c r="BT271" s="3"/>
      <c r="BU271" s="3"/>
      <c r="BV271" s="3"/>
      <c r="BW271" s="3"/>
      <c r="BX271" s="3"/>
      <c r="BY271" s="3"/>
      <c r="BZ271" s="3"/>
      <c r="CA271" s="3"/>
      <c r="CB271" s="3"/>
      <c r="CC271" s="3"/>
      <c r="CD271" s="3"/>
      <c r="CE271" s="3"/>
      <c r="CF271" s="3"/>
      <c r="CG271" s="3"/>
      <c r="CH271" s="3"/>
      <c r="CI271" s="3"/>
      <c r="CJ271" s="3"/>
      <c r="CK271" s="3"/>
      <c r="CL271" s="3"/>
      <c r="CM271" s="3"/>
      <c r="CN271" s="3"/>
      <c r="CO271" s="3"/>
      <c r="CP271" s="3"/>
      <c r="CQ271" s="4"/>
      <c r="CR271" s="4"/>
      <c r="CS271" s="4"/>
      <c r="CT271" s="4"/>
      <c r="CU271" s="4"/>
      <c r="CV271" s="4"/>
    </row>
    <row r="272" spans="1:100"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c r="BS272" s="3"/>
      <c r="BT272" s="3"/>
      <c r="BU272" s="3"/>
      <c r="BV272" s="3"/>
      <c r="BW272" s="3"/>
      <c r="BX272" s="3"/>
      <c r="BY272" s="3"/>
      <c r="BZ272" s="3"/>
      <c r="CA272" s="3"/>
      <c r="CB272" s="3"/>
      <c r="CC272" s="3"/>
      <c r="CD272" s="3"/>
      <c r="CE272" s="3"/>
      <c r="CF272" s="3"/>
      <c r="CG272" s="3"/>
      <c r="CH272" s="3"/>
      <c r="CI272" s="3"/>
      <c r="CJ272" s="3"/>
      <c r="CK272" s="3"/>
      <c r="CL272" s="3"/>
      <c r="CM272" s="3"/>
      <c r="CN272" s="3"/>
      <c r="CO272" s="3"/>
      <c r="CP272" s="3"/>
      <c r="CQ272" s="4"/>
      <c r="CR272" s="4"/>
      <c r="CS272" s="4"/>
      <c r="CT272" s="4"/>
      <c r="CU272" s="4"/>
      <c r="CV272" s="4"/>
    </row>
    <row r="273" spans="1:100"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c r="BS273" s="3"/>
      <c r="BT273" s="3"/>
      <c r="BU273" s="3"/>
      <c r="BV273" s="3"/>
      <c r="BW273" s="3"/>
      <c r="BX273" s="3"/>
      <c r="BY273" s="3"/>
      <c r="BZ273" s="3"/>
      <c r="CA273" s="3"/>
      <c r="CB273" s="3"/>
      <c r="CC273" s="3"/>
      <c r="CD273" s="3"/>
      <c r="CE273" s="3"/>
      <c r="CF273" s="3"/>
      <c r="CG273" s="3"/>
      <c r="CH273" s="3"/>
      <c r="CI273" s="3"/>
      <c r="CJ273" s="3"/>
      <c r="CK273" s="3"/>
      <c r="CL273" s="3"/>
      <c r="CM273" s="3"/>
      <c r="CN273" s="3"/>
      <c r="CO273" s="3"/>
      <c r="CP273" s="3"/>
      <c r="CQ273" s="4"/>
      <c r="CR273" s="4"/>
      <c r="CS273" s="4"/>
      <c r="CT273" s="4"/>
      <c r="CU273" s="4"/>
      <c r="CV273" s="4"/>
    </row>
    <row r="274" spans="1:100"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c r="BS274" s="3"/>
      <c r="BT274" s="3"/>
      <c r="BU274" s="3"/>
      <c r="BV274" s="3"/>
      <c r="BW274" s="3"/>
      <c r="BX274" s="3"/>
      <c r="BY274" s="3"/>
      <c r="BZ274" s="3"/>
      <c r="CA274" s="3"/>
      <c r="CB274" s="3"/>
      <c r="CC274" s="3"/>
      <c r="CD274" s="3"/>
      <c r="CE274" s="3"/>
      <c r="CF274" s="3"/>
      <c r="CG274" s="3"/>
      <c r="CH274" s="3"/>
      <c r="CI274" s="3"/>
      <c r="CJ274" s="3"/>
      <c r="CK274" s="3"/>
      <c r="CL274" s="3"/>
      <c r="CM274" s="3"/>
      <c r="CN274" s="3"/>
      <c r="CO274" s="3"/>
      <c r="CP274" s="3"/>
      <c r="CQ274" s="4"/>
      <c r="CR274" s="4"/>
      <c r="CS274" s="4"/>
      <c r="CT274" s="4"/>
      <c r="CU274" s="4"/>
      <c r="CV274" s="4"/>
    </row>
    <row r="275" spans="1:100"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c r="BS275" s="3"/>
      <c r="BT275" s="3"/>
      <c r="BU275" s="3"/>
      <c r="BV275" s="3"/>
      <c r="BW275" s="3"/>
      <c r="BX275" s="3"/>
      <c r="BY275" s="3"/>
      <c r="BZ275" s="3"/>
      <c r="CA275" s="3"/>
      <c r="CB275" s="3"/>
      <c r="CC275" s="3"/>
      <c r="CD275" s="3"/>
      <c r="CE275" s="3"/>
      <c r="CF275" s="3"/>
      <c r="CG275" s="3"/>
      <c r="CH275" s="3"/>
      <c r="CI275" s="3"/>
      <c r="CJ275" s="3"/>
      <c r="CK275" s="3"/>
      <c r="CL275" s="3"/>
      <c r="CM275" s="3"/>
      <c r="CN275" s="3"/>
      <c r="CO275" s="3"/>
      <c r="CP275" s="3"/>
      <c r="CQ275" s="4"/>
      <c r="CR275" s="4"/>
      <c r="CS275" s="4"/>
      <c r="CT275" s="4"/>
      <c r="CU275" s="4"/>
      <c r="CV275" s="4"/>
    </row>
    <row r="276" spans="1:100"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c r="BS276" s="3"/>
      <c r="BT276" s="3"/>
      <c r="BU276" s="3"/>
      <c r="BV276" s="3"/>
      <c r="BW276" s="3"/>
      <c r="BX276" s="3"/>
      <c r="BY276" s="3"/>
      <c r="BZ276" s="3"/>
      <c r="CA276" s="3"/>
      <c r="CB276" s="3"/>
      <c r="CC276" s="3"/>
      <c r="CD276" s="3"/>
      <c r="CE276" s="3"/>
      <c r="CF276" s="3"/>
      <c r="CG276" s="3"/>
      <c r="CH276" s="3"/>
      <c r="CI276" s="3"/>
      <c r="CJ276" s="3"/>
      <c r="CK276" s="3"/>
      <c r="CL276" s="3"/>
      <c r="CM276" s="3"/>
      <c r="CN276" s="3"/>
      <c r="CO276" s="3"/>
      <c r="CP276" s="3"/>
      <c r="CQ276" s="4"/>
      <c r="CR276" s="4"/>
      <c r="CS276" s="4"/>
      <c r="CT276" s="4"/>
      <c r="CU276" s="4"/>
      <c r="CV276" s="4"/>
    </row>
    <row r="277" spans="1:100"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c r="BR277" s="3"/>
      <c r="BS277" s="3"/>
      <c r="BT277" s="3"/>
      <c r="BU277" s="3"/>
      <c r="BV277" s="3"/>
      <c r="BW277" s="3"/>
      <c r="BX277" s="3"/>
      <c r="BY277" s="3"/>
      <c r="BZ277" s="3"/>
      <c r="CA277" s="3"/>
      <c r="CB277" s="3"/>
      <c r="CC277" s="3"/>
      <c r="CD277" s="3"/>
      <c r="CE277" s="3"/>
      <c r="CF277" s="3"/>
      <c r="CG277" s="3"/>
      <c r="CH277" s="3"/>
      <c r="CI277" s="3"/>
      <c r="CJ277" s="3"/>
      <c r="CK277" s="3"/>
      <c r="CL277" s="3"/>
      <c r="CM277" s="3"/>
      <c r="CN277" s="3"/>
      <c r="CO277" s="3"/>
      <c r="CP277" s="3"/>
      <c r="CQ277" s="4"/>
      <c r="CR277" s="4"/>
      <c r="CS277" s="4"/>
      <c r="CT277" s="4"/>
      <c r="CU277" s="4"/>
      <c r="CV277" s="4"/>
    </row>
    <row r="278" spans="1:100"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c r="BR278" s="3"/>
      <c r="BS278" s="3"/>
      <c r="BT278" s="3"/>
      <c r="BU278" s="3"/>
      <c r="BV278" s="3"/>
      <c r="BW278" s="3"/>
      <c r="BX278" s="3"/>
      <c r="BY278" s="3"/>
      <c r="BZ278" s="3"/>
      <c r="CA278" s="3"/>
      <c r="CB278" s="3"/>
      <c r="CC278" s="3"/>
      <c r="CD278" s="3"/>
      <c r="CE278" s="3"/>
      <c r="CF278" s="3"/>
      <c r="CG278" s="3"/>
      <c r="CH278" s="3"/>
      <c r="CI278" s="3"/>
      <c r="CJ278" s="3"/>
      <c r="CK278" s="3"/>
      <c r="CL278" s="3"/>
      <c r="CM278" s="3"/>
      <c r="CN278" s="3"/>
      <c r="CO278" s="3"/>
      <c r="CP278" s="3"/>
      <c r="CQ278" s="4"/>
      <c r="CR278" s="4"/>
      <c r="CS278" s="4"/>
      <c r="CT278" s="4"/>
      <c r="CU278" s="4"/>
      <c r="CV278" s="4"/>
    </row>
    <row r="279" spans="1:100"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c r="BR279" s="3"/>
      <c r="BS279" s="3"/>
      <c r="BT279" s="3"/>
      <c r="BU279" s="3"/>
      <c r="BV279" s="3"/>
      <c r="BW279" s="3"/>
      <c r="BX279" s="3"/>
      <c r="BY279" s="3"/>
      <c r="BZ279" s="3"/>
      <c r="CA279" s="3"/>
      <c r="CB279" s="3"/>
      <c r="CC279" s="3"/>
      <c r="CD279" s="3"/>
      <c r="CE279" s="3"/>
      <c r="CF279" s="3"/>
      <c r="CG279" s="3"/>
      <c r="CH279" s="3"/>
      <c r="CI279" s="3"/>
      <c r="CJ279" s="3"/>
      <c r="CK279" s="3"/>
      <c r="CL279" s="3"/>
      <c r="CM279" s="3"/>
      <c r="CN279" s="3"/>
      <c r="CO279" s="3"/>
      <c r="CP279" s="3"/>
      <c r="CQ279" s="4"/>
      <c r="CR279" s="4"/>
      <c r="CS279" s="4"/>
      <c r="CT279" s="4"/>
      <c r="CU279" s="4"/>
      <c r="CV279" s="4"/>
    </row>
    <row r="280" spans="1:100"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c r="BS280" s="3"/>
      <c r="BT280" s="3"/>
      <c r="BU280" s="3"/>
      <c r="BV280" s="3"/>
      <c r="BW280" s="3"/>
      <c r="BX280" s="3"/>
      <c r="BY280" s="3"/>
      <c r="BZ280" s="3"/>
      <c r="CA280" s="3"/>
      <c r="CB280" s="3"/>
      <c r="CC280" s="3"/>
      <c r="CD280" s="3"/>
      <c r="CE280" s="3"/>
      <c r="CF280" s="3"/>
      <c r="CG280" s="3"/>
      <c r="CH280" s="3"/>
      <c r="CI280" s="3"/>
      <c r="CJ280" s="3"/>
      <c r="CK280" s="3"/>
      <c r="CL280" s="3"/>
      <c r="CM280" s="3"/>
      <c r="CN280" s="3"/>
      <c r="CO280" s="3"/>
      <c r="CP280" s="3"/>
      <c r="CQ280" s="4"/>
      <c r="CR280" s="4"/>
      <c r="CS280" s="4"/>
      <c r="CT280" s="4"/>
      <c r="CU280" s="4"/>
      <c r="CV280" s="4"/>
    </row>
    <row r="281" spans="1:100"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c r="BR281" s="3"/>
      <c r="BS281" s="3"/>
      <c r="BT281" s="3"/>
      <c r="BU281" s="3"/>
      <c r="BV281" s="3"/>
      <c r="BW281" s="3"/>
      <c r="BX281" s="3"/>
      <c r="BY281" s="3"/>
      <c r="BZ281" s="3"/>
      <c r="CA281" s="3"/>
      <c r="CB281" s="3"/>
      <c r="CC281" s="3"/>
      <c r="CD281" s="3"/>
      <c r="CE281" s="3"/>
      <c r="CF281" s="3"/>
      <c r="CG281" s="3"/>
      <c r="CH281" s="3"/>
      <c r="CI281" s="3"/>
      <c r="CJ281" s="3"/>
      <c r="CK281" s="3"/>
      <c r="CL281" s="3"/>
      <c r="CM281" s="3"/>
      <c r="CN281" s="3"/>
      <c r="CO281" s="3"/>
      <c r="CP281" s="3"/>
      <c r="CQ281" s="4"/>
      <c r="CR281" s="4"/>
      <c r="CS281" s="4"/>
      <c r="CT281" s="4"/>
      <c r="CU281" s="4"/>
      <c r="CV281" s="4"/>
    </row>
    <row r="282" spans="1:100"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c r="BR282" s="3"/>
      <c r="BS282" s="3"/>
      <c r="BT282" s="3"/>
      <c r="BU282" s="3"/>
      <c r="BV282" s="3"/>
      <c r="BW282" s="3"/>
      <c r="BX282" s="3"/>
      <c r="BY282" s="3"/>
      <c r="BZ282" s="3"/>
      <c r="CA282" s="3"/>
      <c r="CB282" s="3"/>
      <c r="CC282" s="3"/>
      <c r="CD282" s="3"/>
      <c r="CE282" s="3"/>
      <c r="CF282" s="3"/>
      <c r="CG282" s="3"/>
      <c r="CH282" s="3"/>
      <c r="CI282" s="3"/>
      <c r="CJ282" s="3"/>
      <c r="CK282" s="3"/>
      <c r="CL282" s="3"/>
      <c r="CM282" s="3"/>
      <c r="CN282" s="3"/>
      <c r="CO282" s="3"/>
      <c r="CP282" s="3"/>
      <c r="CQ282" s="4"/>
      <c r="CR282" s="4"/>
      <c r="CS282" s="4"/>
      <c r="CT282" s="4"/>
      <c r="CU282" s="4"/>
      <c r="CV282" s="4"/>
    </row>
    <row r="283" spans="1:100"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c r="BR283" s="3"/>
      <c r="BS283" s="3"/>
      <c r="BT283" s="3"/>
      <c r="BU283" s="3"/>
      <c r="BV283" s="3"/>
      <c r="BW283" s="3"/>
      <c r="BX283" s="3"/>
      <c r="BY283" s="3"/>
      <c r="BZ283" s="3"/>
      <c r="CA283" s="3"/>
      <c r="CB283" s="3"/>
      <c r="CC283" s="3"/>
      <c r="CD283" s="3"/>
      <c r="CE283" s="3"/>
      <c r="CF283" s="3"/>
      <c r="CG283" s="3"/>
      <c r="CH283" s="3"/>
      <c r="CI283" s="3"/>
      <c r="CJ283" s="3"/>
      <c r="CK283" s="3"/>
      <c r="CL283" s="3"/>
      <c r="CM283" s="3"/>
      <c r="CN283" s="3"/>
      <c r="CO283" s="3"/>
      <c r="CP283" s="3"/>
      <c r="CQ283" s="4"/>
      <c r="CR283" s="4"/>
      <c r="CS283" s="4"/>
      <c r="CT283" s="4"/>
      <c r="CU283" s="4"/>
      <c r="CV283" s="4"/>
    </row>
    <row r="284" spans="1:100"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c r="BR284" s="3"/>
      <c r="BS284" s="3"/>
      <c r="BT284" s="3"/>
      <c r="BU284" s="3"/>
      <c r="BV284" s="3"/>
      <c r="BW284" s="3"/>
      <c r="BX284" s="3"/>
      <c r="BY284" s="3"/>
      <c r="BZ284" s="3"/>
      <c r="CA284" s="3"/>
      <c r="CB284" s="3"/>
      <c r="CC284" s="3"/>
      <c r="CD284" s="3"/>
      <c r="CE284" s="3"/>
      <c r="CF284" s="3"/>
      <c r="CG284" s="3"/>
      <c r="CH284" s="3"/>
      <c r="CI284" s="3"/>
      <c r="CJ284" s="3"/>
      <c r="CK284" s="3"/>
      <c r="CL284" s="3"/>
      <c r="CM284" s="3"/>
      <c r="CN284" s="3"/>
      <c r="CO284" s="3"/>
      <c r="CP284" s="3"/>
      <c r="CQ284" s="4"/>
      <c r="CR284" s="4"/>
      <c r="CS284" s="4"/>
      <c r="CT284" s="4"/>
      <c r="CU284" s="4"/>
      <c r="CV284" s="4"/>
    </row>
    <row r="285" spans="1:100"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c r="BR285" s="3"/>
      <c r="BS285" s="3"/>
      <c r="BT285" s="3"/>
      <c r="BU285" s="3"/>
      <c r="BV285" s="3"/>
      <c r="BW285" s="3"/>
      <c r="BX285" s="3"/>
      <c r="BY285" s="3"/>
      <c r="BZ285" s="3"/>
      <c r="CA285" s="3"/>
      <c r="CB285" s="3"/>
      <c r="CC285" s="3"/>
      <c r="CD285" s="3"/>
      <c r="CE285" s="3"/>
      <c r="CF285" s="3"/>
      <c r="CG285" s="3"/>
      <c r="CH285" s="3"/>
      <c r="CI285" s="3"/>
      <c r="CJ285" s="3"/>
      <c r="CK285" s="3"/>
      <c r="CL285" s="3"/>
      <c r="CM285" s="3"/>
      <c r="CN285" s="3"/>
      <c r="CO285" s="3"/>
      <c r="CP285" s="3"/>
      <c r="CQ285" s="4"/>
      <c r="CR285" s="4"/>
      <c r="CS285" s="4"/>
      <c r="CT285" s="4"/>
      <c r="CU285" s="4"/>
      <c r="CV285" s="4"/>
    </row>
    <row r="286" spans="1:100"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c r="BR286" s="3"/>
      <c r="BS286" s="3"/>
      <c r="BT286" s="3"/>
      <c r="BU286" s="3"/>
      <c r="BV286" s="3"/>
      <c r="BW286" s="3"/>
      <c r="BX286" s="3"/>
      <c r="BY286" s="3"/>
      <c r="BZ286" s="3"/>
      <c r="CA286" s="3"/>
      <c r="CB286" s="3"/>
      <c r="CC286" s="3"/>
      <c r="CD286" s="3"/>
      <c r="CE286" s="3"/>
      <c r="CF286" s="3"/>
      <c r="CG286" s="3"/>
      <c r="CH286" s="3"/>
      <c r="CI286" s="3"/>
      <c r="CJ286" s="3"/>
      <c r="CK286" s="3"/>
      <c r="CL286" s="3"/>
      <c r="CM286" s="3"/>
      <c r="CN286" s="3"/>
      <c r="CO286" s="3"/>
      <c r="CP286" s="3"/>
      <c r="CQ286" s="4"/>
      <c r="CR286" s="4"/>
      <c r="CS286" s="4"/>
      <c r="CT286" s="4"/>
      <c r="CU286" s="4"/>
      <c r="CV286" s="4"/>
    </row>
    <row r="287" spans="1:100"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c r="BR287" s="3"/>
      <c r="BS287" s="3"/>
      <c r="BT287" s="3"/>
      <c r="BU287" s="3"/>
      <c r="BV287" s="3"/>
      <c r="BW287" s="3"/>
      <c r="BX287" s="3"/>
      <c r="BY287" s="3"/>
      <c r="BZ287" s="3"/>
      <c r="CA287" s="3"/>
      <c r="CB287" s="3"/>
      <c r="CC287" s="3"/>
      <c r="CD287" s="3"/>
      <c r="CE287" s="3"/>
      <c r="CF287" s="3"/>
      <c r="CG287" s="3"/>
      <c r="CH287" s="3"/>
      <c r="CI287" s="3"/>
      <c r="CJ287" s="3"/>
      <c r="CK287" s="3"/>
      <c r="CL287" s="3"/>
      <c r="CM287" s="3"/>
      <c r="CN287" s="3"/>
      <c r="CO287" s="3"/>
      <c r="CP287" s="3"/>
      <c r="CQ287" s="4"/>
      <c r="CR287" s="4"/>
      <c r="CS287" s="4"/>
      <c r="CT287" s="4"/>
      <c r="CU287" s="4"/>
      <c r="CV287" s="4"/>
    </row>
    <row r="288" spans="1:100"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c r="BR288" s="3"/>
      <c r="BS288" s="3"/>
      <c r="BT288" s="3"/>
      <c r="BU288" s="3"/>
      <c r="BV288" s="3"/>
      <c r="BW288" s="3"/>
      <c r="BX288" s="3"/>
      <c r="BY288" s="3"/>
      <c r="BZ288" s="3"/>
      <c r="CA288" s="3"/>
      <c r="CB288" s="3"/>
      <c r="CC288" s="3"/>
      <c r="CD288" s="3"/>
      <c r="CE288" s="3"/>
      <c r="CF288" s="3"/>
      <c r="CG288" s="3"/>
      <c r="CH288" s="3"/>
      <c r="CI288" s="3"/>
      <c r="CJ288" s="3"/>
      <c r="CK288" s="3"/>
      <c r="CL288" s="3"/>
      <c r="CM288" s="3"/>
      <c r="CN288" s="3"/>
      <c r="CO288" s="3"/>
      <c r="CP288" s="3"/>
      <c r="CQ288" s="4"/>
      <c r="CR288" s="4"/>
      <c r="CS288" s="4"/>
      <c r="CT288" s="4"/>
      <c r="CU288" s="4"/>
      <c r="CV288" s="4"/>
    </row>
    <row r="289" spans="1:100"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c r="BR289" s="3"/>
      <c r="BS289" s="3"/>
      <c r="BT289" s="3"/>
      <c r="BU289" s="3"/>
      <c r="BV289" s="3"/>
      <c r="BW289" s="3"/>
      <c r="BX289" s="3"/>
      <c r="BY289" s="3"/>
      <c r="BZ289" s="3"/>
      <c r="CA289" s="3"/>
      <c r="CB289" s="3"/>
      <c r="CC289" s="3"/>
      <c r="CD289" s="3"/>
      <c r="CE289" s="3"/>
      <c r="CF289" s="3"/>
      <c r="CG289" s="3"/>
      <c r="CH289" s="3"/>
      <c r="CI289" s="3"/>
      <c r="CJ289" s="3"/>
      <c r="CK289" s="3"/>
      <c r="CL289" s="3"/>
      <c r="CM289" s="3"/>
      <c r="CN289" s="3"/>
      <c r="CO289" s="3"/>
      <c r="CP289" s="3"/>
      <c r="CQ289" s="4"/>
      <c r="CR289" s="4"/>
      <c r="CS289" s="4"/>
      <c r="CT289" s="4"/>
      <c r="CU289" s="4"/>
      <c r="CV289" s="4"/>
    </row>
    <row r="290" spans="1:100"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c r="BR290" s="3"/>
      <c r="BS290" s="3"/>
      <c r="BT290" s="3"/>
      <c r="BU290" s="3"/>
      <c r="BV290" s="3"/>
      <c r="BW290" s="3"/>
      <c r="BX290" s="3"/>
      <c r="BY290" s="3"/>
      <c r="BZ290" s="3"/>
      <c r="CA290" s="3"/>
      <c r="CB290" s="3"/>
      <c r="CC290" s="3"/>
      <c r="CD290" s="3"/>
      <c r="CE290" s="3"/>
      <c r="CF290" s="3"/>
      <c r="CG290" s="3"/>
      <c r="CH290" s="3"/>
      <c r="CI290" s="3"/>
      <c r="CJ290" s="3"/>
      <c r="CK290" s="3"/>
      <c r="CL290" s="3"/>
      <c r="CM290" s="3"/>
      <c r="CN290" s="3"/>
      <c r="CO290" s="3"/>
      <c r="CP290" s="3"/>
      <c r="CQ290" s="4"/>
      <c r="CR290" s="4"/>
      <c r="CS290" s="4"/>
      <c r="CT290" s="4"/>
      <c r="CU290" s="4"/>
      <c r="CV290" s="4"/>
    </row>
    <row r="291" spans="1:100"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c r="BR291" s="3"/>
      <c r="BS291" s="3"/>
      <c r="BT291" s="3"/>
      <c r="BU291" s="3"/>
      <c r="BV291" s="3"/>
      <c r="BW291" s="3"/>
      <c r="BX291" s="3"/>
      <c r="BY291" s="3"/>
      <c r="BZ291" s="3"/>
      <c r="CA291" s="3"/>
      <c r="CB291" s="3"/>
      <c r="CC291" s="3"/>
      <c r="CD291" s="3"/>
      <c r="CE291" s="3"/>
      <c r="CF291" s="3"/>
      <c r="CG291" s="3"/>
      <c r="CH291" s="3"/>
      <c r="CI291" s="3"/>
      <c r="CJ291" s="3"/>
      <c r="CK291" s="3"/>
      <c r="CL291" s="3"/>
      <c r="CM291" s="3"/>
      <c r="CN291" s="3"/>
      <c r="CO291" s="3"/>
      <c r="CP291" s="3"/>
      <c r="CQ291" s="4"/>
      <c r="CR291" s="4"/>
      <c r="CS291" s="4"/>
      <c r="CT291" s="4"/>
      <c r="CU291" s="4"/>
      <c r="CV291" s="4"/>
    </row>
    <row r="292" spans="1:100"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c r="BS292" s="3"/>
      <c r="BT292" s="3"/>
      <c r="BU292" s="3"/>
      <c r="BV292" s="3"/>
      <c r="BW292" s="3"/>
      <c r="BX292" s="3"/>
      <c r="BY292" s="3"/>
      <c r="BZ292" s="3"/>
      <c r="CA292" s="3"/>
      <c r="CB292" s="3"/>
      <c r="CC292" s="3"/>
      <c r="CD292" s="3"/>
      <c r="CE292" s="3"/>
      <c r="CF292" s="3"/>
      <c r="CG292" s="3"/>
      <c r="CH292" s="3"/>
      <c r="CI292" s="3"/>
      <c r="CJ292" s="3"/>
      <c r="CK292" s="3"/>
      <c r="CL292" s="3"/>
      <c r="CM292" s="3"/>
      <c r="CN292" s="3"/>
      <c r="CO292" s="3"/>
      <c r="CP292" s="3"/>
      <c r="CQ292" s="4"/>
      <c r="CR292" s="4"/>
      <c r="CS292" s="4"/>
      <c r="CT292" s="4"/>
      <c r="CU292" s="4"/>
      <c r="CV292" s="4"/>
    </row>
    <row r="293" spans="1:100"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c r="BS293" s="3"/>
      <c r="BT293" s="3"/>
      <c r="BU293" s="3"/>
      <c r="BV293" s="3"/>
      <c r="BW293" s="3"/>
      <c r="BX293" s="3"/>
      <c r="BY293" s="3"/>
      <c r="BZ293" s="3"/>
      <c r="CA293" s="3"/>
      <c r="CB293" s="3"/>
      <c r="CC293" s="3"/>
      <c r="CD293" s="3"/>
      <c r="CE293" s="3"/>
      <c r="CF293" s="3"/>
      <c r="CG293" s="3"/>
      <c r="CH293" s="3"/>
      <c r="CI293" s="3"/>
      <c r="CJ293" s="3"/>
      <c r="CK293" s="3"/>
      <c r="CL293" s="3"/>
      <c r="CM293" s="3"/>
      <c r="CN293" s="3"/>
      <c r="CO293" s="3"/>
      <c r="CP293" s="3"/>
      <c r="CQ293" s="4"/>
      <c r="CR293" s="4"/>
      <c r="CS293" s="4"/>
      <c r="CT293" s="4"/>
      <c r="CU293" s="4"/>
      <c r="CV293" s="4"/>
    </row>
    <row r="294" spans="1:100"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c r="BS294" s="3"/>
      <c r="BT294" s="3"/>
      <c r="BU294" s="3"/>
      <c r="BV294" s="3"/>
      <c r="BW294" s="3"/>
      <c r="BX294" s="3"/>
      <c r="BY294" s="3"/>
      <c r="BZ294" s="3"/>
      <c r="CA294" s="3"/>
      <c r="CB294" s="3"/>
      <c r="CC294" s="3"/>
      <c r="CD294" s="3"/>
      <c r="CE294" s="3"/>
      <c r="CF294" s="3"/>
      <c r="CG294" s="3"/>
      <c r="CH294" s="3"/>
      <c r="CI294" s="3"/>
      <c r="CJ294" s="3"/>
      <c r="CK294" s="3"/>
      <c r="CL294" s="3"/>
      <c r="CM294" s="3"/>
      <c r="CN294" s="3"/>
      <c r="CO294" s="3"/>
      <c r="CP294" s="3"/>
      <c r="CQ294" s="4"/>
      <c r="CR294" s="4"/>
      <c r="CS294" s="4"/>
      <c r="CT294" s="4"/>
      <c r="CU294" s="4"/>
      <c r="CV294" s="4"/>
    </row>
    <row r="295" spans="1:100"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c r="BR295" s="3"/>
      <c r="BS295" s="3"/>
      <c r="BT295" s="3"/>
      <c r="BU295" s="3"/>
      <c r="BV295" s="3"/>
      <c r="BW295" s="3"/>
      <c r="BX295" s="3"/>
      <c r="BY295" s="3"/>
      <c r="BZ295" s="3"/>
      <c r="CA295" s="3"/>
      <c r="CB295" s="3"/>
      <c r="CC295" s="3"/>
      <c r="CD295" s="3"/>
      <c r="CE295" s="3"/>
      <c r="CF295" s="3"/>
      <c r="CG295" s="3"/>
      <c r="CH295" s="3"/>
      <c r="CI295" s="3"/>
      <c r="CJ295" s="3"/>
      <c r="CK295" s="3"/>
      <c r="CL295" s="3"/>
      <c r="CM295" s="3"/>
      <c r="CN295" s="3"/>
      <c r="CO295" s="3"/>
      <c r="CP295" s="3"/>
      <c r="CQ295" s="4"/>
      <c r="CR295" s="4"/>
      <c r="CS295" s="4"/>
      <c r="CT295" s="4"/>
      <c r="CU295" s="4"/>
      <c r="CV295" s="4"/>
    </row>
    <row r="296" spans="1:100"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c r="BR296" s="3"/>
      <c r="BS296" s="3"/>
      <c r="BT296" s="3"/>
      <c r="BU296" s="3"/>
      <c r="BV296" s="3"/>
      <c r="BW296" s="3"/>
      <c r="BX296" s="3"/>
      <c r="BY296" s="3"/>
      <c r="BZ296" s="3"/>
      <c r="CA296" s="3"/>
      <c r="CB296" s="3"/>
      <c r="CC296" s="3"/>
      <c r="CD296" s="3"/>
      <c r="CE296" s="3"/>
      <c r="CF296" s="3"/>
      <c r="CG296" s="3"/>
      <c r="CH296" s="3"/>
      <c r="CI296" s="3"/>
      <c r="CJ296" s="3"/>
      <c r="CK296" s="3"/>
      <c r="CL296" s="3"/>
      <c r="CM296" s="3"/>
      <c r="CN296" s="3"/>
      <c r="CO296" s="3"/>
      <c r="CP296" s="3"/>
      <c r="CQ296" s="4"/>
      <c r="CR296" s="4"/>
      <c r="CS296" s="4"/>
      <c r="CT296" s="4"/>
      <c r="CU296" s="4"/>
      <c r="CV296" s="4"/>
    </row>
    <row r="297" spans="1:100"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c r="BR297" s="3"/>
      <c r="BS297" s="3"/>
      <c r="BT297" s="3"/>
      <c r="BU297" s="3"/>
      <c r="BV297" s="3"/>
      <c r="BW297" s="3"/>
      <c r="BX297" s="3"/>
      <c r="BY297" s="3"/>
      <c r="BZ297" s="3"/>
      <c r="CA297" s="3"/>
      <c r="CB297" s="3"/>
      <c r="CC297" s="3"/>
      <c r="CD297" s="3"/>
      <c r="CE297" s="3"/>
      <c r="CF297" s="3"/>
      <c r="CG297" s="3"/>
      <c r="CH297" s="3"/>
      <c r="CI297" s="3"/>
      <c r="CJ297" s="3"/>
      <c r="CK297" s="3"/>
      <c r="CL297" s="3"/>
      <c r="CM297" s="3"/>
      <c r="CN297" s="3"/>
      <c r="CO297" s="3"/>
      <c r="CP297" s="3"/>
      <c r="CQ297" s="4"/>
      <c r="CR297" s="4"/>
      <c r="CS297" s="4"/>
      <c r="CT297" s="4"/>
      <c r="CU297" s="4"/>
      <c r="CV297" s="4"/>
    </row>
    <row r="298" spans="1:100"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c r="BS298" s="3"/>
      <c r="BT298" s="3"/>
      <c r="BU298" s="3"/>
      <c r="BV298" s="3"/>
      <c r="BW298" s="3"/>
      <c r="BX298" s="3"/>
      <c r="BY298" s="3"/>
      <c r="BZ298" s="3"/>
      <c r="CA298" s="3"/>
      <c r="CB298" s="3"/>
      <c r="CC298" s="3"/>
      <c r="CD298" s="3"/>
      <c r="CE298" s="3"/>
      <c r="CF298" s="3"/>
      <c r="CG298" s="3"/>
      <c r="CH298" s="3"/>
      <c r="CI298" s="3"/>
      <c r="CJ298" s="3"/>
      <c r="CK298" s="3"/>
      <c r="CL298" s="3"/>
      <c r="CM298" s="3"/>
      <c r="CN298" s="3"/>
      <c r="CO298" s="3"/>
      <c r="CP298" s="3"/>
      <c r="CQ298" s="4"/>
      <c r="CR298" s="4"/>
      <c r="CS298" s="4"/>
      <c r="CT298" s="4"/>
      <c r="CU298" s="4"/>
      <c r="CV298" s="4"/>
    </row>
    <row r="299" spans="1:100"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c r="BS299" s="3"/>
      <c r="BT299" s="3"/>
      <c r="BU299" s="3"/>
      <c r="BV299" s="3"/>
      <c r="BW299" s="3"/>
      <c r="BX299" s="3"/>
      <c r="BY299" s="3"/>
      <c r="BZ299" s="3"/>
      <c r="CA299" s="3"/>
      <c r="CB299" s="3"/>
      <c r="CC299" s="3"/>
      <c r="CD299" s="3"/>
      <c r="CE299" s="3"/>
      <c r="CF299" s="3"/>
      <c r="CG299" s="3"/>
      <c r="CH299" s="3"/>
      <c r="CI299" s="3"/>
      <c r="CJ299" s="3"/>
      <c r="CK299" s="3"/>
      <c r="CL299" s="3"/>
      <c r="CM299" s="3"/>
      <c r="CN299" s="3"/>
      <c r="CO299" s="3"/>
      <c r="CP299" s="3"/>
      <c r="CQ299" s="4"/>
      <c r="CR299" s="4"/>
      <c r="CS299" s="4"/>
      <c r="CT299" s="4"/>
      <c r="CU299" s="4"/>
      <c r="CV299" s="4"/>
    </row>
    <row r="300" spans="1:100"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c r="BS300" s="3"/>
      <c r="BT300" s="3"/>
      <c r="BU300" s="3"/>
      <c r="BV300" s="3"/>
      <c r="BW300" s="3"/>
      <c r="BX300" s="3"/>
      <c r="BY300" s="3"/>
      <c r="BZ300" s="3"/>
      <c r="CA300" s="3"/>
      <c r="CB300" s="3"/>
      <c r="CC300" s="3"/>
      <c r="CD300" s="3"/>
      <c r="CE300" s="3"/>
      <c r="CF300" s="3"/>
      <c r="CG300" s="3"/>
      <c r="CH300" s="3"/>
      <c r="CI300" s="3"/>
      <c r="CJ300" s="3"/>
      <c r="CK300" s="3"/>
      <c r="CL300" s="3"/>
      <c r="CM300" s="3"/>
      <c r="CN300" s="3"/>
      <c r="CO300" s="3"/>
      <c r="CP300" s="3"/>
      <c r="CQ300" s="4"/>
      <c r="CR300" s="4"/>
      <c r="CS300" s="4"/>
      <c r="CT300" s="4"/>
      <c r="CU300" s="4"/>
      <c r="CV300" s="4"/>
    </row>
    <row r="301" spans="1:100"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c r="BR301" s="3"/>
      <c r="BS301" s="3"/>
      <c r="BT301" s="3"/>
      <c r="BU301" s="3"/>
      <c r="BV301" s="3"/>
      <c r="BW301" s="3"/>
      <c r="BX301" s="3"/>
      <c r="BY301" s="3"/>
      <c r="BZ301" s="3"/>
      <c r="CA301" s="3"/>
      <c r="CB301" s="3"/>
      <c r="CC301" s="3"/>
      <c r="CD301" s="3"/>
      <c r="CE301" s="3"/>
      <c r="CF301" s="3"/>
      <c r="CG301" s="3"/>
      <c r="CH301" s="3"/>
      <c r="CI301" s="3"/>
      <c r="CJ301" s="3"/>
      <c r="CK301" s="3"/>
      <c r="CL301" s="3"/>
      <c r="CM301" s="3"/>
      <c r="CN301" s="3"/>
      <c r="CO301" s="3"/>
      <c r="CP301" s="3"/>
      <c r="CQ301" s="4"/>
      <c r="CR301" s="4"/>
      <c r="CS301" s="4"/>
      <c r="CT301" s="4"/>
      <c r="CU301" s="4"/>
      <c r="CV301" s="4"/>
    </row>
    <row r="302" spans="1:100"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c r="BR302" s="3"/>
      <c r="BS302" s="3"/>
      <c r="BT302" s="3"/>
      <c r="BU302" s="3"/>
      <c r="BV302" s="3"/>
      <c r="BW302" s="3"/>
      <c r="BX302" s="3"/>
      <c r="BY302" s="3"/>
      <c r="BZ302" s="3"/>
      <c r="CA302" s="3"/>
      <c r="CB302" s="3"/>
      <c r="CC302" s="3"/>
      <c r="CD302" s="3"/>
      <c r="CE302" s="3"/>
      <c r="CF302" s="3"/>
      <c r="CG302" s="3"/>
      <c r="CH302" s="3"/>
      <c r="CI302" s="3"/>
      <c r="CJ302" s="3"/>
      <c r="CK302" s="3"/>
      <c r="CL302" s="3"/>
      <c r="CM302" s="3"/>
      <c r="CN302" s="3"/>
      <c r="CO302" s="3"/>
      <c r="CP302" s="3"/>
      <c r="CQ302" s="4"/>
      <c r="CR302" s="4"/>
      <c r="CS302" s="4"/>
      <c r="CT302" s="4"/>
      <c r="CU302" s="4"/>
      <c r="CV302" s="4"/>
    </row>
    <row r="303" spans="1:100"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c r="BR303" s="3"/>
      <c r="BS303" s="3"/>
      <c r="BT303" s="3"/>
      <c r="BU303" s="3"/>
      <c r="BV303" s="3"/>
      <c r="BW303" s="3"/>
      <c r="BX303" s="3"/>
      <c r="BY303" s="3"/>
      <c r="BZ303" s="3"/>
      <c r="CA303" s="3"/>
      <c r="CB303" s="3"/>
      <c r="CC303" s="3"/>
      <c r="CD303" s="3"/>
      <c r="CE303" s="3"/>
      <c r="CF303" s="3"/>
      <c r="CG303" s="3"/>
      <c r="CH303" s="3"/>
      <c r="CI303" s="3"/>
      <c r="CJ303" s="3"/>
      <c r="CK303" s="3"/>
      <c r="CL303" s="3"/>
      <c r="CM303" s="3"/>
      <c r="CN303" s="3"/>
      <c r="CO303" s="3"/>
      <c r="CP303" s="3"/>
      <c r="CQ303" s="4"/>
      <c r="CR303" s="4"/>
      <c r="CS303" s="4"/>
      <c r="CT303" s="4"/>
      <c r="CU303" s="4"/>
      <c r="CV303" s="4"/>
    </row>
    <row r="304" spans="1:100"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c r="BS304" s="3"/>
      <c r="BT304" s="3"/>
      <c r="BU304" s="3"/>
      <c r="BV304" s="3"/>
      <c r="BW304" s="3"/>
      <c r="BX304" s="3"/>
      <c r="BY304" s="3"/>
      <c r="BZ304" s="3"/>
      <c r="CA304" s="3"/>
      <c r="CB304" s="3"/>
      <c r="CC304" s="3"/>
      <c r="CD304" s="3"/>
      <c r="CE304" s="3"/>
      <c r="CF304" s="3"/>
      <c r="CG304" s="3"/>
      <c r="CH304" s="3"/>
      <c r="CI304" s="3"/>
      <c r="CJ304" s="3"/>
      <c r="CK304" s="3"/>
      <c r="CL304" s="3"/>
      <c r="CM304" s="3"/>
      <c r="CN304" s="3"/>
      <c r="CO304" s="3"/>
      <c r="CP304" s="3"/>
      <c r="CQ304" s="4"/>
      <c r="CR304" s="4"/>
      <c r="CS304" s="4"/>
      <c r="CT304" s="4"/>
      <c r="CU304" s="4"/>
      <c r="CV304" s="4"/>
    </row>
    <row r="305" spans="1:100"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c r="BR305" s="3"/>
      <c r="BS305" s="3"/>
      <c r="BT305" s="3"/>
      <c r="BU305" s="3"/>
      <c r="BV305" s="3"/>
      <c r="BW305" s="3"/>
      <c r="BX305" s="3"/>
      <c r="BY305" s="3"/>
      <c r="BZ305" s="3"/>
      <c r="CA305" s="3"/>
      <c r="CB305" s="3"/>
      <c r="CC305" s="3"/>
      <c r="CD305" s="3"/>
      <c r="CE305" s="3"/>
      <c r="CF305" s="3"/>
      <c r="CG305" s="3"/>
      <c r="CH305" s="3"/>
      <c r="CI305" s="3"/>
      <c r="CJ305" s="3"/>
      <c r="CK305" s="3"/>
      <c r="CL305" s="3"/>
      <c r="CM305" s="3"/>
      <c r="CN305" s="3"/>
      <c r="CO305" s="3"/>
      <c r="CP305" s="3"/>
      <c r="CQ305" s="4"/>
      <c r="CR305" s="4"/>
      <c r="CS305" s="4"/>
      <c r="CT305" s="4"/>
      <c r="CU305" s="4"/>
      <c r="CV305" s="4"/>
    </row>
    <row r="306" spans="1:100"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c r="BR306" s="3"/>
      <c r="BS306" s="3"/>
      <c r="BT306" s="3"/>
      <c r="BU306" s="3"/>
      <c r="BV306" s="3"/>
      <c r="BW306" s="3"/>
      <c r="BX306" s="3"/>
      <c r="BY306" s="3"/>
      <c r="BZ306" s="3"/>
      <c r="CA306" s="3"/>
      <c r="CB306" s="3"/>
      <c r="CC306" s="3"/>
      <c r="CD306" s="3"/>
      <c r="CE306" s="3"/>
      <c r="CF306" s="3"/>
      <c r="CG306" s="3"/>
      <c r="CH306" s="3"/>
      <c r="CI306" s="3"/>
      <c r="CJ306" s="3"/>
      <c r="CK306" s="3"/>
      <c r="CL306" s="3"/>
      <c r="CM306" s="3"/>
      <c r="CN306" s="3"/>
      <c r="CO306" s="3"/>
      <c r="CP306" s="3"/>
      <c r="CQ306" s="4"/>
      <c r="CR306" s="4"/>
      <c r="CS306" s="4"/>
      <c r="CT306" s="4"/>
      <c r="CU306" s="4"/>
      <c r="CV306" s="4"/>
    </row>
    <row r="307" spans="1:100"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c r="BR307" s="3"/>
      <c r="BS307" s="3"/>
      <c r="BT307" s="3"/>
      <c r="BU307" s="3"/>
      <c r="BV307" s="3"/>
      <c r="BW307" s="3"/>
      <c r="BX307" s="3"/>
      <c r="BY307" s="3"/>
      <c r="BZ307" s="3"/>
      <c r="CA307" s="3"/>
      <c r="CB307" s="3"/>
      <c r="CC307" s="3"/>
      <c r="CD307" s="3"/>
      <c r="CE307" s="3"/>
      <c r="CF307" s="3"/>
      <c r="CG307" s="3"/>
      <c r="CH307" s="3"/>
      <c r="CI307" s="3"/>
      <c r="CJ307" s="3"/>
      <c r="CK307" s="3"/>
      <c r="CL307" s="3"/>
      <c r="CM307" s="3"/>
      <c r="CN307" s="3"/>
      <c r="CO307" s="3"/>
      <c r="CP307" s="3"/>
      <c r="CQ307" s="4"/>
      <c r="CR307" s="4"/>
      <c r="CS307" s="4"/>
      <c r="CT307" s="4"/>
      <c r="CU307" s="4"/>
      <c r="CV307" s="4"/>
    </row>
    <row r="308" spans="1:100"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c r="BS308" s="3"/>
      <c r="BT308" s="3"/>
      <c r="BU308" s="3"/>
      <c r="BV308" s="3"/>
      <c r="BW308" s="3"/>
      <c r="BX308" s="3"/>
      <c r="BY308" s="3"/>
      <c r="BZ308" s="3"/>
      <c r="CA308" s="3"/>
      <c r="CB308" s="3"/>
      <c r="CC308" s="3"/>
      <c r="CD308" s="3"/>
      <c r="CE308" s="3"/>
      <c r="CF308" s="3"/>
      <c r="CG308" s="3"/>
      <c r="CH308" s="3"/>
      <c r="CI308" s="3"/>
      <c r="CJ308" s="3"/>
      <c r="CK308" s="3"/>
      <c r="CL308" s="3"/>
      <c r="CM308" s="3"/>
      <c r="CN308" s="3"/>
      <c r="CO308" s="3"/>
      <c r="CP308" s="3"/>
      <c r="CQ308" s="4"/>
      <c r="CR308" s="4"/>
      <c r="CS308" s="4"/>
      <c r="CT308" s="4"/>
      <c r="CU308" s="4"/>
      <c r="CV308" s="4"/>
    </row>
    <row r="309" spans="1:100"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c r="BR309" s="3"/>
      <c r="BS309" s="3"/>
      <c r="BT309" s="3"/>
      <c r="BU309" s="3"/>
      <c r="BV309" s="3"/>
      <c r="BW309" s="3"/>
      <c r="BX309" s="3"/>
      <c r="BY309" s="3"/>
      <c r="BZ309" s="3"/>
      <c r="CA309" s="3"/>
      <c r="CB309" s="3"/>
      <c r="CC309" s="3"/>
      <c r="CD309" s="3"/>
      <c r="CE309" s="3"/>
      <c r="CF309" s="3"/>
      <c r="CG309" s="3"/>
      <c r="CH309" s="3"/>
      <c r="CI309" s="3"/>
      <c r="CJ309" s="3"/>
      <c r="CK309" s="3"/>
      <c r="CL309" s="3"/>
      <c r="CM309" s="3"/>
      <c r="CN309" s="3"/>
      <c r="CO309" s="3"/>
      <c r="CP309" s="3"/>
      <c r="CQ309" s="4"/>
      <c r="CR309" s="4"/>
      <c r="CS309" s="4"/>
      <c r="CT309" s="4"/>
      <c r="CU309" s="4"/>
      <c r="CV309" s="4"/>
    </row>
    <row r="310" spans="1:100"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c r="BR310" s="3"/>
      <c r="BS310" s="3"/>
      <c r="BT310" s="3"/>
      <c r="BU310" s="3"/>
      <c r="BV310" s="3"/>
      <c r="BW310" s="3"/>
      <c r="BX310" s="3"/>
      <c r="BY310" s="3"/>
      <c r="BZ310" s="3"/>
      <c r="CA310" s="3"/>
      <c r="CB310" s="3"/>
      <c r="CC310" s="3"/>
      <c r="CD310" s="3"/>
      <c r="CE310" s="3"/>
      <c r="CF310" s="3"/>
      <c r="CG310" s="3"/>
      <c r="CH310" s="3"/>
      <c r="CI310" s="3"/>
      <c r="CJ310" s="3"/>
      <c r="CK310" s="3"/>
      <c r="CL310" s="3"/>
      <c r="CM310" s="3"/>
      <c r="CN310" s="3"/>
      <c r="CO310" s="3"/>
      <c r="CP310" s="3"/>
      <c r="CQ310" s="4"/>
      <c r="CR310" s="4"/>
      <c r="CS310" s="4"/>
      <c r="CT310" s="4"/>
      <c r="CU310" s="4"/>
      <c r="CV310" s="4"/>
    </row>
    <row r="311" spans="1:100"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c r="BR311" s="3"/>
      <c r="BS311" s="3"/>
      <c r="BT311" s="3"/>
      <c r="BU311" s="3"/>
      <c r="BV311" s="3"/>
      <c r="BW311" s="3"/>
      <c r="BX311" s="3"/>
      <c r="BY311" s="3"/>
      <c r="BZ311" s="3"/>
      <c r="CA311" s="3"/>
      <c r="CB311" s="3"/>
      <c r="CC311" s="3"/>
      <c r="CD311" s="3"/>
      <c r="CE311" s="3"/>
      <c r="CF311" s="3"/>
      <c r="CG311" s="3"/>
      <c r="CH311" s="3"/>
      <c r="CI311" s="3"/>
      <c r="CJ311" s="3"/>
      <c r="CK311" s="3"/>
      <c r="CL311" s="3"/>
      <c r="CM311" s="3"/>
      <c r="CN311" s="3"/>
      <c r="CO311" s="3"/>
      <c r="CP311" s="3"/>
      <c r="CQ311" s="4"/>
      <c r="CR311" s="4"/>
      <c r="CS311" s="4"/>
      <c r="CT311" s="4"/>
      <c r="CU311" s="4"/>
      <c r="CV311" s="4"/>
    </row>
    <row r="312" spans="1:100"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c r="BS312" s="3"/>
      <c r="BT312" s="3"/>
      <c r="BU312" s="3"/>
      <c r="BV312" s="3"/>
      <c r="BW312" s="3"/>
      <c r="BX312" s="3"/>
      <c r="BY312" s="3"/>
      <c r="BZ312" s="3"/>
      <c r="CA312" s="3"/>
      <c r="CB312" s="3"/>
      <c r="CC312" s="3"/>
      <c r="CD312" s="3"/>
      <c r="CE312" s="3"/>
      <c r="CF312" s="3"/>
      <c r="CG312" s="3"/>
      <c r="CH312" s="3"/>
      <c r="CI312" s="3"/>
      <c r="CJ312" s="3"/>
      <c r="CK312" s="3"/>
      <c r="CL312" s="3"/>
      <c r="CM312" s="3"/>
      <c r="CN312" s="3"/>
      <c r="CO312" s="3"/>
      <c r="CP312" s="3"/>
      <c r="CQ312" s="4"/>
      <c r="CR312" s="4"/>
      <c r="CS312" s="4"/>
      <c r="CT312" s="4"/>
      <c r="CU312" s="4"/>
      <c r="CV312" s="4"/>
    </row>
    <row r="313" spans="1:100"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c r="BS313" s="3"/>
      <c r="BT313" s="3"/>
      <c r="BU313" s="3"/>
      <c r="BV313" s="3"/>
      <c r="BW313" s="3"/>
      <c r="BX313" s="3"/>
      <c r="BY313" s="3"/>
      <c r="BZ313" s="3"/>
      <c r="CA313" s="3"/>
      <c r="CB313" s="3"/>
      <c r="CC313" s="3"/>
      <c r="CD313" s="3"/>
      <c r="CE313" s="3"/>
      <c r="CF313" s="3"/>
      <c r="CG313" s="3"/>
      <c r="CH313" s="3"/>
      <c r="CI313" s="3"/>
      <c r="CJ313" s="3"/>
      <c r="CK313" s="3"/>
      <c r="CL313" s="3"/>
      <c r="CM313" s="3"/>
      <c r="CN313" s="3"/>
      <c r="CO313" s="3"/>
      <c r="CP313" s="3"/>
      <c r="CQ313" s="4"/>
      <c r="CR313" s="4"/>
      <c r="CS313" s="4"/>
      <c r="CT313" s="4"/>
      <c r="CU313" s="4"/>
      <c r="CV313" s="4"/>
    </row>
    <row r="314" spans="1:100"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c r="BR314" s="3"/>
      <c r="BS314" s="3"/>
      <c r="BT314" s="3"/>
      <c r="BU314" s="3"/>
      <c r="BV314" s="3"/>
      <c r="BW314" s="3"/>
      <c r="BX314" s="3"/>
      <c r="BY314" s="3"/>
      <c r="BZ314" s="3"/>
      <c r="CA314" s="3"/>
      <c r="CB314" s="3"/>
      <c r="CC314" s="3"/>
      <c r="CD314" s="3"/>
      <c r="CE314" s="3"/>
      <c r="CF314" s="3"/>
      <c r="CG314" s="3"/>
      <c r="CH314" s="3"/>
      <c r="CI314" s="3"/>
      <c r="CJ314" s="3"/>
      <c r="CK314" s="3"/>
      <c r="CL314" s="3"/>
      <c r="CM314" s="3"/>
      <c r="CN314" s="3"/>
      <c r="CO314" s="3"/>
      <c r="CP314" s="3"/>
      <c r="CQ314" s="4"/>
      <c r="CR314" s="4"/>
      <c r="CS314" s="4"/>
      <c r="CT314" s="4"/>
      <c r="CU314" s="4"/>
      <c r="CV314" s="4"/>
    </row>
    <row r="315" spans="1:100"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c r="BS315" s="3"/>
      <c r="BT315" s="3"/>
      <c r="BU315" s="3"/>
      <c r="BV315" s="3"/>
      <c r="BW315" s="3"/>
      <c r="BX315" s="3"/>
      <c r="BY315" s="3"/>
      <c r="BZ315" s="3"/>
      <c r="CA315" s="3"/>
      <c r="CB315" s="3"/>
      <c r="CC315" s="3"/>
      <c r="CD315" s="3"/>
      <c r="CE315" s="3"/>
      <c r="CF315" s="3"/>
      <c r="CG315" s="3"/>
      <c r="CH315" s="3"/>
      <c r="CI315" s="3"/>
      <c r="CJ315" s="3"/>
      <c r="CK315" s="3"/>
      <c r="CL315" s="3"/>
      <c r="CM315" s="3"/>
      <c r="CN315" s="3"/>
      <c r="CO315" s="3"/>
      <c r="CP315" s="3"/>
      <c r="CQ315" s="4"/>
      <c r="CR315" s="4"/>
      <c r="CS315" s="4"/>
      <c r="CT315" s="4"/>
      <c r="CU315" s="4"/>
      <c r="CV315" s="4"/>
    </row>
    <row r="316" spans="1:100"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c r="BS316" s="3"/>
      <c r="BT316" s="3"/>
      <c r="BU316" s="3"/>
      <c r="BV316" s="3"/>
      <c r="BW316" s="3"/>
      <c r="BX316" s="3"/>
      <c r="BY316" s="3"/>
      <c r="BZ316" s="3"/>
      <c r="CA316" s="3"/>
      <c r="CB316" s="3"/>
      <c r="CC316" s="3"/>
      <c r="CD316" s="3"/>
      <c r="CE316" s="3"/>
      <c r="CF316" s="3"/>
      <c r="CG316" s="3"/>
      <c r="CH316" s="3"/>
      <c r="CI316" s="3"/>
      <c r="CJ316" s="3"/>
      <c r="CK316" s="3"/>
      <c r="CL316" s="3"/>
      <c r="CM316" s="3"/>
      <c r="CN316" s="3"/>
      <c r="CO316" s="3"/>
      <c r="CP316" s="3"/>
      <c r="CQ316" s="4"/>
      <c r="CR316" s="4"/>
      <c r="CS316" s="4"/>
      <c r="CT316" s="4"/>
      <c r="CU316" s="4"/>
      <c r="CV316" s="4"/>
    </row>
    <row r="317" spans="1:100"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c r="BS317" s="3"/>
      <c r="BT317" s="3"/>
      <c r="BU317" s="3"/>
      <c r="BV317" s="3"/>
      <c r="BW317" s="3"/>
      <c r="BX317" s="3"/>
      <c r="BY317" s="3"/>
      <c r="BZ317" s="3"/>
      <c r="CA317" s="3"/>
      <c r="CB317" s="3"/>
      <c r="CC317" s="3"/>
      <c r="CD317" s="3"/>
      <c r="CE317" s="3"/>
      <c r="CF317" s="3"/>
      <c r="CG317" s="3"/>
      <c r="CH317" s="3"/>
      <c r="CI317" s="3"/>
      <c r="CJ317" s="3"/>
      <c r="CK317" s="3"/>
      <c r="CL317" s="3"/>
      <c r="CM317" s="3"/>
      <c r="CN317" s="3"/>
      <c r="CO317" s="3"/>
      <c r="CP317" s="3"/>
      <c r="CQ317" s="4"/>
      <c r="CR317" s="4"/>
      <c r="CS317" s="4"/>
      <c r="CT317" s="4"/>
      <c r="CU317" s="4"/>
      <c r="CV317" s="4"/>
    </row>
    <row r="318" spans="1:100"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c r="BS318" s="3"/>
      <c r="BT318" s="3"/>
      <c r="BU318" s="3"/>
      <c r="BV318" s="3"/>
      <c r="BW318" s="3"/>
      <c r="BX318" s="3"/>
      <c r="BY318" s="3"/>
      <c r="BZ318" s="3"/>
      <c r="CA318" s="3"/>
      <c r="CB318" s="3"/>
      <c r="CC318" s="3"/>
      <c r="CD318" s="3"/>
      <c r="CE318" s="3"/>
      <c r="CF318" s="3"/>
      <c r="CG318" s="3"/>
      <c r="CH318" s="3"/>
      <c r="CI318" s="3"/>
      <c r="CJ318" s="3"/>
      <c r="CK318" s="3"/>
      <c r="CL318" s="3"/>
      <c r="CM318" s="3"/>
      <c r="CN318" s="3"/>
      <c r="CO318" s="3"/>
      <c r="CP318" s="3"/>
      <c r="CQ318" s="4"/>
      <c r="CR318" s="4"/>
      <c r="CS318" s="4"/>
      <c r="CT318" s="4"/>
      <c r="CU318" s="4"/>
      <c r="CV318" s="4"/>
    </row>
    <row r="319" spans="1:100"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c r="BS319" s="3"/>
      <c r="BT319" s="3"/>
      <c r="BU319" s="3"/>
      <c r="BV319" s="3"/>
      <c r="BW319" s="3"/>
      <c r="BX319" s="3"/>
      <c r="BY319" s="3"/>
      <c r="BZ319" s="3"/>
      <c r="CA319" s="3"/>
      <c r="CB319" s="3"/>
      <c r="CC319" s="3"/>
      <c r="CD319" s="3"/>
      <c r="CE319" s="3"/>
      <c r="CF319" s="3"/>
      <c r="CG319" s="3"/>
      <c r="CH319" s="3"/>
      <c r="CI319" s="3"/>
      <c r="CJ319" s="3"/>
      <c r="CK319" s="3"/>
      <c r="CL319" s="3"/>
      <c r="CM319" s="3"/>
      <c r="CN319" s="3"/>
      <c r="CO319" s="3"/>
      <c r="CP319" s="3"/>
      <c r="CQ319" s="4"/>
      <c r="CR319" s="4"/>
      <c r="CS319" s="4"/>
      <c r="CT319" s="4"/>
      <c r="CU319" s="4"/>
      <c r="CV319" s="4"/>
    </row>
    <row r="320" spans="1:100"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c r="BS320" s="3"/>
      <c r="BT320" s="3"/>
      <c r="BU320" s="3"/>
      <c r="BV320" s="3"/>
      <c r="BW320" s="3"/>
      <c r="BX320" s="3"/>
      <c r="BY320" s="3"/>
      <c r="BZ320" s="3"/>
      <c r="CA320" s="3"/>
      <c r="CB320" s="3"/>
      <c r="CC320" s="3"/>
      <c r="CD320" s="3"/>
      <c r="CE320" s="3"/>
      <c r="CF320" s="3"/>
      <c r="CG320" s="3"/>
      <c r="CH320" s="3"/>
      <c r="CI320" s="3"/>
      <c r="CJ320" s="3"/>
      <c r="CK320" s="3"/>
      <c r="CL320" s="3"/>
      <c r="CM320" s="3"/>
      <c r="CN320" s="3"/>
      <c r="CO320" s="3"/>
      <c r="CP320" s="3"/>
      <c r="CQ320" s="4"/>
      <c r="CR320" s="4"/>
      <c r="CS320" s="4"/>
      <c r="CT320" s="4"/>
      <c r="CU320" s="4"/>
      <c r="CV320" s="4"/>
    </row>
    <row r="321" spans="1:100"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c r="BS321" s="3"/>
      <c r="BT321" s="3"/>
      <c r="BU321" s="3"/>
      <c r="BV321" s="3"/>
      <c r="BW321" s="3"/>
      <c r="BX321" s="3"/>
      <c r="BY321" s="3"/>
      <c r="BZ321" s="3"/>
      <c r="CA321" s="3"/>
      <c r="CB321" s="3"/>
      <c r="CC321" s="3"/>
      <c r="CD321" s="3"/>
      <c r="CE321" s="3"/>
      <c r="CF321" s="3"/>
      <c r="CG321" s="3"/>
      <c r="CH321" s="3"/>
      <c r="CI321" s="3"/>
      <c r="CJ321" s="3"/>
      <c r="CK321" s="3"/>
      <c r="CL321" s="3"/>
      <c r="CM321" s="3"/>
      <c r="CN321" s="3"/>
      <c r="CO321" s="3"/>
      <c r="CP321" s="3"/>
      <c r="CQ321" s="4"/>
      <c r="CR321" s="4"/>
      <c r="CS321" s="4"/>
      <c r="CT321" s="4"/>
      <c r="CU321" s="4"/>
      <c r="CV321" s="4"/>
    </row>
    <row r="322" spans="1:100"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c r="BS322" s="3"/>
      <c r="BT322" s="3"/>
      <c r="BU322" s="3"/>
      <c r="BV322" s="3"/>
      <c r="BW322" s="3"/>
      <c r="BX322" s="3"/>
      <c r="BY322" s="3"/>
      <c r="BZ322" s="3"/>
      <c r="CA322" s="3"/>
      <c r="CB322" s="3"/>
      <c r="CC322" s="3"/>
      <c r="CD322" s="3"/>
      <c r="CE322" s="3"/>
      <c r="CF322" s="3"/>
      <c r="CG322" s="3"/>
      <c r="CH322" s="3"/>
      <c r="CI322" s="3"/>
      <c r="CJ322" s="3"/>
      <c r="CK322" s="3"/>
      <c r="CL322" s="3"/>
      <c r="CM322" s="3"/>
      <c r="CN322" s="3"/>
      <c r="CO322" s="3"/>
      <c r="CP322" s="3"/>
      <c r="CQ322" s="4"/>
      <c r="CR322" s="4"/>
      <c r="CS322" s="4"/>
      <c r="CT322" s="4"/>
      <c r="CU322" s="4"/>
      <c r="CV322" s="4"/>
    </row>
    <row r="323" spans="1:100"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c r="BS323" s="3"/>
      <c r="BT323" s="3"/>
      <c r="BU323" s="3"/>
      <c r="BV323" s="3"/>
      <c r="BW323" s="3"/>
      <c r="BX323" s="3"/>
      <c r="BY323" s="3"/>
      <c r="BZ323" s="3"/>
      <c r="CA323" s="3"/>
      <c r="CB323" s="3"/>
      <c r="CC323" s="3"/>
      <c r="CD323" s="3"/>
      <c r="CE323" s="3"/>
      <c r="CF323" s="3"/>
      <c r="CG323" s="3"/>
      <c r="CH323" s="3"/>
      <c r="CI323" s="3"/>
      <c r="CJ323" s="3"/>
      <c r="CK323" s="3"/>
      <c r="CL323" s="3"/>
      <c r="CM323" s="3"/>
      <c r="CN323" s="3"/>
      <c r="CO323" s="3"/>
      <c r="CP323" s="3"/>
      <c r="CQ323" s="4"/>
      <c r="CR323" s="4"/>
      <c r="CS323" s="4"/>
      <c r="CT323" s="4"/>
      <c r="CU323" s="4"/>
      <c r="CV323" s="4"/>
    </row>
    <row r="324" spans="1:100"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c r="BS324" s="3"/>
      <c r="BT324" s="3"/>
      <c r="BU324" s="3"/>
      <c r="BV324" s="3"/>
      <c r="BW324" s="3"/>
      <c r="BX324" s="3"/>
      <c r="BY324" s="3"/>
      <c r="BZ324" s="3"/>
      <c r="CA324" s="3"/>
      <c r="CB324" s="3"/>
      <c r="CC324" s="3"/>
      <c r="CD324" s="3"/>
      <c r="CE324" s="3"/>
      <c r="CF324" s="3"/>
      <c r="CG324" s="3"/>
      <c r="CH324" s="3"/>
      <c r="CI324" s="3"/>
      <c r="CJ324" s="3"/>
      <c r="CK324" s="3"/>
      <c r="CL324" s="3"/>
      <c r="CM324" s="3"/>
      <c r="CN324" s="3"/>
      <c r="CO324" s="3"/>
      <c r="CP324" s="3"/>
      <c r="CQ324" s="4"/>
      <c r="CR324" s="4"/>
      <c r="CS324" s="4"/>
      <c r="CT324" s="4"/>
      <c r="CU324" s="4"/>
      <c r="CV324" s="4"/>
    </row>
    <row r="325" spans="1:100"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c r="BS325" s="3"/>
      <c r="BT325" s="3"/>
      <c r="BU325" s="3"/>
      <c r="BV325" s="3"/>
      <c r="BW325" s="3"/>
      <c r="BX325" s="3"/>
      <c r="BY325" s="3"/>
      <c r="BZ325" s="3"/>
      <c r="CA325" s="3"/>
      <c r="CB325" s="3"/>
      <c r="CC325" s="3"/>
      <c r="CD325" s="3"/>
      <c r="CE325" s="3"/>
      <c r="CF325" s="3"/>
      <c r="CG325" s="3"/>
      <c r="CH325" s="3"/>
      <c r="CI325" s="3"/>
      <c r="CJ325" s="3"/>
      <c r="CK325" s="3"/>
      <c r="CL325" s="3"/>
      <c r="CM325" s="3"/>
      <c r="CN325" s="3"/>
      <c r="CO325" s="3"/>
      <c r="CP325" s="3"/>
      <c r="CQ325" s="4"/>
      <c r="CR325" s="4"/>
      <c r="CS325" s="4"/>
      <c r="CT325" s="4"/>
      <c r="CU325" s="4"/>
      <c r="CV325" s="4"/>
    </row>
    <row r="326" spans="1:100"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c r="BR326" s="3"/>
      <c r="BS326" s="3"/>
      <c r="BT326" s="3"/>
      <c r="BU326" s="3"/>
      <c r="BV326" s="3"/>
      <c r="BW326" s="3"/>
      <c r="BX326" s="3"/>
      <c r="BY326" s="3"/>
      <c r="BZ326" s="3"/>
      <c r="CA326" s="3"/>
      <c r="CB326" s="3"/>
      <c r="CC326" s="3"/>
      <c r="CD326" s="3"/>
      <c r="CE326" s="3"/>
      <c r="CF326" s="3"/>
      <c r="CG326" s="3"/>
      <c r="CH326" s="3"/>
      <c r="CI326" s="3"/>
      <c r="CJ326" s="3"/>
      <c r="CK326" s="3"/>
      <c r="CL326" s="3"/>
      <c r="CM326" s="3"/>
      <c r="CN326" s="3"/>
      <c r="CO326" s="3"/>
      <c r="CP326" s="3"/>
      <c r="CQ326" s="4"/>
      <c r="CR326" s="4"/>
      <c r="CS326" s="4"/>
      <c r="CT326" s="4"/>
      <c r="CU326" s="4"/>
      <c r="CV326" s="4"/>
    </row>
    <row r="327" spans="1:100"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c r="BO327" s="3"/>
      <c r="BP327" s="3"/>
      <c r="BQ327" s="3"/>
      <c r="BR327" s="3"/>
      <c r="BS327" s="3"/>
      <c r="BT327" s="3"/>
      <c r="BU327" s="3"/>
      <c r="BV327" s="3"/>
      <c r="BW327" s="3"/>
      <c r="BX327" s="3"/>
      <c r="BY327" s="3"/>
      <c r="BZ327" s="3"/>
      <c r="CA327" s="3"/>
      <c r="CB327" s="3"/>
      <c r="CC327" s="3"/>
      <c r="CD327" s="3"/>
      <c r="CE327" s="3"/>
      <c r="CF327" s="3"/>
      <c r="CG327" s="3"/>
      <c r="CH327" s="3"/>
      <c r="CI327" s="3"/>
      <c r="CJ327" s="3"/>
      <c r="CK327" s="3"/>
      <c r="CL327" s="3"/>
      <c r="CM327" s="3"/>
      <c r="CN327" s="3"/>
      <c r="CO327" s="3"/>
      <c r="CP327" s="3"/>
      <c r="CQ327" s="4"/>
      <c r="CR327" s="4"/>
      <c r="CS327" s="4"/>
      <c r="CT327" s="4"/>
      <c r="CU327" s="4"/>
      <c r="CV327" s="4"/>
    </row>
    <row r="328" spans="1:100"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c r="BO328" s="3"/>
      <c r="BP328" s="3"/>
      <c r="BQ328" s="3"/>
      <c r="BR328" s="3"/>
      <c r="BS328" s="3"/>
      <c r="BT328" s="3"/>
      <c r="BU328" s="3"/>
      <c r="BV328" s="3"/>
      <c r="BW328" s="3"/>
      <c r="BX328" s="3"/>
      <c r="BY328" s="3"/>
      <c r="BZ328" s="3"/>
      <c r="CA328" s="3"/>
      <c r="CB328" s="3"/>
      <c r="CC328" s="3"/>
      <c r="CD328" s="3"/>
      <c r="CE328" s="3"/>
      <c r="CF328" s="3"/>
      <c r="CG328" s="3"/>
      <c r="CH328" s="3"/>
      <c r="CI328" s="3"/>
      <c r="CJ328" s="3"/>
      <c r="CK328" s="3"/>
      <c r="CL328" s="3"/>
      <c r="CM328" s="3"/>
      <c r="CN328" s="3"/>
      <c r="CO328" s="3"/>
      <c r="CP328" s="3"/>
      <c r="CQ328" s="4"/>
      <c r="CR328" s="4"/>
      <c r="CS328" s="4"/>
      <c r="CT328" s="4"/>
      <c r="CU328" s="4"/>
      <c r="CV328" s="4"/>
    </row>
    <row r="329" spans="1:100"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c r="BO329" s="3"/>
      <c r="BP329" s="3"/>
      <c r="BQ329" s="3"/>
      <c r="BR329" s="3"/>
      <c r="BS329" s="3"/>
      <c r="BT329" s="3"/>
      <c r="BU329" s="3"/>
      <c r="BV329" s="3"/>
      <c r="BW329" s="3"/>
      <c r="BX329" s="3"/>
      <c r="BY329" s="3"/>
      <c r="BZ329" s="3"/>
      <c r="CA329" s="3"/>
      <c r="CB329" s="3"/>
      <c r="CC329" s="3"/>
      <c r="CD329" s="3"/>
      <c r="CE329" s="3"/>
      <c r="CF329" s="3"/>
      <c r="CG329" s="3"/>
      <c r="CH329" s="3"/>
      <c r="CI329" s="3"/>
      <c r="CJ329" s="3"/>
      <c r="CK329" s="3"/>
      <c r="CL329" s="3"/>
      <c r="CM329" s="3"/>
      <c r="CN329" s="3"/>
      <c r="CO329" s="3"/>
      <c r="CP329" s="3"/>
      <c r="CQ329" s="4"/>
      <c r="CR329" s="4"/>
      <c r="CS329" s="4"/>
      <c r="CT329" s="4"/>
      <c r="CU329" s="4"/>
      <c r="CV329" s="4"/>
    </row>
    <row r="330" spans="1:100"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c r="BO330" s="3"/>
      <c r="BP330" s="3"/>
      <c r="BQ330" s="3"/>
      <c r="BR330" s="3"/>
      <c r="BS330" s="3"/>
      <c r="BT330" s="3"/>
      <c r="BU330" s="3"/>
      <c r="BV330" s="3"/>
      <c r="BW330" s="3"/>
      <c r="BX330" s="3"/>
      <c r="BY330" s="3"/>
      <c r="BZ330" s="3"/>
      <c r="CA330" s="3"/>
      <c r="CB330" s="3"/>
      <c r="CC330" s="3"/>
      <c r="CD330" s="3"/>
      <c r="CE330" s="3"/>
      <c r="CF330" s="3"/>
      <c r="CG330" s="3"/>
      <c r="CH330" s="3"/>
      <c r="CI330" s="3"/>
      <c r="CJ330" s="3"/>
      <c r="CK330" s="3"/>
      <c r="CL330" s="3"/>
      <c r="CM330" s="3"/>
      <c r="CN330" s="3"/>
      <c r="CO330" s="3"/>
      <c r="CP330" s="3"/>
      <c r="CQ330" s="4"/>
      <c r="CR330" s="4"/>
      <c r="CS330" s="4"/>
      <c r="CT330" s="4"/>
      <c r="CU330" s="4"/>
      <c r="CV330" s="4"/>
    </row>
    <row r="331" spans="1:100"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c r="BO331" s="3"/>
      <c r="BP331" s="3"/>
      <c r="BQ331" s="3"/>
      <c r="BR331" s="3"/>
      <c r="BS331" s="3"/>
      <c r="BT331" s="3"/>
      <c r="BU331" s="3"/>
      <c r="BV331" s="3"/>
      <c r="BW331" s="3"/>
      <c r="BX331" s="3"/>
      <c r="BY331" s="3"/>
      <c r="BZ331" s="3"/>
      <c r="CA331" s="3"/>
      <c r="CB331" s="3"/>
      <c r="CC331" s="3"/>
      <c r="CD331" s="3"/>
      <c r="CE331" s="3"/>
      <c r="CF331" s="3"/>
      <c r="CG331" s="3"/>
      <c r="CH331" s="3"/>
      <c r="CI331" s="3"/>
      <c r="CJ331" s="3"/>
      <c r="CK331" s="3"/>
      <c r="CL331" s="3"/>
      <c r="CM331" s="3"/>
      <c r="CN331" s="3"/>
      <c r="CO331" s="3"/>
      <c r="CP331" s="3"/>
      <c r="CQ331" s="4"/>
      <c r="CR331" s="4"/>
      <c r="CS331" s="4"/>
      <c r="CT331" s="4"/>
      <c r="CU331" s="4"/>
      <c r="CV331" s="4"/>
    </row>
    <row r="332" spans="1:100"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c r="BN332" s="3"/>
      <c r="BO332" s="3"/>
      <c r="BP332" s="3"/>
      <c r="BQ332" s="3"/>
      <c r="BR332" s="3"/>
      <c r="BS332" s="3"/>
      <c r="BT332" s="3"/>
      <c r="BU332" s="3"/>
      <c r="BV332" s="3"/>
      <c r="BW332" s="3"/>
      <c r="BX332" s="3"/>
      <c r="BY332" s="3"/>
      <c r="BZ332" s="3"/>
      <c r="CA332" s="3"/>
      <c r="CB332" s="3"/>
      <c r="CC332" s="3"/>
      <c r="CD332" s="3"/>
      <c r="CE332" s="3"/>
      <c r="CF332" s="3"/>
      <c r="CG332" s="3"/>
      <c r="CH332" s="3"/>
      <c r="CI332" s="3"/>
      <c r="CJ332" s="3"/>
      <c r="CK332" s="3"/>
      <c r="CL332" s="3"/>
      <c r="CM332" s="3"/>
      <c r="CN332" s="3"/>
      <c r="CO332" s="3"/>
      <c r="CP332" s="3"/>
      <c r="CQ332" s="4"/>
      <c r="CR332" s="4"/>
      <c r="CS332" s="4"/>
      <c r="CT332" s="4"/>
      <c r="CU332" s="4"/>
      <c r="CV332" s="4"/>
    </row>
    <row r="333" spans="1:100"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c r="BO333" s="3"/>
      <c r="BP333" s="3"/>
      <c r="BQ333" s="3"/>
      <c r="BR333" s="3"/>
      <c r="BS333" s="3"/>
      <c r="BT333" s="3"/>
      <c r="BU333" s="3"/>
      <c r="BV333" s="3"/>
      <c r="BW333" s="3"/>
      <c r="BX333" s="3"/>
      <c r="BY333" s="3"/>
      <c r="BZ333" s="3"/>
      <c r="CA333" s="3"/>
      <c r="CB333" s="3"/>
      <c r="CC333" s="3"/>
      <c r="CD333" s="3"/>
      <c r="CE333" s="3"/>
      <c r="CF333" s="3"/>
      <c r="CG333" s="3"/>
      <c r="CH333" s="3"/>
      <c r="CI333" s="3"/>
      <c r="CJ333" s="3"/>
      <c r="CK333" s="3"/>
      <c r="CL333" s="3"/>
      <c r="CM333" s="3"/>
      <c r="CN333" s="3"/>
      <c r="CO333" s="3"/>
      <c r="CP333" s="3"/>
      <c r="CQ333" s="4"/>
      <c r="CR333" s="4"/>
      <c r="CS333" s="4"/>
      <c r="CT333" s="4"/>
      <c r="CU333" s="4"/>
      <c r="CV333" s="4"/>
    </row>
    <row r="334" spans="1:100"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c r="BO334" s="3"/>
      <c r="BP334" s="3"/>
      <c r="BQ334" s="3"/>
      <c r="BR334" s="3"/>
      <c r="BS334" s="3"/>
      <c r="BT334" s="3"/>
      <c r="BU334" s="3"/>
      <c r="BV334" s="3"/>
      <c r="BW334" s="3"/>
      <c r="BX334" s="3"/>
      <c r="BY334" s="3"/>
      <c r="BZ334" s="3"/>
      <c r="CA334" s="3"/>
      <c r="CB334" s="3"/>
      <c r="CC334" s="3"/>
      <c r="CD334" s="3"/>
      <c r="CE334" s="3"/>
      <c r="CF334" s="3"/>
      <c r="CG334" s="3"/>
      <c r="CH334" s="3"/>
      <c r="CI334" s="3"/>
      <c r="CJ334" s="3"/>
      <c r="CK334" s="3"/>
      <c r="CL334" s="3"/>
      <c r="CM334" s="3"/>
      <c r="CN334" s="3"/>
      <c r="CO334" s="3"/>
      <c r="CP334" s="3"/>
      <c r="CQ334" s="4"/>
      <c r="CR334" s="4"/>
      <c r="CS334" s="4"/>
      <c r="CT334" s="4"/>
      <c r="CU334" s="4"/>
      <c r="CV334" s="4"/>
    </row>
    <row r="335" spans="1:100"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c r="BN335" s="3"/>
      <c r="BO335" s="3"/>
      <c r="BP335" s="3"/>
      <c r="BQ335" s="3"/>
      <c r="BR335" s="3"/>
      <c r="BS335" s="3"/>
      <c r="BT335" s="3"/>
      <c r="BU335" s="3"/>
      <c r="BV335" s="3"/>
      <c r="BW335" s="3"/>
      <c r="BX335" s="3"/>
      <c r="BY335" s="3"/>
      <c r="BZ335" s="3"/>
      <c r="CA335" s="3"/>
      <c r="CB335" s="3"/>
      <c r="CC335" s="3"/>
      <c r="CD335" s="3"/>
      <c r="CE335" s="3"/>
      <c r="CF335" s="3"/>
      <c r="CG335" s="3"/>
      <c r="CH335" s="3"/>
      <c r="CI335" s="3"/>
      <c r="CJ335" s="3"/>
      <c r="CK335" s="3"/>
      <c r="CL335" s="3"/>
      <c r="CM335" s="3"/>
      <c r="CN335" s="3"/>
      <c r="CO335" s="3"/>
      <c r="CP335" s="3"/>
      <c r="CQ335" s="4"/>
      <c r="CR335" s="4"/>
      <c r="CS335" s="4"/>
      <c r="CT335" s="4"/>
      <c r="CU335" s="4"/>
      <c r="CV335" s="4"/>
    </row>
    <row r="336" spans="1:100"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c r="BN336" s="3"/>
      <c r="BO336" s="3"/>
      <c r="BP336" s="3"/>
      <c r="BQ336" s="3"/>
      <c r="BR336" s="3"/>
      <c r="BS336" s="3"/>
      <c r="BT336" s="3"/>
      <c r="BU336" s="3"/>
      <c r="BV336" s="3"/>
      <c r="BW336" s="3"/>
      <c r="BX336" s="3"/>
      <c r="BY336" s="3"/>
      <c r="BZ336" s="3"/>
      <c r="CA336" s="3"/>
      <c r="CB336" s="3"/>
      <c r="CC336" s="3"/>
      <c r="CD336" s="3"/>
      <c r="CE336" s="3"/>
      <c r="CF336" s="3"/>
      <c r="CG336" s="3"/>
      <c r="CH336" s="3"/>
      <c r="CI336" s="3"/>
      <c r="CJ336" s="3"/>
      <c r="CK336" s="3"/>
      <c r="CL336" s="3"/>
      <c r="CM336" s="3"/>
      <c r="CN336" s="3"/>
      <c r="CO336" s="3"/>
      <c r="CP336" s="3"/>
      <c r="CQ336" s="4"/>
      <c r="CR336" s="4"/>
      <c r="CS336" s="4"/>
      <c r="CT336" s="4"/>
      <c r="CU336" s="4"/>
      <c r="CV336" s="4"/>
    </row>
    <row r="337" spans="1:100"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c r="BO337" s="3"/>
      <c r="BP337" s="3"/>
      <c r="BQ337" s="3"/>
      <c r="BR337" s="3"/>
      <c r="BS337" s="3"/>
      <c r="BT337" s="3"/>
      <c r="BU337" s="3"/>
      <c r="BV337" s="3"/>
      <c r="BW337" s="3"/>
      <c r="BX337" s="3"/>
      <c r="BY337" s="3"/>
      <c r="BZ337" s="3"/>
      <c r="CA337" s="3"/>
      <c r="CB337" s="3"/>
      <c r="CC337" s="3"/>
      <c r="CD337" s="3"/>
      <c r="CE337" s="3"/>
      <c r="CF337" s="3"/>
      <c r="CG337" s="3"/>
      <c r="CH337" s="3"/>
      <c r="CI337" s="3"/>
      <c r="CJ337" s="3"/>
      <c r="CK337" s="3"/>
      <c r="CL337" s="3"/>
      <c r="CM337" s="3"/>
      <c r="CN337" s="3"/>
      <c r="CO337" s="3"/>
      <c r="CP337" s="3"/>
      <c r="CQ337" s="4"/>
      <c r="CR337" s="4"/>
      <c r="CS337" s="4"/>
      <c r="CT337" s="4"/>
      <c r="CU337" s="4"/>
      <c r="CV337" s="4"/>
    </row>
    <row r="338" spans="1:100"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c r="BN338" s="3"/>
      <c r="BO338" s="3"/>
      <c r="BP338" s="3"/>
      <c r="BQ338" s="3"/>
      <c r="BR338" s="3"/>
      <c r="BS338" s="3"/>
      <c r="BT338" s="3"/>
      <c r="BU338" s="3"/>
      <c r="BV338" s="3"/>
      <c r="BW338" s="3"/>
      <c r="BX338" s="3"/>
      <c r="BY338" s="3"/>
      <c r="BZ338" s="3"/>
      <c r="CA338" s="3"/>
      <c r="CB338" s="3"/>
      <c r="CC338" s="3"/>
      <c r="CD338" s="3"/>
      <c r="CE338" s="3"/>
      <c r="CF338" s="3"/>
      <c r="CG338" s="3"/>
      <c r="CH338" s="3"/>
      <c r="CI338" s="3"/>
      <c r="CJ338" s="3"/>
      <c r="CK338" s="3"/>
      <c r="CL338" s="3"/>
      <c r="CM338" s="3"/>
      <c r="CN338" s="3"/>
      <c r="CO338" s="3"/>
      <c r="CP338" s="3"/>
      <c r="CQ338" s="4"/>
      <c r="CR338" s="4"/>
      <c r="CS338" s="4"/>
      <c r="CT338" s="4"/>
      <c r="CU338" s="4"/>
      <c r="CV338" s="4"/>
    </row>
    <row r="339" spans="1:100"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c r="BN339" s="3"/>
      <c r="BO339" s="3"/>
      <c r="BP339" s="3"/>
      <c r="BQ339" s="3"/>
      <c r="BR339" s="3"/>
      <c r="BS339" s="3"/>
      <c r="BT339" s="3"/>
      <c r="BU339" s="3"/>
      <c r="BV339" s="3"/>
      <c r="BW339" s="3"/>
      <c r="BX339" s="3"/>
      <c r="BY339" s="3"/>
      <c r="BZ339" s="3"/>
      <c r="CA339" s="3"/>
      <c r="CB339" s="3"/>
      <c r="CC339" s="3"/>
      <c r="CD339" s="3"/>
      <c r="CE339" s="3"/>
      <c r="CF339" s="3"/>
      <c r="CG339" s="3"/>
      <c r="CH339" s="3"/>
      <c r="CI339" s="3"/>
      <c r="CJ339" s="3"/>
      <c r="CK339" s="3"/>
      <c r="CL339" s="3"/>
      <c r="CM339" s="3"/>
      <c r="CN339" s="3"/>
      <c r="CO339" s="3"/>
      <c r="CP339" s="3"/>
      <c r="CQ339" s="4"/>
      <c r="CR339" s="4"/>
      <c r="CS339" s="4"/>
      <c r="CT339" s="4"/>
      <c r="CU339" s="4"/>
      <c r="CV339" s="4"/>
    </row>
    <row r="340" spans="1:100"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c r="BN340" s="3"/>
      <c r="BO340" s="3"/>
      <c r="BP340" s="3"/>
      <c r="BQ340" s="3"/>
      <c r="BR340" s="3"/>
      <c r="BS340" s="3"/>
      <c r="BT340" s="3"/>
      <c r="BU340" s="3"/>
      <c r="BV340" s="3"/>
      <c r="BW340" s="3"/>
      <c r="BX340" s="3"/>
      <c r="BY340" s="3"/>
      <c r="BZ340" s="3"/>
      <c r="CA340" s="3"/>
      <c r="CB340" s="3"/>
      <c r="CC340" s="3"/>
      <c r="CD340" s="3"/>
      <c r="CE340" s="3"/>
      <c r="CF340" s="3"/>
      <c r="CG340" s="3"/>
      <c r="CH340" s="3"/>
      <c r="CI340" s="3"/>
      <c r="CJ340" s="3"/>
      <c r="CK340" s="3"/>
      <c r="CL340" s="3"/>
      <c r="CM340" s="3"/>
      <c r="CN340" s="3"/>
      <c r="CO340" s="3"/>
      <c r="CP340" s="3"/>
      <c r="CQ340" s="4"/>
      <c r="CR340" s="4"/>
      <c r="CS340" s="4"/>
      <c r="CT340" s="4"/>
      <c r="CU340" s="4"/>
      <c r="CV340" s="4"/>
    </row>
    <row r="341" spans="1:100"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c r="BO341" s="3"/>
      <c r="BP341" s="3"/>
      <c r="BQ341" s="3"/>
      <c r="BR341" s="3"/>
      <c r="BS341" s="3"/>
      <c r="BT341" s="3"/>
      <c r="BU341" s="3"/>
      <c r="BV341" s="3"/>
      <c r="BW341" s="3"/>
      <c r="BX341" s="3"/>
      <c r="BY341" s="3"/>
      <c r="BZ341" s="3"/>
      <c r="CA341" s="3"/>
      <c r="CB341" s="3"/>
      <c r="CC341" s="3"/>
      <c r="CD341" s="3"/>
      <c r="CE341" s="3"/>
      <c r="CF341" s="3"/>
      <c r="CG341" s="3"/>
      <c r="CH341" s="3"/>
      <c r="CI341" s="3"/>
      <c r="CJ341" s="3"/>
      <c r="CK341" s="3"/>
      <c r="CL341" s="3"/>
      <c r="CM341" s="3"/>
      <c r="CN341" s="3"/>
      <c r="CO341" s="3"/>
      <c r="CP341" s="3"/>
      <c r="CQ341" s="4"/>
      <c r="CR341" s="4"/>
      <c r="CS341" s="4"/>
      <c r="CT341" s="4"/>
      <c r="CU341" s="4"/>
      <c r="CV341" s="4"/>
    </row>
    <row r="342" spans="1:100"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c r="BO342" s="3"/>
      <c r="BP342" s="3"/>
      <c r="BQ342" s="3"/>
      <c r="BR342" s="3"/>
      <c r="BS342" s="3"/>
      <c r="BT342" s="3"/>
      <c r="BU342" s="3"/>
      <c r="BV342" s="3"/>
      <c r="BW342" s="3"/>
      <c r="BX342" s="3"/>
      <c r="BY342" s="3"/>
      <c r="BZ342" s="3"/>
      <c r="CA342" s="3"/>
      <c r="CB342" s="3"/>
      <c r="CC342" s="3"/>
      <c r="CD342" s="3"/>
      <c r="CE342" s="3"/>
      <c r="CF342" s="3"/>
      <c r="CG342" s="3"/>
      <c r="CH342" s="3"/>
      <c r="CI342" s="3"/>
      <c r="CJ342" s="3"/>
      <c r="CK342" s="3"/>
      <c r="CL342" s="3"/>
      <c r="CM342" s="3"/>
      <c r="CN342" s="3"/>
      <c r="CO342" s="3"/>
      <c r="CP342" s="3"/>
      <c r="CQ342" s="4"/>
      <c r="CR342" s="4"/>
      <c r="CS342" s="4"/>
      <c r="CT342" s="4"/>
      <c r="CU342" s="4"/>
      <c r="CV342" s="4"/>
    </row>
    <row r="343" spans="1:100"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c r="BN343" s="3"/>
      <c r="BO343" s="3"/>
      <c r="BP343" s="3"/>
      <c r="BQ343" s="3"/>
      <c r="BR343" s="3"/>
      <c r="BS343" s="3"/>
      <c r="BT343" s="3"/>
      <c r="BU343" s="3"/>
      <c r="BV343" s="3"/>
      <c r="BW343" s="3"/>
      <c r="BX343" s="3"/>
      <c r="BY343" s="3"/>
      <c r="BZ343" s="3"/>
      <c r="CA343" s="3"/>
      <c r="CB343" s="3"/>
      <c r="CC343" s="3"/>
      <c r="CD343" s="3"/>
      <c r="CE343" s="3"/>
      <c r="CF343" s="3"/>
      <c r="CG343" s="3"/>
      <c r="CH343" s="3"/>
      <c r="CI343" s="3"/>
      <c r="CJ343" s="3"/>
      <c r="CK343" s="3"/>
      <c r="CL343" s="3"/>
      <c r="CM343" s="3"/>
      <c r="CN343" s="3"/>
      <c r="CO343" s="3"/>
      <c r="CP343" s="3"/>
      <c r="CQ343" s="4"/>
      <c r="CR343" s="4"/>
      <c r="CS343" s="4"/>
      <c r="CT343" s="4"/>
      <c r="CU343" s="4"/>
      <c r="CV343" s="4"/>
    </row>
    <row r="344" spans="1:100"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c r="BN344" s="3"/>
      <c r="BO344" s="3"/>
      <c r="BP344" s="3"/>
      <c r="BQ344" s="3"/>
      <c r="BR344" s="3"/>
      <c r="BS344" s="3"/>
      <c r="BT344" s="3"/>
      <c r="BU344" s="3"/>
      <c r="BV344" s="3"/>
      <c r="BW344" s="3"/>
      <c r="BX344" s="3"/>
      <c r="BY344" s="3"/>
      <c r="BZ344" s="3"/>
      <c r="CA344" s="3"/>
      <c r="CB344" s="3"/>
      <c r="CC344" s="3"/>
      <c r="CD344" s="3"/>
      <c r="CE344" s="3"/>
      <c r="CF344" s="3"/>
      <c r="CG344" s="3"/>
      <c r="CH344" s="3"/>
      <c r="CI344" s="3"/>
      <c r="CJ344" s="3"/>
      <c r="CK344" s="3"/>
      <c r="CL344" s="3"/>
      <c r="CM344" s="3"/>
      <c r="CN344" s="3"/>
      <c r="CO344" s="3"/>
      <c r="CP344" s="3"/>
      <c r="CQ344" s="4"/>
      <c r="CR344" s="4"/>
      <c r="CS344" s="4"/>
      <c r="CT344" s="4"/>
      <c r="CU344" s="4"/>
      <c r="CV344" s="4"/>
    </row>
    <row r="345" spans="1:100"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c r="BN345" s="3"/>
      <c r="BO345" s="3"/>
      <c r="BP345" s="3"/>
      <c r="BQ345" s="3"/>
      <c r="BR345" s="3"/>
      <c r="BS345" s="3"/>
      <c r="BT345" s="3"/>
      <c r="BU345" s="3"/>
      <c r="BV345" s="3"/>
      <c r="BW345" s="3"/>
      <c r="BX345" s="3"/>
      <c r="BY345" s="3"/>
      <c r="BZ345" s="3"/>
      <c r="CA345" s="3"/>
      <c r="CB345" s="3"/>
      <c r="CC345" s="3"/>
      <c r="CD345" s="3"/>
      <c r="CE345" s="3"/>
      <c r="CF345" s="3"/>
      <c r="CG345" s="3"/>
      <c r="CH345" s="3"/>
      <c r="CI345" s="3"/>
      <c r="CJ345" s="3"/>
      <c r="CK345" s="3"/>
      <c r="CL345" s="3"/>
      <c r="CM345" s="3"/>
      <c r="CN345" s="3"/>
      <c r="CO345" s="3"/>
      <c r="CP345" s="3"/>
      <c r="CQ345" s="4"/>
      <c r="CR345" s="4"/>
      <c r="CS345" s="4"/>
      <c r="CT345" s="4"/>
      <c r="CU345" s="4"/>
      <c r="CV345" s="4"/>
    </row>
    <row r="346" spans="1:100"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c r="BO346" s="3"/>
      <c r="BP346" s="3"/>
      <c r="BQ346" s="3"/>
      <c r="BR346" s="3"/>
      <c r="BS346" s="3"/>
      <c r="BT346" s="3"/>
      <c r="BU346" s="3"/>
      <c r="BV346" s="3"/>
      <c r="BW346" s="3"/>
      <c r="BX346" s="3"/>
      <c r="BY346" s="3"/>
      <c r="BZ346" s="3"/>
      <c r="CA346" s="3"/>
      <c r="CB346" s="3"/>
      <c r="CC346" s="3"/>
      <c r="CD346" s="3"/>
      <c r="CE346" s="3"/>
      <c r="CF346" s="3"/>
      <c r="CG346" s="3"/>
      <c r="CH346" s="3"/>
      <c r="CI346" s="3"/>
      <c r="CJ346" s="3"/>
      <c r="CK346" s="3"/>
      <c r="CL346" s="3"/>
      <c r="CM346" s="3"/>
      <c r="CN346" s="3"/>
      <c r="CO346" s="3"/>
      <c r="CP346" s="3"/>
      <c r="CQ346" s="4"/>
      <c r="CR346" s="4"/>
      <c r="CS346" s="4"/>
      <c r="CT346" s="4"/>
      <c r="CU346" s="4"/>
      <c r="CV346" s="4"/>
    </row>
    <row r="347" spans="1:100"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c r="BO347" s="3"/>
      <c r="BP347" s="3"/>
      <c r="BQ347" s="3"/>
      <c r="BR347" s="3"/>
      <c r="BS347" s="3"/>
      <c r="BT347" s="3"/>
      <c r="BU347" s="3"/>
      <c r="BV347" s="3"/>
      <c r="BW347" s="3"/>
      <c r="BX347" s="3"/>
      <c r="BY347" s="3"/>
      <c r="BZ347" s="3"/>
      <c r="CA347" s="3"/>
      <c r="CB347" s="3"/>
      <c r="CC347" s="3"/>
      <c r="CD347" s="3"/>
      <c r="CE347" s="3"/>
      <c r="CF347" s="3"/>
      <c r="CG347" s="3"/>
      <c r="CH347" s="3"/>
      <c r="CI347" s="3"/>
      <c r="CJ347" s="3"/>
      <c r="CK347" s="3"/>
      <c r="CL347" s="3"/>
      <c r="CM347" s="3"/>
      <c r="CN347" s="3"/>
      <c r="CO347" s="3"/>
      <c r="CP347" s="3"/>
      <c r="CQ347" s="4"/>
      <c r="CR347" s="4"/>
      <c r="CS347" s="4"/>
      <c r="CT347" s="4"/>
      <c r="CU347" s="4"/>
      <c r="CV347" s="4"/>
    </row>
    <row r="348" spans="1:100"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c r="BN348" s="3"/>
      <c r="BO348" s="3"/>
      <c r="BP348" s="3"/>
      <c r="BQ348" s="3"/>
      <c r="BR348" s="3"/>
      <c r="BS348" s="3"/>
      <c r="BT348" s="3"/>
      <c r="BU348" s="3"/>
      <c r="BV348" s="3"/>
      <c r="BW348" s="3"/>
      <c r="BX348" s="3"/>
      <c r="BY348" s="3"/>
      <c r="BZ348" s="3"/>
      <c r="CA348" s="3"/>
      <c r="CB348" s="3"/>
      <c r="CC348" s="3"/>
      <c r="CD348" s="3"/>
      <c r="CE348" s="3"/>
      <c r="CF348" s="3"/>
      <c r="CG348" s="3"/>
      <c r="CH348" s="3"/>
      <c r="CI348" s="3"/>
      <c r="CJ348" s="3"/>
      <c r="CK348" s="3"/>
      <c r="CL348" s="3"/>
      <c r="CM348" s="3"/>
      <c r="CN348" s="3"/>
      <c r="CO348" s="3"/>
      <c r="CP348" s="3"/>
      <c r="CQ348" s="4"/>
      <c r="CR348" s="4"/>
      <c r="CS348" s="4"/>
      <c r="CT348" s="4"/>
      <c r="CU348" s="4"/>
      <c r="CV348" s="4"/>
    </row>
    <row r="349" spans="1:100"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c r="BO349" s="3"/>
      <c r="BP349" s="3"/>
      <c r="BQ349" s="3"/>
      <c r="BR349" s="3"/>
      <c r="BS349" s="3"/>
      <c r="BT349" s="3"/>
      <c r="BU349" s="3"/>
      <c r="BV349" s="3"/>
      <c r="BW349" s="3"/>
      <c r="BX349" s="3"/>
      <c r="BY349" s="3"/>
      <c r="BZ349" s="3"/>
      <c r="CA349" s="3"/>
      <c r="CB349" s="3"/>
      <c r="CC349" s="3"/>
      <c r="CD349" s="3"/>
      <c r="CE349" s="3"/>
      <c r="CF349" s="3"/>
      <c r="CG349" s="3"/>
      <c r="CH349" s="3"/>
      <c r="CI349" s="3"/>
      <c r="CJ349" s="3"/>
      <c r="CK349" s="3"/>
      <c r="CL349" s="3"/>
      <c r="CM349" s="3"/>
      <c r="CN349" s="3"/>
      <c r="CO349" s="3"/>
      <c r="CP349" s="3"/>
      <c r="CQ349" s="4"/>
      <c r="CR349" s="4"/>
      <c r="CS349" s="4"/>
      <c r="CT349" s="4"/>
      <c r="CU349" s="4"/>
      <c r="CV349" s="4"/>
    </row>
    <row r="350" spans="1:100"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c r="BN350" s="3"/>
      <c r="BO350" s="3"/>
      <c r="BP350" s="3"/>
      <c r="BQ350" s="3"/>
      <c r="BR350" s="3"/>
      <c r="BS350" s="3"/>
      <c r="BT350" s="3"/>
      <c r="BU350" s="3"/>
      <c r="BV350" s="3"/>
      <c r="BW350" s="3"/>
      <c r="BX350" s="3"/>
      <c r="BY350" s="3"/>
      <c r="BZ350" s="3"/>
      <c r="CA350" s="3"/>
      <c r="CB350" s="3"/>
      <c r="CC350" s="3"/>
      <c r="CD350" s="3"/>
      <c r="CE350" s="3"/>
      <c r="CF350" s="3"/>
      <c r="CG350" s="3"/>
      <c r="CH350" s="3"/>
      <c r="CI350" s="3"/>
      <c r="CJ350" s="3"/>
      <c r="CK350" s="3"/>
      <c r="CL350" s="3"/>
      <c r="CM350" s="3"/>
      <c r="CN350" s="3"/>
      <c r="CO350" s="3"/>
      <c r="CP350" s="3"/>
      <c r="CQ350" s="4"/>
      <c r="CR350" s="4"/>
      <c r="CS350" s="4"/>
      <c r="CT350" s="4"/>
      <c r="CU350" s="4"/>
      <c r="CV350" s="4"/>
    </row>
    <row r="351" spans="1:100"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c r="BN351" s="3"/>
      <c r="BO351" s="3"/>
      <c r="BP351" s="3"/>
      <c r="BQ351" s="3"/>
      <c r="BR351" s="3"/>
      <c r="BS351" s="3"/>
      <c r="BT351" s="3"/>
      <c r="BU351" s="3"/>
      <c r="BV351" s="3"/>
      <c r="BW351" s="3"/>
      <c r="BX351" s="3"/>
      <c r="BY351" s="3"/>
      <c r="BZ351" s="3"/>
      <c r="CA351" s="3"/>
      <c r="CB351" s="3"/>
      <c r="CC351" s="3"/>
      <c r="CD351" s="3"/>
      <c r="CE351" s="3"/>
      <c r="CF351" s="3"/>
      <c r="CG351" s="3"/>
      <c r="CH351" s="3"/>
      <c r="CI351" s="3"/>
      <c r="CJ351" s="3"/>
      <c r="CK351" s="3"/>
      <c r="CL351" s="3"/>
      <c r="CM351" s="3"/>
      <c r="CN351" s="3"/>
      <c r="CO351" s="3"/>
      <c r="CP351" s="3"/>
      <c r="CQ351" s="4"/>
      <c r="CR351" s="4"/>
      <c r="CS351" s="4"/>
      <c r="CT351" s="4"/>
      <c r="CU351" s="4"/>
      <c r="CV351" s="4"/>
    </row>
    <row r="352" spans="1:100"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c r="BN352" s="3"/>
      <c r="BO352" s="3"/>
      <c r="BP352" s="3"/>
      <c r="BQ352" s="3"/>
      <c r="BR352" s="3"/>
      <c r="BS352" s="3"/>
      <c r="BT352" s="3"/>
      <c r="BU352" s="3"/>
      <c r="BV352" s="3"/>
      <c r="BW352" s="3"/>
      <c r="BX352" s="3"/>
      <c r="BY352" s="3"/>
      <c r="BZ352" s="3"/>
      <c r="CA352" s="3"/>
      <c r="CB352" s="3"/>
      <c r="CC352" s="3"/>
      <c r="CD352" s="3"/>
      <c r="CE352" s="3"/>
      <c r="CF352" s="3"/>
      <c r="CG352" s="3"/>
      <c r="CH352" s="3"/>
      <c r="CI352" s="3"/>
      <c r="CJ352" s="3"/>
      <c r="CK352" s="3"/>
      <c r="CL352" s="3"/>
      <c r="CM352" s="3"/>
      <c r="CN352" s="3"/>
      <c r="CO352" s="3"/>
      <c r="CP352" s="3"/>
      <c r="CQ352" s="4"/>
      <c r="CR352" s="4"/>
      <c r="CS352" s="4"/>
      <c r="CT352" s="4"/>
      <c r="CU352" s="4"/>
      <c r="CV352" s="4"/>
    </row>
    <row r="353" spans="1:100"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c r="BO353" s="3"/>
      <c r="BP353" s="3"/>
      <c r="BQ353" s="3"/>
      <c r="BR353" s="3"/>
      <c r="BS353" s="3"/>
      <c r="BT353" s="3"/>
      <c r="BU353" s="3"/>
      <c r="BV353" s="3"/>
      <c r="BW353" s="3"/>
      <c r="BX353" s="3"/>
      <c r="BY353" s="3"/>
      <c r="BZ353" s="3"/>
      <c r="CA353" s="3"/>
      <c r="CB353" s="3"/>
      <c r="CC353" s="3"/>
      <c r="CD353" s="3"/>
      <c r="CE353" s="3"/>
      <c r="CF353" s="3"/>
      <c r="CG353" s="3"/>
      <c r="CH353" s="3"/>
      <c r="CI353" s="3"/>
      <c r="CJ353" s="3"/>
      <c r="CK353" s="3"/>
      <c r="CL353" s="3"/>
      <c r="CM353" s="3"/>
      <c r="CN353" s="3"/>
      <c r="CO353" s="3"/>
      <c r="CP353" s="3"/>
      <c r="CQ353" s="4"/>
      <c r="CR353" s="4"/>
      <c r="CS353" s="4"/>
      <c r="CT353" s="4"/>
      <c r="CU353" s="4"/>
      <c r="CV353" s="4"/>
    </row>
    <row r="354" spans="1:100"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c r="BN354" s="3"/>
      <c r="BO354" s="3"/>
      <c r="BP354" s="3"/>
      <c r="BQ354" s="3"/>
      <c r="BR354" s="3"/>
      <c r="BS354" s="3"/>
      <c r="BT354" s="3"/>
      <c r="BU354" s="3"/>
      <c r="BV354" s="3"/>
      <c r="BW354" s="3"/>
      <c r="BX354" s="3"/>
      <c r="BY354" s="3"/>
      <c r="BZ354" s="3"/>
      <c r="CA354" s="3"/>
      <c r="CB354" s="3"/>
      <c r="CC354" s="3"/>
      <c r="CD354" s="3"/>
      <c r="CE354" s="3"/>
      <c r="CF354" s="3"/>
      <c r="CG354" s="3"/>
      <c r="CH354" s="3"/>
      <c r="CI354" s="3"/>
      <c r="CJ354" s="3"/>
      <c r="CK354" s="3"/>
      <c r="CL354" s="3"/>
      <c r="CM354" s="3"/>
      <c r="CN354" s="3"/>
      <c r="CO354" s="3"/>
      <c r="CP354" s="3"/>
      <c r="CQ354" s="4"/>
      <c r="CR354" s="4"/>
      <c r="CS354" s="4"/>
      <c r="CT354" s="4"/>
      <c r="CU354" s="4"/>
      <c r="CV354" s="4"/>
    </row>
    <row r="355" spans="1:100"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c r="BN355" s="3"/>
      <c r="BO355" s="3"/>
      <c r="BP355" s="3"/>
      <c r="BQ355" s="3"/>
      <c r="BR355" s="3"/>
      <c r="BS355" s="3"/>
      <c r="BT355" s="3"/>
      <c r="BU355" s="3"/>
      <c r="BV355" s="3"/>
      <c r="BW355" s="3"/>
      <c r="BX355" s="3"/>
      <c r="BY355" s="3"/>
      <c r="BZ355" s="3"/>
      <c r="CA355" s="3"/>
      <c r="CB355" s="3"/>
      <c r="CC355" s="3"/>
      <c r="CD355" s="3"/>
      <c r="CE355" s="3"/>
      <c r="CF355" s="3"/>
      <c r="CG355" s="3"/>
      <c r="CH355" s="3"/>
      <c r="CI355" s="3"/>
      <c r="CJ355" s="3"/>
      <c r="CK355" s="3"/>
      <c r="CL355" s="3"/>
      <c r="CM355" s="3"/>
      <c r="CN355" s="3"/>
      <c r="CO355" s="3"/>
      <c r="CP355" s="3"/>
      <c r="CQ355" s="4"/>
      <c r="CR355" s="4"/>
      <c r="CS355" s="4"/>
      <c r="CT355" s="4"/>
      <c r="CU355" s="4"/>
      <c r="CV355" s="4"/>
    </row>
    <row r="356" spans="1:100"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c r="BN356" s="3"/>
      <c r="BO356" s="3"/>
      <c r="BP356" s="3"/>
      <c r="BQ356" s="3"/>
      <c r="BR356" s="3"/>
      <c r="BS356" s="3"/>
      <c r="BT356" s="3"/>
      <c r="BU356" s="3"/>
      <c r="BV356" s="3"/>
      <c r="BW356" s="3"/>
      <c r="BX356" s="3"/>
      <c r="BY356" s="3"/>
      <c r="BZ356" s="3"/>
      <c r="CA356" s="3"/>
      <c r="CB356" s="3"/>
      <c r="CC356" s="3"/>
      <c r="CD356" s="3"/>
      <c r="CE356" s="3"/>
      <c r="CF356" s="3"/>
      <c r="CG356" s="3"/>
      <c r="CH356" s="3"/>
      <c r="CI356" s="3"/>
      <c r="CJ356" s="3"/>
      <c r="CK356" s="3"/>
      <c r="CL356" s="3"/>
      <c r="CM356" s="3"/>
      <c r="CN356" s="3"/>
      <c r="CO356" s="3"/>
      <c r="CP356" s="3"/>
      <c r="CQ356" s="4"/>
      <c r="CR356" s="4"/>
      <c r="CS356" s="4"/>
      <c r="CT356" s="4"/>
      <c r="CU356" s="4"/>
      <c r="CV356" s="4"/>
    </row>
    <row r="357" spans="1:100"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c r="BP357" s="3"/>
      <c r="BQ357" s="3"/>
      <c r="BR357" s="3"/>
      <c r="BS357" s="3"/>
      <c r="BT357" s="3"/>
      <c r="BU357" s="3"/>
      <c r="BV357" s="3"/>
      <c r="BW357" s="3"/>
      <c r="BX357" s="3"/>
      <c r="BY357" s="3"/>
      <c r="BZ357" s="3"/>
      <c r="CA357" s="3"/>
      <c r="CB357" s="3"/>
      <c r="CC357" s="3"/>
      <c r="CD357" s="3"/>
      <c r="CE357" s="3"/>
      <c r="CF357" s="3"/>
      <c r="CG357" s="3"/>
      <c r="CH357" s="3"/>
      <c r="CI357" s="3"/>
      <c r="CJ357" s="3"/>
      <c r="CK357" s="3"/>
      <c r="CL357" s="3"/>
      <c r="CM357" s="3"/>
      <c r="CN357" s="3"/>
      <c r="CO357" s="3"/>
      <c r="CP357" s="3"/>
      <c r="CQ357" s="4"/>
      <c r="CR357" s="4"/>
      <c r="CS357" s="4"/>
      <c r="CT357" s="4"/>
      <c r="CU357" s="4"/>
      <c r="CV357" s="4"/>
    </row>
    <row r="358" spans="1:100"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c r="BO358" s="3"/>
      <c r="BP358" s="3"/>
      <c r="BQ358" s="3"/>
      <c r="BR358" s="3"/>
      <c r="BS358" s="3"/>
      <c r="BT358" s="3"/>
      <c r="BU358" s="3"/>
      <c r="BV358" s="3"/>
      <c r="BW358" s="3"/>
      <c r="BX358" s="3"/>
      <c r="BY358" s="3"/>
      <c r="BZ358" s="3"/>
      <c r="CA358" s="3"/>
      <c r="CB358" s="3"/>
      <c r="CC358" s="3"/>
      <c r="CD358" s="3"/>
      <c r="CE358" s="3"/>
      <c r="CF358" s="3"/>
      <c r="CG358" s="3"/>
      <c r="CH358" s="3"/>
      <c r="CI358" s="3"/>
      <c r="CJ358" s="3"/>
      <c r="CK358" s="3"/>
      <c r="CL358" s="3"/>
      <c r="CM358" s="3"/>
      <c r="CN358" s="3"/>
      <c r="CO358" s="3"/>
      <c r="CP358" s="3"/>
      <c r="CQ358" s="4"/>
      <c r="CR358" s="4"/>
      <c r="CS358" s="4"/>
      <c r="CT358" s="4"/>
      <c r="CU358" s="4"/>
      <c r="CV358" s="4"/>
    </row>
    <row r="359" spans="1:100"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c r="BO359" s="3"/>
      <c r="BP359" s="3"/>
      <c r="BQ359" s="3"/>
      <c r="BR359" s="3"/>
      <c r="BS359" s="3"/>
      <c r="BT359" s="3"/>
      <c r="BU359" s="3"/>
      <c r="BV359" s="3"/>
      <c r="BW359" s="3"/>
      <c r="BX359" s="3"/>
      <c r="BY359" s="3"/>
      <c r="BZ359" s="3"/>
      <c r="CA359" s="3"/>
      <c r="CB359" s="3"/>
      <c r="CC359" s="3"/>
      <c r="CD359" s="3"/>
      <c r="CE359" s="3"/>
      <c r="CF359" s="3"/>
      <c r="CG359" s="3"/>
      <c r="CH359" s="3"/>
      <c r="CI359" s="3"/>
      <c r="CJ359" s="3"/>
      <c r="CK359" s="3"/>
      <c r="CL359" s="3"/>
      <c r="CM359" s="3"/>
      <c r="CN359" s="3"/>
      <c r="CO359" s="3"/>
      <c r="CP359" s="3"/>
      <c r="CQ359" s="4"/>
      <c r="CR359" s="4"/>
      <c r="CS359" s="4"/>
      <c r="CT359" s="4"/>
      <c r="CU359" s="4"/>
      <c r="CV359" s="4"/>
    </row>
    <row r="360" spans="1:100"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c r="BN360" s="3"/>
      <c r="BO360" s="3"/>
      <c r="BP360" s="3"/>
      <c r="BQ360" s="3"/>
      <c r="BR360" s="3"/>
      <c r="BS360" s="3"/>
      <c r="BT360" s="3"/>
      <c r="BU360" s="3"/>
      <c r="BV360" s="3"/>
      <c r="BW360" s="3"/>
      <c r="BX360" s="3"/>
      <c r="BY360" s="3"/>
      <c r="BZ360" s="3"/>
      <c r="CA360" s="3"/>
      <c r="CB360" s="3"/>
      <c r="CC360" s="3"/>
      <c r="CD360" s="3"/>
      <c r="CE360" s="3"/>
      <c r="CF360" s="3"/>
      <c r="CG360" s="3"/>
      <c r="CH360" s="3"/>
      <c r="CI360" s="3"/>
      <c r="CJ360" s="3"/>
      <c r="CK360" s="3"/>
      <c r="CL360" s="3"/>
      <c r="CM360" s="3"/>
      <c r="CN360" s="3"/>
      <c r="CO360" s="3"/>
      <c r="CP360" s="3"/>
      <c r="CQ360" s="4"/>
      <c r="CR360" s="4"/>
      <c r="CS360" s="4"/>
      <c r="CT360" s="4"/>
      <c r="CU360" s="4"/>
      <c r="CV360" s="4"/>
    </row>
    <row r="361" spans="1:100"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c r="BN361" s="3"/>
      <c r="BO361" s="3"/>
      <c r="BP361" s="3"/>
      <c r="BQ361" s="3"/>
      <c r="BR361" s="3"/>
      <c r="BS361" s="3"/>
      <c r="BT361" s="3"/>
      <c r="BU361" s="3"/>
      <c r="BV361" s="3"/>
      <c r="BW361" s="3"/>
      <c r="BX361" s="3"/>
      <c r="BY361" s="3"/>
      <c r="BZ361" s="3"/>
      <c r="CA361" s="3"/>
      <c r="CB361" s="3"/>
      <c r="CC361" s="3"/>
      <c r="CD361" s="3"/>
      <c r="CE361" s="3"/>
      <c r="CF361" s="3"/>
      <c r="CG361" s="3"/>
      <c r="CH361" s="3"/>
      <c r="CI361" s="3"/>
      <c r="CJ361" s="3"/>
      <c r="CK361" s="3"/>
      <c r="CL361" s="3"/>
      <c r="CM361" s="3"/>
      <c r="CN361" s="3"/>
      <c r="CO361" s="3"/>
      <c r="CP361" s="3"/>
      <c r="CQ361" s="4"/>
      <c r="CR361" s="4"/>
      <c r="CS361" s="4"/>
      <c r="CT361" s="4"/>
      <c r="CU361" s="4"/>
      <c r="CV361" s="4"/>
    </row>
    <row r="362" spans="1:100"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c r="BN362" s="3"/>
      <c r="BO362" s="3"/>
      <c r="BP362" s="3"/>
      <c r="BQ362" s="3"/>
      <c r="BR362" s="3"/>
      <c r="BS362" s="3"/>
      <c r="BT362" s="3"/>
      <c r="BU362" s="3"/>
      <c r="BV362" s="3"/>
      <c r="BW362" s="3"/>
      <c r="BX362" s="3"/>
      <c r="BY362" s="3"/>
      <c r="BZ362" s="3"/>
      <c r="CA362" s="3"/>
      <c r="CB362" s="3"/>
      <c r="CC362" s="3"/>
      <c r="CD362" s="3"/>
      <c r="CE362" s="3"/>
      <c r="CF362" s="3"/>
      <c r="CG362" s="3"/>
      <c r="CH362" s="3"/>
      <c r="CI362" s="3"/>
      <c r="CJ362" s="3"/>
      <c r="CK362" s="3"/>
      <c r="CL362" s="3"/>
      <c r="CM362" s="3"/>
      <c r="CN362" s="3"/>
      <c r="CO362" s="3"/>
      <c r="CP362" s="3"/>
      <c r="CQ362" s="4"/>
      <c r="CR362" s="4"/>
      <c r="CS362" s="4"/>
      <c r="CT362" s="4"/>
      <c r="CU362" s="4"/>
      <c r="CV362" s="4"/>
    </row>
    <row r="363" spans="1:100"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c r="BN363" s="3"/>
      <c r="BO363" s="3"/>
      <c r="BP363" s="3"/>
      <c r="BQ363" s="3"/>
      <c r="BR363" s="3"/>
      <c r="BS363" s="3"/>
      <c r="BT363" s="3"/>
      <c r="BU363" s="3"/>
      <c r="BV363" s="3"/>
      <c r="BW363" s="3"/>
      <c r="BX363" s="3"/>
      <c r="BY363" s="3"/>
      <c r="BZ363" s="3"/>
      <c r="CA363" s="3"/>
      <c r="CB363" s="3"/>
      <c r="CC363" s="3"/>
      <c r="CD363" s="3"/>
      <c r="CE363" s="3"/>
      <c r="CF363" s="3"/>
      <c r="CG363" s="3"/>
      <c r="CH363" s="3"/>
      <c r="CI363" s="3"/>
      <c r="CJ363" s="3"/>
      <c r="CK363" s="3"/>
      <c r="CL363" s="3"/>
      <c r="CM363" s="3"/>
      <c r="CN363" s="3"/>
      <c r="CO363" s="3"/>
      <c r="CP363" s="3"/>
      <c r="CQ363" s="4"/>
      <c r="CR363" s="4"/>
      <c r="CS363" s="4"/>
      <c r="CT363" s="4"/>
      <c r="CU363" s="4"/>
      <c r="CV363" s="4"/>
    </row>
    <row r="364" spans="1:100"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c r="BN364" s="3"/>
      <c r="BO364" s="3"/>
      <c r="BP364" s="3"/>
      <c r="BQ364" s="3"/>
      <c r="BR364" s="3"/>
      <c r="BS364" s="3"/>
      <c r="BT364" s="3"/>
      <c r="BU364" s="3"/>
      <c r="BV364" s="3"/>
      <c r="BW364" s="3"/>
      <c r="BX364" s="3"/>
      <c r="BY364" s="3"/>
      <c r="BZ364" s="3"/>
      <c r="CA364" s="3"/>
      <c r="CB364" s="3"/>
      <c r="CC364" s="3"/>
      <c r="CD364" s="3"/>
      <c r="CE364" s="3"/>
      <c r="CF364" s="3"/>
      <c r="CG364" s="3"/>
      <c r="CH364" s="3"/>
      <c r="CI364" s="3"/>
      <c r="CJ364" s="3"/>
      <c r="CK364" s="3"/>
      <c r="CL364" s="3"/>
      <c r="CM364" s="3"/>
      <c r="CN364" s="3"/>
      <c r="CO364" s="3"/>
      <c r="CP364" s="3"/>
      <c r="CQ364" s="4"/>
      <c r="CR364" s="4"/>
      <c r="CS364" s="4"/>
      <c r="CT364" s="4"/>
      <c r="CU364" s="4"/>
      <c r="CV364" s="4"/>
    </row>
    <row r="365" spans="1:100"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c r="BN365" s="3"/>
      <c r="BO365" s="3"/>
      <c r="BP365" s="3"/>
      <c r="BQ365" s="3"/>
      <c r="BR365" s="3"/>
      <c r="BS365" s="3"/>
      <c r="BT365" s="3"/>
      <c r="BU365" s="3"/>
      <c r="BV365" s="3"/>
      <c r="BW365" s="3"/>
      <c r="BX365" s="3"/>
      <c r="BY365" s="3"/>
      <c r="BZ365" s="3"/>
      <c r="CA365" s="3"/>
      <c r="CB365" s="3"/>
      <c r="CC365" s="3"/>
      <c r="CD365" s="3"/>
      <c r="CE365" s="3"/>
      <c r="CF365" s="3"/>
      <c r="CG365" s="3"/>
      <c r="CH365" s="3"/>
      <c r="CI365" s="3"/>
      <c r="CJ365" s="3"/>
      <c r="CK365" s="3"/>
      <c r="CL365" s="3"/>
      <c r="CM365" s="3"/>
      <c r="CN365" s="3"/>
      <c r="CO365" s="3"/>
      <c r="CP365" s="3"/>
      <c r="CQ365" s="4"/>
      <c r="CR365" s="4"/>
      <c r="CS365" s="4"/>
      <c r="CT365" s="4"/>
      <c r="CU365" s="4"/>
      <c r="CV365" s="4"/>
    </row>
    <row r="366" spans="1:100"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c r="BO366" s="3"/>
      <c r="BP366" s="3"/>
      <c r="BQ366" s="3"/>
      <c r="BR366" s="3"/>
      <c r="BS366" s="3"/>
      <c r="BT366" s="3"/>
      <c r="BU366" s="3"/>
      <c r="BV366" s="3"/>
      <c r="BW366" s="3"/>
      <c r="BX366" s="3"/>
      <c r="BY366" s="3"/>
      <c r="BZ366" s="3"/>
      <c r="CA366" s="3"/>
      <c r="CB366" s="3"/>
      <c r="CC366" s="3"/>
      <c r="CD366" s="3"/>
      <c r="CE366" s="3"/>
      <c r="CF366" s="3"/>
      <c r="CG366" s="3"/>
      <c r="CH366" s="3"/>
      <c r="CI366" s="3"/>
      <c r="CJ366" s="3"/>
      <c r="CK366" s="3"/>
      <c r="CL366" s="3"/>
      <c r="CM366" s="3"/>
      <c r="CN366" s="3"/>
      <c r="CO366" s="3"/>
      <c r="CP366" s="3"/>
      <c r="CQ366" s="4"/>
      <c r="CR366" s="4"/>
      <c r="CS366" s="4"/>
      <c r="CT366" s="4"/>
      <c r="CU366" s="4"/>
      <c r="CV366" s="4"/>
    </row>
    <row r="367" spans="1:100"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c r="BN367" s="3"/>
      <c r="BO367" s="3"/>
      <c r="BP367" s="3"/>
      <c r="BQ367" s="3"/>
      <c r="BR367" s="3"/>
      <c r="BS367" s="3"/>
      <c r="BT367" s="3"/>
      <c r="BU367" s="3"/>
      <c r="BV367" s="3"/>
      <c r="BW367" s="3"/>
      <c r="BX367" s="3"/>
      <c r="BY367" s="3"/>
      <c r="BZ367" s="3"/>
      <c r="CA367" s="3"/>
      <c r="CB367" s="3"/>
      <c r="CC367" s="3"/>
      <c r="CD367" s="3"/>
      <c r="CE367" s="3"/>
      <c r="CF367" s="3"/>
      <c r="CG367" s="3"/>
      <c r="CH367" s="3"/>
      <c r="CI367" s="3"/>
      <c r="CJ367" s="3"/>
      <c r="CK367" s="3"/>
      <c r="CL367" s="3"/>
      <c r="CM367" s="3"/>
      <c r="CN367" s="3"/>
      <c r="CO367" s="3"/>
      <c r="CP367" s="3"/>
      <c r="CQ367" s="4"/>
      <c r="CR367" s="4"/>
      <c r="CS367" s="4"/>
      <c r="CT367" s="4"/>
      <c r="CU367" s="4"/>
      <c r="CV367" s="4"/>
    </row>
    <row r="368" spans="1:100"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c r="BO368" s="3"/>
      <c r="BP368" s="3"/>
      <c r="BQ368" s="3"/>
      <c r="BR368" s="3"/>
      <c r="BS368" s="3"/>
      <c r="BT368" s="3"/>
      <c r="BU368" s="3"/>
      <c r="BV368" s="3"/>
      <c r="BW368" s="3"/>
      <c r="BX368" s="3"/>
      <c r="BY368" s="3"/>
      <c r="BZ368" s="3"/>
      <c r="CA368" s="3"/>
      <c r="CB368" s="3"/>
      <c r="CC368" s="3"/>
      <c r="CD368" s="3"/>
      <c r="CE368" s="3"/>
      <c r="CF368" s="3"/>
      <c r="CG368" s="3"/>
      <c r="CH368" s="3"/>
      <c r="CI368" s="3"/>
      <c r="CJ368" s="3"/>
      <c r="CK368" s="3"/>
      <c r="CL368" s="3"/>
      <c r="CM368" s="3"/>
      <c r="CN368" s="3"/>
      <c r="CO368" s="3"/>
      <c r="CP368" s="3"/>
      <c r="CQ368" s="4"/>
      <c r="CR368" s="4"/>
      <c r="CS368" s="4"/>
      <c r="CT368" s="4"/>
      <c r="CU368" s="4"/>
      <c r="CV368" s="4"/>
    </row>
    <row r="369" spans="1:100"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c r="BO369" s="3"/>
      <c r="BP369" s="3"/>
      <c r="BQ369" s="3"/>
      <c r="BR369" s="3"/>
      <c r="BS369" s="3"/>
      <c r="BT369" s="3"/>
      <c r="BU369" s="3"/>
      <c r="BV369" s="3"/>
      <c r="BW369" s="3"/>
      <c r="BX369" s="3"/>
      <c r="BY369" s="3"/>
      <c r="BZ369" s="3"/>
      <c r="CA369" s="3"/>
      <c r="CB369" s="3"/>
      <c r="CC369" s="3"/>
      <c r="CD369" s="3"/>
      <c r="CE369" s="3"/>
      <c r="CF369" s="3"/>
      <c r="CG369" s="3"/>
      <c r="CH369" s="3"/>
      <c r="CI369" s="3"/>
      <c r="CJ369" s="3"/>
      <c r="CK369" s="3"/>
      <c r="CL369" s="3"/>
      <c r="CM369" s="3"/>
      <c r="CN369" s="3"/>
      <c r="CO369" s="3"/>
      <c r="CP369" s="3"/>
      <c r="CQ369" s="4"/>
      <c r="CR369" s="4"/>
      <c r="CS369" s="4"/>
      <c r="CT369" s="4"/>
      <c r="CU369" s="4"/>
      <c r="CV369" s="4"/>
    </row>
    <row r="370" spans="1:100"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c r="BO370" s="3"/>
      <c r="BP370" s="3"/>
      <c r="BQ370" s="3"/>
      <c r="BR370" s="3"/>
      <c r="BS370" s="3"/>
      <c r="BT370" s="3"/>
      <c r="BU370" s="3"/>
      <c r="BV370" s="3"/>
      <c r="BW370" s="3"/>
      <c r="BX370" s="3"/>
      <c r="BY370" s="3"/>
      <c r="BZ370" s="3"/>
      <c r="CA370" s="3"/>
      <c r="CB370" s="3"/>
      <c r="CC370" s="3"/>
      <c r="CD370" s="3"/>
      <c r="CE370" s="3"/>
      <c r="CF370" s="3"/>
      <c r="CG370" s="3"/>
      <c r="CH370" s="3"/>
      <c r="CI370" s="3"/>
      <c r="CJ370" s="3"/>
      <c r="CK370" s="3"/>
      <c r="CL370" s="3"/>
      <c r="CM370" s="3"/>
      <c r="CN370" s="3"/>
      <c r="CO370" s="3"/>
      <c r="CP370" s="3"/>
      <c r="CQ370" s="4"/>
      <c r="CR370" s="4"/>
      <c r="CS370" s="4"/>
      <c r="CT370" s="4"/>
      <c r="CU370" s="4"/>
      <c r="CV370" s="4"/>
    </row>
    <row r="371" spans="1:100"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c r="BO371" s="3"/>
      <c r="BP371" s="3"/>
      <c r="BQ371" s="3"/>
      <c r="BR371" s="3"/>
      <c r="BS371" s="3"/>
      <c r="BT371" s="3"/>
      <c r="BU371" s="3"/>
      <c r="BV371" s="3"/>
      <c r="BW371" s="3"/>
      <c r="BX371" s="3"/>
      <c r="BY371" s="3"/>
      <c r="BZ371" s="3"/>
      <c r="CA371" s="3"/>
      <c r="CB371" s="3"/>
      <c r="CC371" s="3"/>
      <c r="CD371" s="3"/>
      <c r="CE371" s="3"/>
      <c r="CF371" s="3"/>
      <c r="CG371" s="3"/>
      <c r="CH371" s="3"/>
      <c r="CI371" s="3"/>
      <c r="CJ371" s="3"/>
      <c r="CK371" s="3"/>
      <c r="CL371" s="3"/>
      <c r="CM371" s="3"/>
      <c r="CN371" s="3"/>
      <c r="CO371" s="3"/>
      <c r="CP371" s="3"/>
      <c r="CQ371" s="4"/>
      <c r="CR371" s="4"/>
      <c r="CS371" s="4"/>
      <c r="CT371" s="4"/>
      <c r="CU371" s="4"/>
      <c r="CV371" s="4"/>
    </row>
    <row r="372" spans="1:100"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c r="BO372" s="3"/>
      <c r="BP372" s="3"/>
      <c r="BQ372" s="3"/>
      <c r="BR372" s="3"/>
      <c r="BS372" s="3"/>
      <c r="BT372" s="3"/>
      <c r="BU372" s="3"/>
      <c r="BV372" s="3"/>
      <c r="BW372" s="3"/>
      <c r="BX372" s="3"/>
      <c r="BY372" s="3"/>
      <c r="BZ372" s="3"/>
      <c r="CA372" s="3"/>
      <c r="CB372" s="3"/>
      <c r="CC372" s="3"/>
      <c r="CD372" s="3"/>
      <c r="CE372" s="3"/>
      <c r="CF372" s="3"/>
      <c r="CG372" s="3"/>
      <c r="CH372" s="3"/>
      <c r="CI372" s="3"/>
      <c r="CJ372" s="3"/>
      <c r="CK372" s="3"/>
      <c r="CL372" s="3"/>
      <c r="CM372" s="3"/>
      <c r="CN372" s="3"/>
      <c r="CO372" s="3"/>
      <c r="CP372" s="3"/>
      <c r="CQ372" s="4"/>
      <c r="CR372" s="4"/>
      <c r="CS372" s="4"/>
      <c r="CT372" s="4"/>
      <c r="CU372" s="4"/>
      <c r="CV372" s="4"/>
    </row>
    <row r="373" spans="1:100"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c r="BO373" s="3"/>
      <c r="BP373" s="3"/>
      <c r="BQ373" s="3"/>
      <c r="BR373" s="3"/>
      <c r="BS373" s="3"/>
      <c r="BT373" s="3"/>
      <c r="BU373" s="3"/>
      <c r="BV373" s="3"/>
      <c r="BW373" s="3"/>
      <c r="BX373" s="3"/>
      <c r="BY373" s="3"/>
      <c r="BZ373" s="3"/>
      <c r="CA373" s="3"/>
      <c r="CB373" s="3"/>
      <c r="CC373" s="3"/>
      <c r="CD373" s="3"/>
      <c r="CE373" s="3"/>
      <c r="CF373" s="3"/>
      <c r="CG373" s="3"/>
      <c r="CH373" s="3"/>
      <c r="CI373" s="3"/>
      <c r="CJ373" s="3"/>
      <c r="CK373" s="3"/>
      <c r="CL373" s="3"/>
      <c r="CM373" s="3"/>
      <c r="CN373" s="3"/>
      <c r="CO373" s="3"/>
      <c r="CP373" s="3"/>
      <c r="CQ373" s="4"/>
      <c r="CR373" s="4"/>
      <c r="CS373" s="4"/>
      <c r="CT373" s="4"/>
      <c r="CU373" s="4"/>
      <c r="CV373" s="4"/>
    </row>
    <row r="374" spans="1:100"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c r="BN374" s="3"/>
      <c r="BO374" s="3"/>
      <c r="BP374" s="3"/>
      <c r="BQ374" s="3"/>
      <c r="BR374" s="3"/>
      <c r="BS374" s="3"/>
      <c r="BT374" s="3"/>
      <c r="BU374" s="3"/>
      <c r="BV374" s="3"/>
      <c r="BW374" s="3"/>
      <c r="BX374" s="3"/>
      <c r="BY374" s="3"/>
      <c r="BZ374" s="3"/>
      <c r="CA374" s="3"/>
      <c r="CB374" s="3"/>
      <c r="CC374" s="3"/>
      <c r="CD374" s="3"/>
      <c r="CE374" s="3"/>
      <c r="CF374" s="3"/>
      <c r="CG374" s="3"/>
      <c r="CH374" s="3"/>
      <c r="CI374" s="3"/>
      <c r="CJ374" s="3"/>
      <c r="CK374" s="3"/>
      <c r="CL374" s="3"/>
      <c r="CM374" s="3"/>
      <c r="CN374" s="3"/>
      <c r="CO374" s="3"/>
      <c r="CP374" s="3"/>
      <c r="CQ374" s="4"/>
      <c r="CR374" s="4"/>
      <c r="CS374" s="4"/>
      <c r="CT374" s="4"/>
      <c r="CU374" s="4"/>
      <c r="CV374" s="4"/>
    </row>
    <row r="375" spans="1:100"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c r="BN375" s="3"/>
      <c r="BO375" s="3"/>
      <c r="BP375" s="3"/>
      <c r="BQ375" s="3"/>
      <c r="BR375" s="3"/>
      <c r="BS375" s="3"/>
      <c r="BT375" s="3"/>
      <c r="BU375" s="3"/>
      <c r="BV375" s="3"/>
      <c r="BW375" s="3"/>
      <c r="BX375" s="3"/>
      <c r="BY375" s="3"/>
      <c r="BZ375" s="3"/>
      <c r="CA375" s="3"/>
      <c r="CB375" s="3"/>
      <c r="CC375" s="3"/>
      <c r="CD375" s="3"/>
      <c r="CE375" s="3"/>
      <c r="CF375" s="3"/>
      <c r="CG375" s="3"/>
      <c r="CH375" s="3"/>
      <c r="CI375" s="3"/>
      <c r="CJ375" s="3"/>
      <c r="CK375" s="3"/>
      <c r="CL375" s="3"/>
      <c r="CM375" s="3"/>
      <c r="CN375" s="3"/>
      <c r="CO375" s="3"/>
      <c r="CP375" s="3"/>
      <c r="CQ375" s="4"/>
      <c r="CR375" s="4"/>
      <c r="CS375" s="4"/>
      <c r="CT375" s="4"/>
      <c r="CU375" s="4"/>
      <c r="CV375" s="4"/>
    </row>
    <row r="376" spans="1:100"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c r="BN376" s="3"/>
      <c r="BO376" s="3"/>
      <c r="BP376" s="3"/>
      <c r="BQ376" s="3"/>
      <c r="BR376" s="3"/>
      <c r="BS376" s="3"/>
      <c r="BT376" s="3"/>
      <c r="BU376" s="3"/>
      <c r="BV376" s="3"/>
      <c r="BW376" s="3"/>
      <c r="BX376" s="3"/>
      <c r="BY376" s="3"/>
      <c r="BZ376" s="3"/>
      <c r="CA376" s="3"/>
      <c r="CB376" s="3"/>
      <c r="CC376" s="3"/>
      <c r="CD376" s="3"/>
      <c r="CE376" s="3"/>
      <c r="CF376" s="3"/>
      <c r="CG376" s="3"/>
      <c r="CH376" s="3"/>
      <c r="CI376" s="3"/>
      <c r="CJ376" s="3"/>
      <c r="CK376" s="3"/>
      <c r="CL376" s="3"/>
      <c r="CM376" s="3"/>
      <c r="CN376" s="3"/>
      <c r="CO376" s="3"/>
      <c r="CP376" s="3"/>
      <c r="CQ376" s="4"/>
      <c r="CR376" s="4"/>
      <c r="CS376" s="4"/>
      <c r="CT376" s="4"/>
      <c r="CU376" s="4"/>
      <c r="CV376" s="4"/>
    </row>
    <row r="377" spans="1:100"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c r="BN377" s="3"/>
      <c r="BO377" s="3"/>
      <c r="BP377" s="3"/>
      <c r="BQ377" s="3"/>
      <c r="BR377" s="3"/>
      <c r="BS377" s="3"/>
      <c r="BT377" s="3"/>
      <c r="BU377" s="3"/>
      <c r="BV377" s="3"/>
      <c r="BW377" s="3"/>
      <c r="BX377" s="3"/>
      <c r="BY377" s="3"/>
      <c r="BZ377" s="3"/>
      <c r="CA377" s="3"/>
      <c r="CB377" s="3"/>
      <c r="CC377" s="3"/>
      <c r="CD377" s="3"/>
      <c r="CE377" s="3"/>
      <c r="CF377" s="3"/>
      <c r="CG377" s="3"/>
      <c r="CH377" s="3"/>
      <c r="CI377" s="3"/>
      <c r="CJ377" s="3"/>
      <c r="CK377" s="3"/>
      <c r="CL377" s="3"/>
      <c r="CM377" s="3"/>
      <c r="CN377" s="3"/>
      <c r="CO377" s="3"/>
      <c r="CP377" s="3"/>
      <c r="CQ377" s="4"/>
      <c r="CR377" s="4"/>
      <c r="CS377" s="4"/>
      <c r="CT377" s="4"/>
      <c r="CU377" s="4"/>
      <c r="CV377" s="4"/>
    </row>
    <row r="378" spans="1:100"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c r="BN378" s="3"/>
      <c r="BO378" s="3"/>
      <c r="BP378" s="3"/>
      <c r="BQ378" s="3"/>
      <c r="BR378" s="3"/>
      <c r="BS378" s="3"/>
      <c r="BT378" s="3"/>
      <c r="BU378" s="3"/>
      <c r="BV378" s="3"/>
      <c r="BW378" s="3"/>
      <c r="BX378" s="3"/>
      <c r="BY378" s="3"/>
      <c r="BZ378" s="3"/>
      <c r="CA378" s="3"/>
      <c r="CB378" s="3"/>
      <c r="CC378" s="3"/>
      <c r="CD378" s="3"/>
      <c r="CE378" s="3"/>
      <c r="CF378" s="3"/>
      <c r="CG378" s="3"/>
      <c r="CH378" s="3"/>
      <c r="CI378" s="3"/>
      <c r="CJ378" s="3"/>
      <c r="CK378" s="3"/>
      <c r="CL378" s="3"/>
      <c r="CM378" s="3"/>
      <c r="CN378" s="3"/>
      <c r="CO378" s="3"/>
      <c r="CP378" s="3"/>
      <c r="CQ378" s="4"/>
      <c r="CR378" s="4"/>
      <c r="CS378" s="4"/>
      <c r="CT378" s="4"/>
      <c r="CU378" s="4"/>
      <c r="CV378" s="4"/>
    </row>
    <row r="379" spans="1:100"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c r="BO379" s="3"/>
      <c r="BP379" s="3"/>
      <c r="BQ379" s="3"/>
      <c r="BR379" s="3"/>
      <c r="BS379" s="3"/>
      <c r="BT379" s="3"/>
      <c r="BU379" s="3"/>
      <c r="BV379" s="3"/>
      <c r="BW379" s="3"/>
      <c r="BX379" s="3"/>
      <c r="BY379" s="3"/>
      <c r="BZ379" s="3"/>
      <c r="CA379" s="3"/>
      <c r="CB379" s="3"/>
      <c r="CC379" s="3"/>
      <c r="CD379" s="3"/>
      <c r="CE379" s="3"/>
      <c r="CF379" s="3"/>
      <c r="CG379" s="3"/>
      <c r="CH379" s="3"/>
      <c r="CI379" s="3"/>
      <c r="CJ379" s="3"/>
      <c r="CK379" s="3"/>
      <c r="CL379" s="3"/>
      <c r="CM379" s="3"/>
      <c r="CN379" s="3"/>
      <c r="CO379" s="3"/>
      <c r="CP379" s="3"/>
      <c r="CQ379" s="4"/>
      <c r="CR379" s="4"/>
      <c r="CS379" s="4"/>
      <c r="CT379" s="4"/>
      <c r="CU379" s="4"/>
      <c r="CV379" s="4"/>
    </row>
    <row r="380" spans="1:100"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c r="BN380" s="3"/>
      <c r="BO380" s="3"/>
      <c r="BP380" s="3"/>
      <c r="BQ380" s="3"/>
      <c r="BR380" s="3"/>
      <c r="BS380" s="3"/>
      <c r="BT380" s="3"/>
      <c r="BU380" s="3"/>
      <c r="BV380" s="3"/>
      <c r="BW380" s="3"/>
      <c r="BX380" s="3"/>
      <c r="BY380" s="3"/>
      <c r="BZ380" s="3"/>
      <c r="CA380" s="3"/>
      <c r="CB380" s="3"/>
      <c r="CC380" s="3"/>
      <c r="CD380" s="3"/>
      <c r="CE380" s="3"/>
      <c r="CF380" s="3"/>
      <c r="CG380" s="3"/>
      <c r="CH380" s="3"/>
      <c r="CI380" s="3"/>
      <c r="CJ380" s="3"/>
      <c r="CK380" s="3"/>
      <c r="CL380" s="3"/>
      <c r="CM380" s="3"/>
      <c r="CN380" s="3"/>
      <c r="CO380" s="3"/>
      <c r="CP380" s="3"/>
      <c r="CQ380" s="4"/>
      <c r="CR380" s="4"/>
      <c r="CS380" s="4"/>
      <c r="CT380" s="4"/>
      <c r="CU380" s="4"/>
      <c r="CV380" s="4"/>
    </row>
    <row r="381" spans="1:100"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c r="BN381" s="3"/>
      <c r="BO381" s="3"/>
      <c r="BP381" s="3"/>
      <c r="BQ381" s="3"/>
      <c r="BR381" s="3"/>
      <c r="BS381" s="3"/>
      <c r="BT381" s="3"/>
      <c r="BU381" s="3"/>
      <c r="BV381" s="3"/>
      <c r="BW381" s="3"/>
      <c r="BX381" s="3"/>
      <c r="BY381" s="3"/>
      <c r="BZ381" s="3"/>
      <c r="CA381" s="3"/>
      <c r="CB381" s="3"/>
      <c r="CC381" s="3"/>
      <c r="CD381" s="3"/>
      <c r="CE381" s="3"/>
      <c r="CF381" s="3"/>
      <c r="CG381" s="3"/>
      <c r="CH381" s="3"/>
      <c r="CI381" s="3"/>
      <c r="CJ381" s="3"/>
      <c r="CK381" s="3"/>
      <c r="CL381" s="3"/>
      <c r="CM381" s="3"/>
      <c r="CN381" s="3"/>
      <c r="CO381" s="3"/>
      <c r="CP381" s="3"/>
      <c r="CQ381" s="4"/>
      <c r="CR381" s="4"/>
      <c r="CS381" s="4"/>
      <c r="CT381" s="4"/>
      <c r="CU381" s="4"/>
      <c r="CV381" s="4"/>
    </row>
    <row r="382" spans="1:100"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c r="BN382" s="3"/>
      <c r="BO382" s="3"/>
      <c r="BP382" s="3"/>
      <c r="BQ382" s="3"/>
      <c r="BR382" s="3"/>
      <c r="BS382" s="3"/>
      <c r="BT382" s="3"/>
      <c r="BU382" s="3"/>
      <c r="BV382" s="3"/>
      <c r="BW382" s="3"/>
      <c r="BX382" s="3"/>
      <c r="BY382" s="3"/>
      <c r="BZ382" s="3"/>
      <c r="CA382" s="3"/>
      <c r="CB382" s="3"/>
      <c r="CC382" s="3"/>
      <c r="CD382" s="3"/>
      <c r="CE382" s="3"/>
      <c r="CF382" s="3"/>
      <c r="CG382" s="3"/>
      <c r="CH382" s="3"/>
      <c r="CI382" s="3"/>
      <c r="CJ382" s="3"/>
      <c r="CK382" s="3"/>
      <c r="CL382" s="3"/>
      <c r="CM382" s="3"/>
      <c r="CN382" s="3"/>
      <c r="CO382" s="3"/>
      <c r="CP382" s="3"/>
      <c r="CQ382" s="4"/>
      <c r="CR382" s="4"/>
      <c r="CS382" s="4"/>
      <c r="CT382" s="4"/>
      <c r="CU382" s="4"/>
      <c r="CV382" s="4"/>
    </row>
    <row r="383" spans="1:100"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c r="BN383" s="3"/>
      <c r="BO383" s="3"/>
      <c r="BP383" s="3"/>
      <c r="BQ383" s="3"/>
      <c r="BR383" s="3"/>
      <c r="BS383" s="3"/>
      <c r="BT383" s="3"/>
      <c r="BU383" s="3"/>
      <c r="BV383" s="3"/>
      <c r="BW383" s="3"/>
      <c r="BX383" s="3"/>
      <c r="BY383" s="3"/>
      <c r="BZ383" s="3"/>
      <c r="CA383" s="3"/>
      <c r="CB383" s="3"/>
      <c r="CC383" s="3"/>
      <c r="CD383" s="3"/>
      <c r="CE383" s="3"/>
      <c r="CF383" s="3"/>
      <c r="CG383" s="3"/>
      <c r="CH383" s="3"/>
      <c r="CI383" s="3"/>
      <c r="CJ383" s="3"/>
      <c r="CK383" s="3"/>
      <c r="CL383" s="3"/>
      <c r="CM383" s="3"/>
      <c r="CN383" s="3"/>
      <c r="CO383" s="3"/>
      <c r="CP383" s="3"/>
      <c r="CQ383" s="4"/>
      <c r="CR383" s="4"/>
      <c r="CS383" s="4"/>
      <c r="CT383" s="4"/>
      <c r="CU383" s="4"/>
      <c r="CV383" s="4"/>
    </row>
    <row r="384" spans="1:100"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c r="BN384" s="3"/>
      <c r="BO384" s="3"/>
      <c r="BP384" s="3"/>
      <c r="BQ384" s="3"/>
      <c r="BR384" s="3"/>
      <c r="BS384" s="3"/>
      <c r="BT384" s="3"/>
      <c r="BU384" s="3"/>
      <c r="BV384" s="3"/>
      <c r="BW384" s="3"/>
      <c r="BX384" s="3"/>
      <c r="BY384" s="3"/>
      <c r="BZ384" s="3"/>
      <c r="CA384" s="3"/>
      <c r="CB384" s="3"/>
      <c r="CC384" s="3"/>
      <c r="CD384" s="3"/>
      <c r="CE384" s="3"/>
      <c r="CF384" s="3"/>
      <c r="CG384" s="3"/>
      <c r="CH384" s="3"/>
      <c r="CI384" s="3"/>
      <c r="CJ384" s="3"/>
      <c r="CK384" s="3"/>
      <c r="CL384" s="3"/>
      <c r="CM384" s="3"/>
      <c r="CN384" s="3"/>
      <c r="CO384" s="3"/>
      <c r="CP384" s="3"/>
      <c r="CQ384" s="4"/>
      <c r="CR384" s="4"/>
      <c r="CS384" s="4"/>
      <c r="CT384" s="4"/>
      <c r="CU384" s="4"/>
      <c r="CV384" s="4"/>
    </row>
    <row r="385" spans="1:100"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c r="BN385" s="3"/>
      <c r="BO385" s="3"/>
      <c r="BP385" s="3"/>
      <c r="BQ385" s="3"/>
      <c r="BR385" s="3"/>
      <c r="BS385" s="3"/>
      <c r="BT385" s="3"/>
      <c r="BU385" s="3"/>
      <c r="BV385" s="3"/>
      <c r="BW385" s="3"/>
      <c r="BX385" s="3"/>
      <c r="BY385" s="3"/>
      <c r="BZ385" s="3"/>
      <c r="CA385" s="3"/>
      <c r="CB385" s="3"/>
      <c r="CC385" s="3"/>
      <c r="CD385" s="3"/>
      <c r="CE385" s="3"/>
      <c r="CF385" s="3"/>
      <c r="CG385" s="3"/>
      <c r="CH385" s="3"/>
      <c r="CI385" s="3"/>
      <c r="CJ385" s="3"/>
      <c r="CK385" s="3"/>
      <c r="CL385" s="3"/>
      <c r="CM385" s="3"/>
      <c r="CN385" s="3"/>
      <c r="CO385" s="3"/>
      <c r="CP385" s="3"/>
      <c r="CQ385" s="4"/>
      <c r="CR385" s="4"/>
      <c r="CS385" s="4"/>
      <c r="CT385" s="4"/>
      <c r="CU385" s="4"/>
      <c r="CV385" s="4"/>
    </row>
    <row r="386" spans="1:100"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c r="BN386" s="3"/>
      <c r="BO386" s="3"/>
      <c r="BP386" s="3"/>
      <c r="BQ386" s="3"/>
      <c r="BR386" s="3"/>
      <c r="BS386" s="3"/>
      <c r="BT386" s="3"/>
      <c r="BU386" s="3"/>
      <c r="BV386" s="3"/>
      <c r="BW386" s="3"/>
      <c r="BX386" s="3"/>
      <c r="BY386" s="3"/>
      <c r="BZ386" s="3"/>
      <c r="CA386" s="3"/>
      <c r="CB386" s="3"/>
      <c r="CC386" s="3"/>
      <c r="CD386" s="3"/>
      <c r="CE386" s="3"/>
      <c r="CF386" s="3"/>
      <c r="CG386" s="3"/>
      <c r="CH386" s="3"/>
      <c r="CI386" s="3"/>
      <c r="CJ386" s="3"/>
      <c r="CK386" s="3"/>
      <c r="CL386" s="3"/>
      <c r="CM386" s="3"/>
      <c r="CN386" s="3"/>
      <c r="CO386" s="3"/>
      <c r="CP386" s="3"/>
      <c r="CQ386" s="4"/>
      <c r="CR386" s="4"/>
      <c r="CS386" s="4"/>
      <c r="CT386" s="4"/>
      <c r="CU386" s="4"/>
      <c r="CV386" s="4"/>
    </row>
    <row r="387" spans="1:100"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c r="BN387" s="3"/>
      <c r="BO387" s="3"/>
      <c r="BP387" s="3"/>
      <c r="BQ387" s="3"/>
      <c r="BR387" s="3"/>
      <c r="BS387" s="3"/>
      <c r="BT387" s="3"/>
      <c r="BU387" s="3"/>
      <c r="BV387" s="3"/>
      <c r="BW387" s="3"/>
      <c r="BX387" s="3"/>
      <c r="BY387" s="3"/>
      <c r="BZ387" s="3"/>
      <c r="CA387" s="3"/>
      <c r="CB387" s="3"/>
      <c r="CC387" s="3"/>
      <c r="CD387" s="3"/>
      <c r="CE387" s="3"/>
      <c r="CF387" s="3"/>
      <c r="CG387" s="3"/>
      <c r="CH387" s="3"/>
      <c r="CI387" s="3"/>
      <c r="CJ387" s="3"/>
      <c r="CK387" s="3"/>
      <c r="CL387" s="3"/>
      <c r="CM387" s="3"/>
      <c r="CN387" s="3"/>
      <c r="CO387" s="3"/>
      <c r="CP387" s="3"/>
      <c r="CQ387" s="4"/>
      <c r="CR387" s="4"/>
      <c r="CS387" s="4"/>
      <c r="CT387" s="4"/>
      <c r="CU387" s="4"/>
      <c r="CV387" s="4"/>
    </row>
    <row r="388" spans="1:100"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c r="BN388" s="3"/>
      <c r="BO388" s="3"/>
      <c r="BP388" s="3"/>
      <c r="BQ388" s="3"/>
      <c r="BR388" s="3"/>
      <c r="BS388" s="3"/>
      <c r="BT388" s="3"/>
      <c r="BU388" s="3"/>
      <c r="BV388" s="3"/>
      <c r="BW388" s="3"/>
      <c r="BX388" s="3"/>
      <c r="BY388" s="3"/>
      <c r="BZ388" s="3"/>
      <c r="CA388" s="3"/>
      <c r="CB388" s="3"/>
      <c r="CC388" s="3"/>
      <c r="CD388" s="3"/>
      <c r="CE388" s="3"/>
      <c r="CF388" s="3"/>
      <c r="CG388" s="3"/>
      <c r="CH388" s="3"/>
      <c r="CI388" s="3"/>
      <c r="CJ388" s="3"/>
      <c r="CK388" s="3"/>
      <c r="CL388" s="3"/>
      <c r="CM388" s="3"/>
      <c r="CN388" s="3"/>
      <c r="CO388" s="3"/>
      <c r="CP388" s="3"/>
      <c r="CQ388" s="4"/>
      <c r="CR388" s="4"/>
      <c r="CS388" s="4"/>
      <c r="CT388" s="4"/>
      <c r="CU388" s="4"/>
      <c r="CV388" s="4"/>
    </row>
    <row r="389" spans="1:100"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c r="BN389" s="3"/>
      <c r="BO389" s="3"/>
      <c r="BP389" s="3"/>
      <c r="BQ389" s="3"/>
      <c r="BR389" s="3"/>
      <c r="BS389" s="3"/>
      <c r="BT389" s="3"/>
      <c r="BU389" s="3"/>
      <c r="BV389" s="3"/>
      <c r="BW389" s="3"/>
      <c r="BX389" s="3"/>
      <c r="BY389" s="3"/>
      <c r="BZ389" s="3"/>
      <c r="CA389" s="3"/>
      <c r="CB389" s="3"/>
      <c r="CC389" s="3"/>
      <c r="CD389" s="3"/>
      <c r="CE389" s="3"/>
      <c r="CF389" s="3"/>
      <c r="CG389" s="3"/>
      <c r="CH389" s="3"/>
      <c r="CI389" s="3"/>
      <c r="CJ389" s="3"/>
      <c r="CK389" s="3"/>
      <c r="CL389" s="3"/>
      <c r="CM389" s="3"/>
      <c r="CN389" s="3"/>
      <c r="CO389" s="3"/>
      <c r="CP389" s="3"/>
      <c r="CQ389" s="4"/>
      <c r="CR389" s="4"/>
      <c r="CS389" s="4"/>
      <c r="CT389" s="4"/>
      <c r="CU389" s="4"/>
      <c r="CV389" s="4"/>
    </row>
    <row r="390" spans="1:100"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c r="BN390" s="3"/>
      <c r="BO390" s="3"/>
      <c r="BP390" s="3"/>
      <c r="BQ390" s="3"/>
      <c r="BR390" s="3"/>
      <c r="BS390" s="3"/>
      <c r="BT390" s="3"/>
      <c r="BU390" s="3"/>
      <c r="BV390" s="3"/>
      <c r="BW390" s="3"/>
      <c r="BX390" s="3"/>
      <c r="BY390" s="3"/>
      <c r="BZ390" s="3"/>
      <c r="CA390" s="3"/>
      <c r="CB390" s="3"/>
      <c r="CC390" s="3"/>
      <c r="CD390" s="3"/>
      <c r="CE390" s="3"/>
      <c r="CF390" s="3"/>
      <c r="CG390" s="3"/>
      <c r="CH390" s="3"/>
      <c r="CI390" s="3"/>
      <c r="CJ390" s="3"/>
      <c r="CK390" s="3"/>
      <c r="CL390" s="3"/>
      <c r="CM390" s="3"/>
      <c r="CN390" s="3"/>
      <c r="CO390" s="3"/>
      <c r="CP390" s="3"/>
      <c r="CQ390" s="4"/>
      <c r="CR390" s="4"/>
      <c r="CS390" s="4"/>
      <c r="CT390" s="4"/>
      <c r="CU390" s="4"/>
      <c r="CV390" s="4"/>
    </row>
    <row r="391" spans="1:100"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c r="BN391" s="3"/>
      <c r="BO391" s="3"/>
      <c r="BP391" s="3"/>
      <c r="BQ391" s="3"/>
      <c r="BR391" s="3"/>
      <c r="BS391" s="3"/>
      <c r="BT391" s="3"/>
      <c r="BU391" s="3"/>
      <c r="BV391" s="3"/>
      <c r="BW391" s="3"/>
      <c r="BX391" s="3"/>
      <c r="BY391" s="3"/>
      <c r="BZ391" s="3"/>
      <c r="CA391" s="3"/>
      <c r="CB391" s="3"/>
      <c r="CC391" s="3"/>
      <c r="CD391" s="3"/>
      <c r="CE391" s="3"/>
      <c r="CF391" s="3"/>
      <c r="CG391" s="3"/>
      <c r="CH391" s="3"/>
      <c r="CI391" s="3"/>
      <c r="CJ391" s="3"/>
      <c r="CK391" s="3"/>
      <c r="CL391" s="3"/>
      <c r="CM391" s="3"/>
      <c r="CN391" s="3"/>
      <c r="CO391" s="3"/>
      <c r="CP391" s="3"/>
      <c r="CQ391" s="4"/>
      <c r="CR391" s="4"/>
      <c r="CS391" s="4"/>
      <c r="CT391" s="4"/>
      <c r="CU391" s="4"/>
      <c r="CV391" s="4"/>
    </row>
    <row r="392" spans="1:100"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c r="BN392" s="3"/>
      <c r="BO392" s="3"/>
      <c r="BP392" s="3"/>
      <c r="BQ392" s="3"/>
      <c r="BR392" s="3"/>
      <c r="BS392" s="3"/>
      <c r="BT392" s="3"/>
      <c r="BU392" s="3"/>
      <c r="BV392" s="3"/>
      <c r="BW392" s="3"/>
      <c r="BX392" s="3"/>
      <c r="BY392" s="3"/>
      <c r="BZ392" s="3"/>
      <c r="CA392" s="3"/>
      <c r="CB392" s="3"/>
      <c r="CC392" s="3"/>
      <c r="CD392" s="3"/>
      <c r="CE392" s="3"/>
      <c r="CF392" s="3"/>
      <c r="CG392" s="3"/>
      <c r="CH392" s="3"/>
      <c r="CI392" s="3"/>
      <c r="CJ392" s="3"/>
      <c r="CK392" s="3"/>
      <c r="CL392" s="3"/>
      <c r="CM392" s="3"/>
      <c r="CN392" s="3"/>
      <c r="CO392" s="3"/>
      <c r="CP392" s="3"/>
      <c r="CQ392" s="4"/>
      <c r="CR392" s="4"/>
      <c r="CS392" s="4"/>
      <c r="CT392" s="4"/>
      <c r="CU392" s="4"/>
      <c r="CV392" s="4"/>
    </row>
    <row r="393" spans="1:100"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c r="BN393" s="3"/>
      <c r="BO393" s="3"/>
      <c r="BP393" s="3"/>
      <c r="BQ393" s="3"/>
      <c r="BR393" s="3"/>
      <c r="BS393" s="3"/>
      <c r="BT393" s="3"/>
      <c r="BU393" s="3"/>
      <c r="BV393" s="3"/>
      <c r="BW393" s="3"/>
      <c r="BX393" s="3"/>
      <c r="BY393" s="3"/>
      <c r="BZ393" s="3"/>
      <c r="CA393" s="3"/>
      <c r="CB393" s="3"/>
      <c r="CC393" s="3"/>
      <c r="CD393" s="3"/>
      <c r="CE393" s="3"/>
      <c r="CF393" s="3"/>
      <c r="CG393" s="3"/>
      <c r="CH393" s="3"/>
      <c r="CI393" s="3"/>
      <c r="CJ393" s="3"/>
      <c r="CK393" s="3"/>
      <c r="CL393" s="3"/>
      <c r="CM393" s="3"/>
      <c r="CN393" s="3"/>
      <c r="CO393" s="3"/>
      <c r="CP393" s="3"/>
      <c r="CQ393" s="4"/>
      <c r="CR393" s="4"/>
      <c r="CS393" s="4"/>
      <c r="CT393" s="4"/>
      <c r="CU393" s="4"/>
      <c r="CV393" s="4"/>
    </row>
    <row r="394" spans="1:100"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c r="BN394" s="3"/>
      <c r="BO394" s="3"/>
      <c r="BP394" s="3"/>
      <c r="BQ394" s="3"/>
      <c r="BR394" s="3"/>
      <c r="BS394" s="3"/>
      <c r="BT394" s="3"/>
      <c r="BU394" s="3"/>
      <c r="BV394" s="3"/>
      <c r="BW394" s="3"/>
      <c r="BX394" s="3"/>
      <c r="BY394" s="3"/>
      <c r="BZ394" s="3"/>
      <c r="CA394" s="3"/>
      <c r="CB394" s="3"/>
      <c r="CC394" s="3"/>
      <c r="CD394" s="3"/>
      <c r="CE394" s="3"/>
      <c r="CF394" s="3"/>
      <c r="CG394" s="3"/>
      <c r="CH394" s="3"/>
      <c r="CI394" s="3"/>
      <c r="CJ394" s="3"/>
      <c r="CK394" s="3"/>
      <c r="CL394" s="3"/>
      <c r="CM394" s="3"/>
      <c r="CN394" s="3"/>
      <c r="CO394" s="3"/>
      <c r="CP394" s="3"/>
      <c r="CQ394" s="4"/>
      <c r="CR394" s="4"/>
      <c r="CS394" s="4"/>
      <c r="CT394" s="4"/>
      <c r="CU394" s="4"/>
      <c r="CV394" s="4"/>
    </row>
    <row r="395" spans="1:100"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c r="BN395" s="3"/>
      <c r="BO395" s="3"/>
      <c r="BP395" s="3"/>
      <c r="BQ395" s="3"/>
      <c r="BR395" s="3"/>
      <c r="BS395" s="3"/>
      <c r="BT395" s="3"/>
      <c r="BU395" s="3"/>
      <c r="BV395" s="3"/>
      <c r="BW395" s="3"/>
      <c r="BX395" s="3"/>
      <c r="BY395" s="3"/>
      <c r="BZ395" s="3"/>
      <c r="CA395" s="3"/>
      <c r="CB395" s="3"/>
      <c r="CC395" s="3"/>
      <c r="CD395" s="3"/>
      <c r="CE395" s="3"/>
      <c r="CF395" s="3"/>
      <c r="CG395" s="3"/>
      <c r="CH395" s="3"/>
      <c r="CI395" s="3"/>
      <c r="CJ395" s="3"/>
      <c r="CK395" s="3"/>
      <c r="CL395" s="3"/>
      <c r="CM395" s="3"/>
      <c r="CN395" s="3"/>
      <c r="CO395" s="3"/>
      <c r="CP395" s="3"/>
      <c r="CQ395" s="4"/>
      <c r="CR395" s="4"/>
      <c r="CS395" s="4"/>
      <c r="CT395" s="4"/>
      <c r="CU395" s="4"/>
      <c r="CV395" s="4"/>
    </row>
    <row r="396" spans="1:100"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c r="BN396" s="3"/>
      <c r="BO396" s="3"/>
      <c r="BP396" s="3"/>
      <c r="BQ396" s="3"/>
      <c r="BR396" s="3"/>
      <c r="BS396" s="3"/>
      <c r="BT396" s="3"/>
      <c r="BU396" s="3"/>
      <c r="BV396" s="3"/>
      <c r="BW396" s="3"/>
      <c r="BX396" s="3"/>
      <c r="BY396" s="3"/>
      <c r="BZ396" s="3"/>
      <c r="CA396" s="3"/>
      <c r="CB396" s="3"/>
      <c r="CC396" s="3"/>
      <c r="CD396" s="3"/>
      <c r="CE396" s="3"/>
      <c r="CF396" s="3"/>
      <c r="CG396" s="3"/>
      <c r="CH396" s="3"/>
      <c r="CI396" s="3"/>
      <c r="CJ396" s="3"/>
      <c r="CK396" s="3"/>
      <c r="CL396" s="3"/>
      <c r="CM396" s="3"/>
      <c r="CN396" s="3"/>
      <c r="CO396" s="3"/>
      <c r="CP396" s="3"/>
      <c r="CQ396" s="4"/>
      <c r="CR396" s="4"/>
      <c r="CS396" s="4"/>
      <c r="CT396" s="4"/>
      <c r="CU396" s="4"/>
      <c r="CV396" s="4"/>
    </row>
    <row r="397" spans="1:100"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c r="BN397" s="3"/>
      <c r="BO397" s="3"/>
      <c r="BP397" s="3"/>
      <c r="BQ397" s="3"/>
      <c r="BR397" s="3"/>
      <c r="BS397" s="3"/>
      <c r="BT397" s="3"/>
      <c r="BU397" s="3"/>
      <c r="BV397" s="3"/>
      <c r="BW397" s="3"/>
      <c r="BX397" s="3"/>
      <c r="BY397" s="3"/>
      <c r="BZ397" s="3"/>
      <c r="CA397" s="3"/>
      <c r="CB397" s="3"/>
      <c r="CC397" s="3"/>
      <c r="CD397" s="3"/>
      <c r="CE397" s="3"/>
      <c r="CF397" s="3"/>
      <c r="CG397" s="3"/>
      <c r="CH397" s="3"/>
      <c r="CI397" s="3"/>
      <c r="CJ397" s="3"/>
      <c r="CK397" s="3"/>
      <c r="CL397" s="3"/>
      <c r="CM397" s="3"/>
      <c r="CN397" s="3"/>
      <c r="CO397" s="3"/>
      <c r="CP397" s="3"/>
      <c r="CQ397" s="4"/>
      <c r="CR397" s="4"/>
      <c r="CS397" s="4"/>
      <c r="CT397" s="4"/>
      <c r="CU397" s="4"/>
      <c r="CV397" s="4"/>
    </row>
    <row r="398" spans="1:100"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c r="BN398" s="3"/>
      <c r="BO398" s="3"/>
      <c r="BP398" s="3"/>
      <c r="BQ398" s="3"/>
      <c r="BR398" s="3"/>
      <c r="BS398" s="3"/>
      <c r="BT398" s="3"/>
      <c r="BU398" s="3"/>
      <c r="BV398" s="3"/>
      <c r="BW398" s="3"/>
      <c r="BX398" s="3"/>
      <c r="BY398" s="3"/>
      <c r="BZ398" s="3"/>
      <c r="CA398" s="3"/>
      <c r="CB398" s="3"/>
      <c r="CC398" s="3"/>
      <c r="CD398" s="3"/>
      <c r="CE398" s="3"/>
      <c r="CF398" s="3"/>
      <c r="CG398" s="3"/>
      <c r="CH398" s="3"/>
      <c r="CI398" s="3"/>
      <c r="CJ398" s="3"/>
      <c r="CK398" s="3"/>
      <c r="CL398" s="3"/>
      <c r="CM398" s="3"/>
      <c r="CN398" s="3"/>
      <c r="CO398" s="3"/>
      <c r="CP398" s="3"/>
      <c r="CQ398" s="4"/>
      <c r="CR398" s="4"/>
      <c r="CS398" s="4"/>
      <c r="CT398" s="4"/>
      <c r="CU398" s="4"/>
      <c r="CV398" s="4"/>
    </row>
    <row r="399" spans="1:100"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c r="BN399" s="3"/>
      <c r="BO399" s="3"/>
      <c r="BP399" s="3"/>
      <c r="BQ399" s="3"/>
      <c r="BR399" s="3"/>
      <c r="BS399" s="3"/>
      <c r="BT399" s="3"/>
      <c r="BU399" s="3"/>
      <c r="BV399" s="3"/>
      <c r="BW399" s="3"/>
      <c r="BX399" s="3"/>
      <c r="BY399" s="3"/>
      <c r="BZ399" s="3"/>
      <c r="CA399" s="3"/>
      <c r="CB399" s="3"/>
      <c r="CC399" s="3"/>
      <c r="CD399" s="3"/>
      <c r="CE399" s="3"/>
      <c r="CF399" s="3"/>
      <c r="CG399" s="3"/>
      <c r="CH399" s="3"/>
      <c r="CI399" s="3"/>
      <c r="CJ399" s="3"/>
      <c r="CK399" s="3"/>
      <c r="CL399" s="3"/>
      <c r="CM399" s="3"/>
      <c r="CN399" s="3"/>
      <c r="CO399" s="3"/>
      <c r="CP399" s="3"/>
      <c r="CQ399" s="4"/>
      <c r="CR399" s="4"/>
      <c r="CS399" s="4"/>
      <c r="CT399" s="4"/>
      <c r="CU399" s="4"/>
      <c r="CV399" s="4"/>
    </row>
    <row r="400" spans="1:100"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c r="BN400" s="3"/>
      <c r="BO400" s="3"/>
      <c r="BP400" s="3"/>
      <c r="BQ400" s="3"/>
      <c r="BR400" s="3"/>
      <c r="BS400" s="3"/>
      <c r="BT400" s="3"/>
      <c r="BU400" s="3"/>
      <c r="BV400" s="3"/>
      <c r="BW400" s="3"/>
      <c r="BX400" s="3"/>
      <c r="BY400" s="3"/>
      <c r="BZ400" s="3"/>
      <c r="CA400" s="3"/>
      <c r="CB400" s="3"/>
      <c r="CC400" s="3"/>
      <c r="CD400" s="3"/>
      <c r="CE400" s="3"/>
      <c r="CF400" s="3"/>
      <c r="CG400" s="3"/>
      <c r="CH400" s="3"/>
      <c r="CI400" s="3"/>
      <c r="CJ400" s="3"/>
      <c r="CK400" s="3"/>
      <c r="CL400" s="3"/>
      <c r="CM400" s="3"/>
      <c r="CN400" s="3"/>
      <c r="CO400" s="3"/>
      <c r="CP400" s="3"/>
      <c r="CQ400" s="4"/>
      <c r="CR400" s="4"/>
      <c r="CS400" s="4"/>
      <c r="CT400" s="4"/>
      <c r="CU400" s="4"/>
      <c r="CV400" s="4"/>
    </row>
    <row r="401" spans="1:100"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c r="BN401" s="3"/>
      <c r="BO401" s="3"/>
      <c r="BP401" s="3"/>
      <c r="BQ401" s="3"/>
      <c r="BR401" s="3"/>
      <c r="BS401" s="3"/>
      <c r="BT401" s="3"/>
      <c r="BU401" s="3"/>
      <c r="BV401" s="3"/>
      <c r="BW401" s="3"/>
      <c r="BX401" s="3"/>
      <c r="BY401" s="3"/>
      <c r="BZ401" s="3"/>
      <c r="CA401" s="3"/>
      <c r="CB401" s="3"/>
      <c r="CC401" s="3"/>
      <c r="CD401" s="3"/>
      <c r="CE401" s="3"/>
      <c r="CF401" s="3"/>
      <c r="CG401" s="3"/>
      <c r="CH401" s="3"/>
      <c r="CI401" s="3"/>
      <c r="CJ401" s="3"/>
      <c r="CK401" s="3"/>
      <c r="CL401" s="3"/>
      <c r="CM401" s="3"/>
      <c r="CN401" s="3"/>
      <c r="CO401" s="3"/>
      <c r="CP401" s="3"/>
      <c r="CQ401" s="4"/>
      <c r="CR401" s="4"/>
      <c r="CS401" s="4"/>
      <c r="CT401" s="4"/>
      <c r="CU401" s="4"/>
      <c r="CV401" s="4"/>
    </row>
    <row r="402" spans="1:100"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c r="BN402" s="3"/>
      <c r="BO402" s="3"/>
      <c r="BP402" s="3"/>
      <c r="BQ402" s="3"/>
      <c r="BR402" s="3"/>
      <c r="BS402" s="3"/>
      <c r="BT402" s="3"/>
      <c r="BU402" s="3"/>
      <c r="BV402" s="3"/>
      <c r="BW402" s="3"/>
      <c r="BX402" s="3"/>
      <c r="BY402" s="3"/>
      <c r="BZ402" s="3"/>
      <c r="CA402" s="3"/>
      <c r="CB402" s="3"/>
      <c r="CC402" s="3"/>
      <c r="CD402" s="3"/>
      <c r="CE402" s="3"/>
      <c r="CF402" s="3"/>
      <c r="CG402" s="3"/>
      <c r="CH402" s="3"/>
      <c r="CI402" s="3"/>
      <c r="CJ402" s="3"/>
      <c r="CK402" s="3"/>
      <c r="CL402" s="3"/>
      <c r="CM402" s="3"/>
      <c r="CN402" s="3"/>
      <c r="CO402" s="3"/>
      <c r="CP402" s="3"/>
      <c r="CQ402" s="4"/>
      <c r="CR402" s="4"/>
      <c r="CS402" s="4"/>
      <c r="CT402" s="4"/>
      <c r="CU402" s="4"/>
      <c r="CV402" s="4"/>
    </row>
    <row r="403" spans="1:100"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c r="BN403" s="3"/>
      <c r="BO403" s="3"/>
      <c r="BP403" s="3"/>
      <c r="BQ403" s="3"/>
      <c r="BR403" s="3"/>
      <c r="BS403" s="3"/>
      <c r="BT403" s="3"/>
      <c r="BU403" s="3"/>
      <c r="BV403" s="3"/>
      <c r="BW403" s="3"/>
      <c r="BX403" s="3"/>
      <c r="BY403" s="3"/>
      <c r="BZ403" s="3"/>
      <c r="CA403" s="3"/>
      <c r="CB403" s="3"/>
      <c r="CC403" s="3"/>
      <c r="CD403" s="3"/>
      <c r="CE403" s="3"/>
      <c r="CF403" s="3"/>
      <c r="CG403" s="3"/>
      <c r="CH403" s="3"/>
      <c r="CI403" s="3"/>
      <c r="CJ403" s="3"/>
      <c r="CK403" s="3"/>
      <c r="CL403" s="3"/>
      <c r="CM403" s="3"/>
      <c r="CN403" s="3"/>
      <c r="CO403" s="3"/>
      <c r="CP403" s="3"/>
      <c r="CQ403" s="4"/>
      <c r="CR403" s="4"/>
      <c r="CS403" s="4"/>
      <c r="CT403" s="4"/>
      <c r="CU403" s="4"/>
      <c r="CV403" s="4"/>
    </row>
    <row r="404" spans="1:100"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c r="BN404" s="3"/>
      <c r="BO404" s="3"/>
      <c r="BP404" s="3"/>
      <c r="BQ404" s="3"/>
      <c r="BR404" s="3"/>
      <c r="BS404" s="3"/>
      <c r="BT404" s="3"/>
      <c r="BU404" s="3"/>
      <c r="BV404" s="3"/>
      <c r="BW404" s="3"/>
      <c r="BX404" s="3"/>
      <c r="BY404" s="3"/>
      <c r="BZ404" s="3"/>
      <c r="CA404" s="3"/>
      <c r="CB404" s="3"/>
      <c r="CC404" s="3"/>
      <c r="CD404" s="3"/>
      <c r="CE404" s="3"/>
      <c r="CF404" s="3"/>
      <c r="CG404" s="3"/>
      <c r="CH404" s="3"/>
      <c r="CI404" s="3"/>
      <c r="CJ404" s="3"/>
      <c r="CK404" s="3"/>
      <c r="CL404" s="3"/>
      <c r="CM404" s="3"/>
      <c r="CN404" s="3"/>
      <c r="CO404" s="3"/>
      <c r="CP404" s="3"/>
      <c r="CQ404" s="4"/>
      <c r="CR404" s="4"/>
      <c r="CS404" s="4"/>
      <c r="CT404" s="4"/>
      <c r="CU404" s="4"/>
      <c r="CV404" s="4"/>
    </row>
    <row r="405" spans="1:100"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c r="BN405" s="3"/>
      <c r="BO405" s="3"/>
      <c r="BP405" s="3"/>
      <c r="BQ405" s="3"/>
      <c r="BR405" s="3"/>
      <c r="BS405" s="3"/>
      <c r="BT405" s="3"/>
      <c r="BU405" s="3"/>
      <c r="BV405" s="3"/>
      <c r="BW405" s="3"/>
      <c r="BX405" s="3"/>
      <c r="BY405" s="3"/>
      <c r="BZ405" s="3"/>
      <c r="CA405" s="3"/>
      <c r="CB405" s="3"/>
      <c r="CC405" s="3"/>
      <c r="CD405" s="3"/>
      <c r="CE405" s="3"/>
      <c r="CF405" s="3"/>
      <c r="CG405" s="3"/>
      <c r="CH405" s="3"/>
      <c r="CI405" s="3"/>
      <c r="CJ405" s="3"/>
      <c r="CK405" s="3"/>
      <c r="CL405" s="3"/>
      <c r="CM405" s="3"/>
      <c r="CN405" s="3"/>
      <c r="CO405" s="3"/>
      <c r="CP405" s="3"/>
      <c r="CQ405" s="4"/>
      <c r="CR405" s="4"/>
      <c r="CS405" s="4"/>
      <c r="CT405" s="4"/>
      <c r="CU405" s="4"/>
      <c r="CV405" s="4"/>
    </row>
    <row r="406" spans="1:100"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c r="BN406" s="3"/>
      <c r="BO406" s="3"/>
      <c r="BP406" s="3"/>
      <c r="BQ406" s="3"/>
      <c r="BR406" s="3"/>
      <c r="BS406" s="3"/>
      <c r="BT406" s="3"/>
      <c r="BU406" s="3"/>
      <c r="BV406" s="3"/>
      <c r="BW406" s="3"/>
      <c r="BX406" s="3"/>
      <c r="BY406" s="3"/>
      <c r="BZ406" s="3"/>
      <c r="CA406" s="3"/>
      <c r="CB406" s="3"/>
      <c r="CC406" s="3"/>
      <c r="CD406" s="3"/>
      <c r="CE406" s="3"/>
      <c r="CF406" s="3"/>
      <c r="CG406" s="3"/>
      <c r="CH406" s="3"/>
      <c r="CI406" s="3"/>
      <c r="CJ406" s="3"/>
      <c r="CK406" s="3"/>
      <c r="CL406" s="3"/>
      <c r="CM406" s="3"/>
      <c r="CN406" s="3"/>
      <c r="CO406" s="3"/>
      <c r="CP406" s="3"/>
      <c r="CQ406" s="4"/>
      <c r="CR406" s="4"/>
      <c r="CS406" s="4"/>
      <c r="CT406" s="4"/>
      <c r="CU406" s="4"/>
      <c r="CV406" s="4"/>
    </row>
    <row r="407" spans="1:100"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c r="BN407" s="3"/>
      <c r="BO407" s="3"/>
      <c r="BP407" s="3"/>
      <c r="BQ407" s="3"/>
      <c r="BR407" s="3"/>
      <c r="BS407" s="3"/>
      <c r="BT407" s="3"/>
      <c r="BU407" s="3"/>
      <c r="BV407" s="3"/>
      <c r="BW407" s="3"/>
      <c r="BX407" s="3"/>
      <c r="BY407" s="3"/>
      <c r="BZ407" s="3"/>
      <c r="CA407" s="3"/>
      <c r="CB407" s="3"/>
      <c r="CC407" s="3"/>
      <c r="CD407" s="3"/>
      <c r="CE407" s="3"/>
      <c r="CF407" s="3"/>
      <c r="CG407" s="3"/>
      <c r="CH407" s="3"/>
      <c r="CI407" s="3"/>
      <c r="CJ407" s="3"/>
      <c r="CK407" s="3"/>
      <c r="CL407" s="3"/>
      <c r="CM407" s="3"/>
      <c r="CN407" s="3"/>
      <c r="CO407" s="3"/>
      <c r="CP407" s="3"/>
      <c r="CQ407" s="4"/>
      <c r="CR407" s="4"/>
      <c r="CS407" s="4"/>
      <c r="CT407" s="4"/>
      <c r="CU407" s="4"/>
      <c r="CV407" s="4"/>
    </row>
    <row r="408" spans="1:100"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c r="BN408" s="3"/>
      <c r="BO408" s="3"/>
      <c r="BP408" s="3"/>
      <c r="BQ408" s="3"/>
      <c r="BR408" s="3"/>
      <c r="BS408" s="3"/>
      <c r="BT408" s="3"/>
      <c r="BU408" s="3"/>
      <c r="BV408" s="3"/>
      <c r="BW408" s="3"/>
      <c r="BX408" s="3"/>
      <c r="BY408" s="3"/>
      <c r="BZ408" s="3"/>
      <c r="CA408" s="3"/>
      <c r="CB408" s="3"/>
      <c r="CC408" s="3"/>
      <c r="CD408" s="3"/>
      <c r="CE408" s="3"/>
      <c r="CF408" s="3"/>
      <c r="CG408" s="3"/>
      <c r="CH408" s="3"/>
      <c r="CI408" s="3"/>
      <c r="CJ408" s="3"/>
      <c r="CK408" s="3"/>
      <c r="CL408" s="3"/>
      <c r="CM408" s="3"/>
      <c r="CN408" s="3"/>
      <c r="CO408" s="3"/>
      <c r="CP408" s="3"/>
      <c r="CQ408" s="4"/>
      <c r="CR408" s="4"/>
      <c r="CS408" s="4"/>
      <c r="CT408" s="4"/>
      <c r="CU408" s="4"/>
      <c r="CV408" s="4"/>
    </row>
    <row r="409" spans="1:100"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c r="BN409" s="3"/>
      <c r="BO409" s="3"/>
      <c r="BP409" s="3"/>
      <c r="BQ409" s="3"/>
      <c r="BR409" s="3"/>
      <c r="BS409" s="3"/>
      <c r="BT409" s="3"/>
      <c r="BU409" s="3"/>
      <c r="BV409" s="3"/>
      <c r="BW409" s="3"/>
      <c r="BX409" s="3"/>
      <c r="BY409" s="3"/>
      <c r="BZ409" s="3"/>
      <c r="CA409" s="3"/>
      <c r="CB409" s="3"/>
      <c r="CC409" s="3"/>
      <c r="CD409" s="3"/>
      <c r="CE409" s="3"/>
      <c r="CF409" s="3"/>
      <c r="CG409" s="3"/>
      <c r="CH409" s="3"/>
      <c r="CI409" s="3"/>
      <c r="CJ409" s="3"/>
      <c r="CK409" s="3"/>
      <c r="CL409" s="3"/>
      <c r="CM409" s="3"/>
      <c r="CN409" s="3"/>
      <c r="CO409" s="3"/>
      <c r="CP409" s="3"/>
      <c r="CQ409" s="4"/>
      <c r="CR409" s="4"/>
      <c r="CS409" s="4"/>
      <c r="CT409" s="4"/>
      <c r="CU409" s="4"/>
      <c r="CV409" s="4"/>
    </row>
    <row r="410" spans="1:100"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c r="BN410" s="3"/>
      <c r="BO410" s="3"/>
      <c r="BP410" s="3"/>
      <c r="BQ410" s="3"/>
      <c r="BR410" s="3"/>
      <c r="BS410" s="3"/>
      <c r="BT410" s="3"/>
      <c r="BU410" s="3"/>
      <c r="BV410" s="3"/>
      <c r="BW410" s="3"/>
      <c r="BX410" s="3"/>
      <c r="BY410" s="3"/>
      <c r="BZ410" s="3"/>
      <c r="CA410" s="3"/>
      <c r="CB410" s="3"/>
      <c r="CC410" s="3"/>
      <c r="CD410" s="3"/>
      <c r="CE410" s="3"/>
      <c r="CF410" s="3"/>
      <c r="CG410" s="3"/>
      <c r="CH410" s="3"/>
      <c r="CI410" s="3"/>
      <c r="CJ410" s="3"/>
      <c r="CK410" s="3"/>
      <c r="CL410" s="3"/>
      <c r="CM410" s="3"/>
      <c r="CN410" s="3"/>
      <c r="CO410" s="3"/>
      <c r="CP410" s="3"/>
      <c r="CQ410" s="4"/>
      <c r="CR410" s="4"/>
      <c r="CS410" s="4"/>
      <c r="CT410" s="4"/>
      <c r="CU410" s="4"/>
      <c r="CV410" s="4"/>
    </row>
    <row r="411" spans="1:100"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c r="BN411" s="3"/>
      <c r="BO411" s="3"/>
      <c r="BP411" s="3"/>
      <c r="BQ411" s="3"/>
      <c r="BR411" s="3"/>
      <c r="BS411" s="3"/>
      <c r="BT411" s="3"/>
      <c r="BU411" s="3"/>
      <c r="BV411" s="3"/>
      <c r="BW411" s="3"/>
      <c r="BX411" s="3"/>
      <c r="BY411" s="3"/>
      <c r="BZ411" s="3"/>
      <c r="CA411" s="3"/>
      <c r="CB411" s="3"/>
      <c r="CC411" s="3"/>
      <c r="CD411" s="3"/>
      <c r="CE411" s="3"/>
      <c r="CF411" s="3"/>
      <c r="CG411" s="3"/>
      <c r="CH411" s="3"/>
      <c r="CI411" s="3"/>
      <c r="CJ411" s="3"/>
      <c r="CK411" s="3"/>
      <c r="CL411" s="3"/>
      <c r="CM411" s="3"/>
      <c r="CN411" s="3"/>
      <c r="CO411" s="3"/>
      <c r="CP411" s="3"/>
      <c r="CQ411" s="4"/>
      <c r="CR411" s="4"/>
      <c r="CS411" s="4"/>
      <c r="CT411" s="4"/>
      <c r="CU411" s="4"/>
      <c r="CV411" s="4"/>
    </row>
    <row r="412" spans="1:100"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c r="BN412" s="3"/>
      <c r="BO412" s="3"/>
      <c r="BP412" s="3"/>
      <c r="BQ412" s="3"/>
      <c r="BR412" s="3"/>
      <c r="BS412" s="3"/>
      <c r="BT412" s="3"/>
      <c r="BU412" s="3"/>
      <c r="BV412" s="3"/>
      <c r="BW412" s="3"/>
      <c r="BX412" s="3"/>
      <c r="BY412" s="3"/>
      <c r="BZ412" s="3"/>
      <c r="CA412" s="3"/>
      <c r="CB412" s="3"/>
      <c r="CC412" s="3"/>
      <c r="CD412" s="3"/>
      <c r="CE412" s="3"/>
      <c r="CF412" s="3"/>
      <c r="CG412" s="3"/>
      <c r="CH412" s="3"/>
      <c r="CI412" s="3"/>
      <c r="CJ412" s="3"/>
      <c r="CK412" s="3"/>
      <c r="CL412" s="3"/>
      <c r="CM412" s="3"/>
      <c r="CN412" s="3"/>
      <c r="CO412" s="3"/>
      <c r="CP412" s="3"/>
      <c r="CQ412" s="4"/>
      <c r="CR412" s="4"/>
      <c r="CS412" s="4"/>
      <c r="CT412" s="4"/>
      <c r="CU412" s="4"/>
      <c r="CV412" s="4"/>
    </row>
    <row r="413" spans="1:100"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c r="BN413" s="3"/>
      <c r="BO413" s="3"/>
      <c r="BP413" s="3"/>
      <c r="BQ413" s="3"/>
      <c r="BR413" s="3"/>
      <c r="BS413" s="3"/>
      <c r="BT413" s="3"/>
      <c r="BU413" s="3"/>
      <c r="BV413" s="3"/>
      <c r="BW413" s="3"/>
      <c r="BX413" s="3"/>
      <c r="BY413" s="3"/>
      <c r="BZ413" s="3"/>
      <c r="CA413" s="3"/>
      <c r="CB413" s="3"/>
      <c r="CC413" s="3"/>
      <c r="CD413" s="3"/>
      <c r="CE413" s="3"/>
      <c r="CF413" s="3"/>
      <c r="CG413" s="3"/>
      <c r="CH413" s="3"/>
      <c r="CI413" s="3"/>
      <c r="CJ413" s="3"/>
      <c r="CK413" s="3"/>
      <c r="CL413" s="3"/>
      <c r="CM413" s="3"/>
      <c r="CN413" s="3"/>
      <c r="CO413" s="3"/>
      <c r="CP413" s="3"/>
      <c r="CQ413" s="4"/>
      <c r="CR413" s="4"/>
      <c r="CS413" s="4"/>
      <c r="CT413" s="4"/>
      <c r="CU413" s="4"/>
      <c r="CV413" s="4"/>
    </row>
    <row r="414" spans="1:100"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c r="BN414" s="3"/>
      <c r="BO414" s="3"/>
      <c r="BP414" s="3"/>
      <c r="BQ414" s="3"/>
      <c r="BR414" s="3"/>
      <c r="BS414" s="3"/>
      <c r="BT414" s="3"/>
      <c r="BU414" s="3"/>
      <c r="BV414" s="3"/>
      <c r="BW414" s="3"/>
      <c r="BX414" s="3"/>
      <c r="BY414" s="3"/>
      <c r="BZ414" s="3"/>
      <c r="CA414" s="3"/>
      <c r="CB414" s="3"/>
      <c r="CC414" s="3"/>
      <c r="CD414" s="3"/>
      <c r="CE414" s="3"/>
      <c r="CF414" s="3"/>
      <c r="CG414" s="3"/>
      <c r="CH414" s="3"/>
      <c r="CI414" s="3"/>
      <c r="CJ414" s="3"/>
      <c r="CK414" s="3"/>
      <c r="CL414" s="3"/>
      <c r="CM414" s="3"/>
      <c r="CN414" s="3"/>
      <c r="CO414" s="3"/>
      <c r="CP414" s="3"/>
      <c r="CQ414" s="4"/>
      <c r="CR414" s="4"/>
      <c r="CS414" s="4"/>
      <c r="CT414" s="4"/>
      <c r="CU414" s="4"/>
      <c r="CV414" s="4"/>
    </row>
    <row r="415" spans="1:100"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c r="BN415" s="3"/>
      <c r="BO415" s="3"/>
      <c r="BP415" s="3"/>
      <c r="BQ415" s="3"/>
      <c r="BR415" s="3"/>
      <c r="BS415" s="3"/>
      <c r="BT415" s="3"/>
      <c r="BU415" s="3"/>
      <c r="BV415" s="3"/>
      <c r="BW415" s="3"/>
      <c r="BX415" s="3"/>
      <c r="BY415" s="3"/>
      <c r="BZ415" s="3"/>
      <c r="CA415" s="3"/>
      <c r="CB415" s="3"/>
      <c r="CC415" s="3"/>
      <c r="CD415" s="3"/>
      <c r="CE415" s="3"/>
      <c r="CF415" s="3"/>
      <c r="CG415" s="3"/>
      <c r="CH415" s="3"/>
      <c r="CI415" s="3"/>
      <c r="CJ415" s="3"/>
      <c r="CK415" s="3"/>
      <c r="CL415" s="3"/>
      <c r="CM415" s="3"/>
      <c r="CN415" s="3"/>
      <c r="CO415" s="3"/>
      <c r="CP415" s="3"/>
      <c r="CQ415" s="4"/>
      <c r="CR415" s="4"/>
      <c r="CS415" s="4"/>
      <c r="CT415" s="4"/>
      <c r="CU415" s="4"/>
      <c r="CV415" s="4"/>
    </row>
    <row r="416" spans="1:100"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c r="BN416" s="3"/>
      <c r="BO416" s="3"/>
      <c r="BP416" s="3"/>
      <c r="BQ416" s="3"/>
      <c r="BR416" s="3"/>
      <c r="BS416" s="3"/>
      <c r="BT416" s="3"/>
      <c r="BU416" s="3"/>
      <c r="BV416" s="3"/>
      <c r="BW416" s="3"/>
      <c r="BX416" s="3"/>
      <c r="BY416" s="3"/>
      <c r="BZ416" s="3"/>
      <c r="CA416" s="3"/>
      <c r="CB416" s="3"/>
      <c r="CC416" s="3"/>
      <c r="CD416" s="3"/>
      <c r="CE416" s="3"/>
      <c r="CF416" s="3"/>
      <c r="CG416" s="3"/>
      <c r="CH416" s="3"/>
      <c r="CI416" s="3"/>
      <c r="CJ416" s="3"/>
      <c r="CK416" s="3"/>
      <c r="CL416" s="3"/>
      <c r="CM416" s="3"/>
      <c r="CN416" s="3"/>
      <c r="CO416" s="3"/>
      <c r="CP416" s="3"/>
      <c r="CQ416" s="4"/>
      <c r="CR416" s="4"/>
      <c r="CS416" s="4"/>
      <c r="CT416" s="4"/>
      <c r="CU416" s="4"/>
      <c r="CV416" s="4"/>
    </row>
    <row r="417" spans="1:100"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c r="BM417" s="3"/>
      <c r="BN417" s="3"/>
      <c r="BO417" s="3"/>
      <c r="BP417" s="3"/>
      <c r="BQ417" s="3"/>
      <c r="BR417" s="3"/>
      <c r="BS417" s="3"/>
      <c r="BT417" s="3"/>
      <c r="BU417" s="3"/>
      <c r="BV417" s="3"/>
      <c r="BW417" s="3"/>
      <c r="BX417" s="3"/>
      <c r="BY417" s="3"/>
      <c r="BZ417" s="3"/>
      <c r="CA417" s="3"/>
      <c r="CB417" s="3"/>
      <c r="CC417" s="3"/>
      <c r="CD417" s="3"/>
      <c r="CE417" s="3"/>
      <c r="CF417" s="3"/>
      <c r="CG417" s="3"/>
      <c r="CH417" s="3"/>
      <c r="CI417" s="3"/>
      <c r="CJ417" s="3"/>
      <c r="CK417" s="3"/>
      <c r="CL417" s="3"/>
      <c r="CM417" s="3"/>
      <c r="CN417" s="3"/>
      <c r="CO417" s="3"/>
      <c r="CP417" s="3"/>
      <c r="CQ417" s="4"/>
      <c r="CR417" s="4"/>
      <c r="CS417" s="4"/>
      <c r="CT417" s="4"/>
      <c r="CU417" s="4"/>
      <c r="CV417" s="4"/>
    </row>
    <row r="418" spans="1:100"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c r="BN418" s="3"/>
      <c r="BO418" s="3"/>
      <c r="BP418" s="3"/>
      <c r="BQ418" s="3"/>
      <c r="BR418" s="3"/>
      <c r="BS418" s="3"/>
      <c r="BT418" s="3"/>
      <c r="BU418" s="3"/>
      <c r="BV418" s="3"/>
      <c r="BW418" s="3"/>
      <c r="BX418" s="3"/>
      <c r="BY418" s="3"/>
      <c r="BZ418" s="3"/>
      <c r="CA418" s="3"/>
      <c r="CB418" s="3"/>
      <c r="CC418" s="3"/>
      <c r="CD418" s="3"/>
      <c r="CE418" s="3"/>
      <c r="CF418" s="3"/>
      <c r="CG418" s="3"/>
      <c r="CH418" s="3"/>
      <c r="CI418" s="3"/>
      <c r="CJ418" s="3"/>
      <c r="CK418" s="3"/>
      <c r="CL418" s="3"/>
      <c r="CM418" s="3"/>
      <c r="CN418" s="3"/>
      <c r="CO418" s="3"/>
      <c r="CP418" s="3"/>
      <c r="CQ418" s="4"/>
      <c r="CR418" s="4"/>
      <c r="CS418" s="4"/>
      <c r="CT418" s="4"/>
      <c r="CU418" s="4"/>
      <c r="CV418" s="4"/>
    </row>
    <row r="419" spans="1:100"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c r="BN419" s="3"/>
      <c r="BO419" s="3"/>
      <c r="BP419" s="3"/>
      <c r="BQ419" s="3"/>
      <c r="BR419" s="3"/>
      <c r="BS419" s="3"/>
      <c r="BT419" s="3"/>
      <c r="BU419" s="3"/>
      <c r="BV419" s="3"/>
      <c r="BW419" s="3"/>
      <c r="BX419" s="3"/>
      <c r="BY419" s="3"/>
      <c r="BZ419" s="3"/>
      <c r="CA419" s="3"/>
      <c r="CB419" s="3"/>
      <c r="CC419" s="3"/>
      <c r="CD419" s="3"/>
      <c r="CE419" s="3"/>
      <c r="CF419" s="3"/>
      <c r="CG419" s="3"/>
      <c r="CH419" s="3"/>
      <c r="CI419" s="3"/>
      <c r="CJ419" s="3"/>
      <c r="CK419" s="3"/>
      <c r="CL419" s="3"/>
      <c r="CM419" s="3"/>
      <c r="CN419" s="3"/>
      <c r="CO419" s="3"/>
      <c r="CP419" s="3"/>
      <c r="CQ419" s="4"/>
      <c r="CR419" s="4"/>
      <c r="CS419" s="4"/>
      <c r="CT419" s="4"/>
      <c r="CU419" s="4"/>
      <c r="CV419" s="4"/>
    </row>
    <row r="420" spans="1:100"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c r="BN420" s="3"/>
      <c r="BO420" s="3"/>
      <c r="BP420" s="3"/>
      <c r="BQ420" s="3"/>
      <c r="BR420" s="3"/>
      <c r="BS420" s="3"/>
      <c r="BT420" s="3"/>
      <c r="BU420" s="3"/>
      <c r="BV420" s="3"/>
      <c r="BW420" s="3"/>
      <c r="BX420" s="3"/>
      <c r="BY420" s="3"/>
      <c r="BZ420" s="3"/>
      <c r="CA420" s="3"/>
      <c r="CB420" s="3"/>
      <c r="CC420" s="3"/>
      <c r="CD420" s="3"/>
      <c r="CE420" s="3"/>
      <c r="CF420" s="3"/>
      <c r="CG420" s="3"/>
      <c r="CH420" s="3"/>
      <c r="CI420" s="3"/>
      <c r="CJ420" s="3"/>
      <c r="CK420" s="3"/>
      <c r="CL420" s="3"/>
      <c r="CM420" s="3"/>
      <c r="CN420" s="3"/>
      <c r="CO420" s="3"/>
      <c r="CP420" s="3"/>
      <c r="CQ420" s="4"/>
      <c r="CR420" s="4"/>
      <c r="CS420" s="4"/>
      <c r="CT420" s="4"/>
      <c r="CU420" s="4"/>
      <c r="CV420" s="4"/>
    </row>
    <row r="421" spans="1:100"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c r="BN421" s="3"/>
      <c r="BO421" s="3"/>
      <c r="BP421" s="3"/>
      <c r="BQ421" s="3"/>
      <c r="BR421" s="3"/>
      <c r="BS421" s="3"/>
      <c r="BT421" s="3"/>
      <c r="BU421" s="3"/>
      <c r="BV421" s="3"/>
      <c r="BW421" s="3"/>
      <c r="BX421" s="3"/>
      <c r="BY421" s="3"/>
      <c r="BZ421" s="3"/>
      <c r="CA421" s="3"/>
      <c r="CB421" s="3"/>
      <c r="CC421" s="3"/>
      <c r="CD421" s="3"/>
      <c r="CE421" s="3"/>
      <c r="CF421" s="3"/>
      <c r="CG421" s="3"/>
      <c r="CH421" s="3"/>
      <c r="CI421" s="3"/>
      <c r="CJ421" s="3"/>
      <c r="CK421" s="3"/>
      <c r="CL421" s="3"/>
      <c r="CM421" s="3"/>
      <c r="CN421" s="3"/>
      <c r="CO421" s="3"/>
      <c r="CP421" s="3"/>
      <c r="CQ421" s="4"/>
      <c r="CR421" s="4"/>
      <c r="CS421" s="4"/>
      <c r="CT421" s="4"/>
      <c r="CU421" s="4"/>
      <c r="CV421" s="4"/>
    </row>
    <row r="422" spans="1:100"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c r="BN422" s="3"/>
      <c r="BO422" s="3"/>
      <c r="BP422" s="3"/>
      <c r="BQ422" s="3"/>
      <c r="BR422" s="3"/>
      <c r="BS422" s="3"/>
      <c r="BT422" s="3"/>
      <c r="BU422" s="3"/>
      <c r="BV422" s="3"/>
      <c r="BW422" s="3"/>
      <c r="BX422" s="3"/>
      <c r="BY422" s="3"/>
      <c r="BZ422" s="3"/>
      <c r="CA422" s="3"/>
      <c r="CB422" s="3"/>
      <c r="CC422" s="3"/>
      <c r="CD422" s="3"/>
      <c r="CE422" s="3"/>
      <c r="CF422" s="3"/>
      <c r="CG422" s="3"/>
      <c r="CH422" s="3"/>
      <c r="CI422" s="3"/>
      <c r="CJ422" s="3"/>
      <c r="CK422" s="3"/>
      <c r="CL422" s="3"/>
      <c r="CM422" s="3"/>
      <c r="CN422" s="3"/>
      <c r="CO422" s="3"/>
      <c r="CP422" s="3"/>
      <c r="CQ422" s="4"/>
      <c r="CR422" s="4"/>
      <c r="CS422" s="4"/>
      <c r="CT422" s="4"/>
      <c r="CU422" s="4"/>
      <c r="CV422" s="4"/>
    </row>
    <row r="423" spans="1:100"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c r="BN423" s="3"/>
      <c r="BO423" s="3"/>
      <c r="BP423" s="3"/>
      <c r="BQ423" s="3"/>
      <c r="BR423" s="3"/>
      <c r="BS423" s="3"/>
      <c r="BT423" s="3"/>
      <c r="BU423" s="3"/>
      <c r="BV423" s="3"/>
      <c r="BW423" s="3"/>
      <c r="BX423" s="3"/>
      <c r="BY423" s="3"/>
      <c r="BZ423" s="3"/>
      <c r="CA423" s="3"/>
      <c r="CB423" s="3"/>
      <c r="CC423" s="3"/>
      <c r="CD423" s="3"/>
      <c r="CE423" s="3"/>
      <c r="CF423" s="3"/>
      <c r="CG423" s="3"/>
      <c r="CH423" s="3"/>
      <c r="CI423" s="3"/>
      <c r="CJ423" s="3"/>
      <c r="CK423" s="3"/>
      <c r="CL423" s="3"/>
      <c r="CM423" s="3"/>
      <c r="CN423" s="3"/>
      <c r="CO423" s="3"/>
      <c r="CP423" s="3"/>
      <c r="CQ423" s="4"/>
      <c r="CR423" s="4"/>
      <c r="CS423" s="4"/>
      <c r="CT423" s="4"/>
      <c r="CU423" s="4"/>
      <c r="CV423" s="4"/>
    </row>
    <row r="424" spans="1:100"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c r="BN424" s="3"/>
      <c r="BO424" s="3"/>
      <c r="BP424" s="3"/>
      <c r="BQ424" s="3"/>
      <c r="BR424" s="3"/>
      <c r="BS424" s="3"/>
      <c r="BT424" s="3"/>
      <c r="BU424" s="3"/>
      <c r="BV424" s="3"/>
      <c r="BW424" s="3"/>
      <c r="BX424" s="3"/>
      <c r="BY424" s="3"/>
      <c r="BZ424" s="3"/>
      <c r="CA424" s="3"/>
      <c r="CB424" s="3"/>
      <c r="CC424" s="3"/>
      <c r="CD424" s="3"/>
      <c r="CE424" s="3"/>
      <c r="CF424" s="3"/>
      <c r="CG424" s="3"/>
      <c r="CH424" s="3"/>
      <c r="CI424" s="3"/>
      <c r="CJ424" s="3"/>
      <c r="CK424" s="3"/>
      <c r="CL424" s="3"/>
      <c r="CM424" s="3"/>
      <c r="CN424" s="3"/>
      <c r="CO424" s="3"/>
      <c r="CP424" s="3"/>
      <c r="CQ424" s="4"/>
      <c r="CR424" s="4"/>
      <c r="CS424" s="4"/>
      <c r="CT424" s="4"/>
      <c r="CU424" s="4"/>
      <c r="CV424" s="4"/>
    </row>
    <row r="425" spans="1:100"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c r="BN425" s="3"/>
      <c r="BO425" s="3"/>
      <c r="BP425" s="3"/>
      <c r="BQ425" s="3"/>
      <c r="BR425" s="3"/>
      <c r="BS425" s="3"/>
      <c r="BT425" s="3"/>
      <c r="BU425" s="3"/>
      <c r="BV425" s="3"/>
      <c r="BW425" s="3"/>
      <c r="BX425" s="3"/>
      <c r="BY425" s="3"/>
      <c r="BZ425" s="3"/>
      <c r="CA425" s="3"/>
      <c r="CB425" s="3"/>
      <c r="CC425" s="3"/>
      <c r="CD425" s="3"/>
      <c r="CE425" s="3"/>
      <c r="CF425" s="3"/>
      <c r="CG425" s="3"/>
      <c r="CH425" s="3"/>
      <c r="CI425" s="3"/>
      <c r="CJ425" s="3"/>
      <c r="CK425" s="3"/>
      <c r="CL425" s="3"/>
      <c r="CM425" s="3"/>
      <c r="CN425" s="3"/>
      <c r="CO425" s="3"/>
      <c r="CP425" s="3"/>
      <c r="CQ425" s="4"/>
      <c r="CR425" s="4"/>
      <c r="CS425" s="4"/>
      <c r="CT425" s="4"/>
      <c r="CU425" s="4"/>
      <c r="CV425" s="4"/>
    </row>
    <row r="426" spans="1:100"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c r="BN426" s="3"/>
      <c r="BO426" s="3"/>
      <c r="BP426" s="3"/>
      <c r="BQ426" s="3"/>
      <c r="BR426" s="3"/>
      <c r="BS426" s="3"/>
      <c r="BT426" s="3"/>
      <c r="BU426" s="3"/>
      <c r="BV426" s="3"/>
      <c r="BW426" s="3"/>
      <c r="BX426" s="3"/>
      <c r="BY426" s="3"/>
      <c r="BZ426" s="3"/>
      <c r="CA426" s="3"/>
      <c r="CB426" s="3"/>
      <c r="CC426" s="3"/>
      <c r="CD426" s="3"/>
      <c r="CE426" s="3"/>
      <c r="CF426" s="3"/>
      <c r="CG426" s="3"/>
      <c r="CH426" s="3"/>
      <c r="CI426" s="3"/>
      <c r="CJ426" s="3"/>
      <c r="CK426" s="3"/>
      <c r="CL426" s="3"/>
      <c r="CM426" s="3"/>
      <c r="CN426" s="3"/>
      <c r="CO426" s="3"/>
      <c r="CP426" s="3"/>
      <c r="CQ426" s="4"/>
      <c r="CR426" s="4"/>
      <c r="CS426" s="4"/>
      <c r="CT426" s="4"/>
      <c r="CU426" s="4"/>
      <c r="CV426" s="4"/>
    </row>
    <row r="427" spans="1:100"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c r="BN427" s="3"/>
      <c r="BO427" s="3"/>
      <c r="BP427" s="3"/>
      <c r="BQ427" s="3"/>
      <c r="BR427" s="3"/>
      <c r="BS427" s="3"/>
      <c r="BT427" s="3"/>
      <c r="BU427" s="3"/>
      <c r="BV427" s="3"/>
      <c r="BW427" s="3"/>
      <c r="BX427" s="3"/>
      <c r="BY427" s="3"/>
      <c r="BZ427" s="3"/>
      <c r="CA427" s="3"/>
      <c r="CB427" s="3"/>
      <c r="CC427" s="3"/>
      <c r="CD427" s="3"/>
      <c r="CE427" s="3"/>
      <c r="CF427" s="3"/>
      <c r="CG427" s="3"/>
      <c r="CH427" s="3"/>
      <c r="CI427" s="3"/>
      <c r="CJ427" s="3"/>
      <c r="CK427" s="3"/>
      <c r="CL427" s="3"/>
      <c r="CM427" s="3"/>
      <c r="CN427" s="3"/>
      <c r="CO427" s="3"/>
      <c r="CP427" s="3"/>
      <c r="CQ427" s="4"/>
      <c r="CR427" s="4"/>
      <c r="CS427" s="4"/>
      <c r="CT427" s="4"/>
      <c r="CU427" s="4"/>
      <c r="CV427" s="4"/>
    </row>
    <row r="428" spans="1:100"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c r="BN428" s="3"/>
      <c r="BO428" s="3"/>
      <c r="BP428" s="3"/>
      <c r="BQ428" s="3"/>
      <c r="BR428" s="3"/>
      <c r="BS428" s="3"/>
      <c r="BT428" s="3"/>
      <c r="BU428" s="3"/>
      <c r="BV428" s="3"/>
      <c r="BW428" s="3"/>
      <c r="BX428" s="3"/>
      <c r="BY428" s="3"/>
      <c r="BZ428" s="3"/>
      <c r="CA428" s="3"/>
      <c r="CB428" s="3"/>
      <c r="CC428" s="3"/>
      <c r="CD428" s="3"/>
      <c r="CE428" s="3"/>
      <c r="CF428" s="3"/>
      <c r="CG428" s="3"/>
      <c r="CH428" s="3"/>
      <c r="CI428" s="3"/>
      <c r="CJ428" s="3"/>
      <c r="CK428" s="3"/>
      <c r="CL428" s="3"/>
      <c r="CM428" s="3"/>
      <c r="CN428" s="3"/>
      <c r="CO428" s="3"/>
      <c r="CP428" s="3"/>
      <c r="CQ428" s="4"/>
      <c r="CR428" s="4"/>
      <c r="CS428" s="4"/>
      <c r="CT428" s="4"/>
      <c r="CU428" s="4"/>
      <c r="CV428" s="4"/>
    </row>
    <row r="429" spans="1:100"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c r="BN429" s="3"/>
      <c r="BO429" s="3"/>
      <c r="BP429" s="3"/>
      <c r="BQ429" s="3"/>
      <c r="BR429" s="3"/>
      <c r="BS429" s="3"/>
      <c r="BT429" s="3"/>
      <c r="BU429" s="3"/>
      <c r="BV429" s="3"/>
      <c r="BW429" s="3"/>
      <c r="BX429" s="3"/>
      <c r="BY429" s="3"/>
      <c r="BZ429" s="3"/>
      <c r="CA429" s="3"/>
      <c r="CB429" s="3"/>
      <c r="CC429" s="3"/>
      <c r="CD429" s="3"/>
      <c r="CE429" s="3"/>
      <c r="CF429" s="3"/>
      <c r="CG429" s="3"/>
      <c r="CH429" s="3"/>
      <c r="CI429" s="3"/>
      <c r="CJ429" s="3"/>
      <c r="CK429" s="3"/>
      <c r="CL429" s="3"/>
      <c r="CM429" s="3"/>
      <c r="CN429" s="3"/>
      <c r="CO429" s="3"/>
      <c r="CP429" s="3"/>
      <c r="CQ429" s="4"/>
      <c r="CR429" s="4"/>
      <c r="CS429" s="4"/>
      <c r="CT429" s="4"/>
      <c r="CU429" s="4"/>
      <c r="CV429" s="4"/>
    </row>
    <row r="430" spans="1:100"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c r="BN430" s="3"/>
      <c r="BO430" s="3"/>
      <c r="BP430" s="3"/>
      <c r="BQ430" s="3"/>
      <c r="BR430" s="3"/>
      <c r="BS430" s="3"/>
      <c r="BT430" s="3"/>
      <c r="BU430" s="3"/>
      <c r="BV430" s="3"/>
      <c r="BW430" s="3"/>
      <c r="BX430" s="3"/>
      <c r="BY430" s="3"/>
      <c r="BZ430" s="3"/>
      <c r="CA430" s="3"/>
      <c r="CB430" s="3"/>
      <c r="CC430" s="3"/>
      <c r="CD430" s="3"/>
      <c r="CE430" s="3"/>
      <c r="CF430" s="3"/>
      <c r="CG430" s="3"/>
      <c r="CH430" s="3"/>
      <c r="CI430" s="3"/>
      <c r="CJ430" s="3"/>
      <c r="CK430" s="3"/>
      <c r="CL430" s="3"/>
      <c r="CM430" s="3"/>
      <c r="CN430" s="3"/>
      <c r="CO430" s="3"/>
      <c r="CP430" s="3"/>
      <c r="CQ430" s="4"/>
      <c r="CR430" s="4"/>
      <c r="CS430" s="4"/>
      <c r="CT430" s="4"/>
      <c r="CU430" s="4"/>
      <c r="CV430" s="4"/>
    </row>
    <row r="431" spans="1:100"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c r="BN431" s="3"/>
      <c r="BO431" s="3"/>
      <c r="BP431" s="3"/>
      <c r="BQ431" s="3"/>
      <c r="BR431" s="3"/>
      <c r="BS431" s="3"/>
      <c r="BT431" s="3"/>
      <c r="BU431" s="3"/>
      <c r="BV431" s="3"/>
      <c r="BW431" s="3"/>
      <c r="BX431" s="3"/>
      <c r="BY431" s="3"/>
      <c r="BZ431" s="3"/>
      <c r="CA431" s="3"/>
      <c r="CB431" s="3"/>
      <c r="CC431" s="3"/>
      <c r="CD431" s="3"/>
      <c r="CE431" s="3"/>
      <c r="CF431" s="3"/>
      <c r="CG431" s="3"/>
      <c r="CH431" s="3"/>
      <c r="CI431" s="3"/>
      <c r="CJ431" s="3"/>
      <c r="CK431" s="3"/>
      <c r="CL431" s="3"/>
      <c r="CM431" s="3"/>
      <c r="CN431" s="3"/>
      <c r="CO431" s="3"/>
      <c r="CP431" s="3"/>
      <c r="CQ431" s="4"/>
      <c r="CR431" s="4"/>
      <c r="CS431" s="4"/>
      <c r="CT431" s="4"/>
      <c r="CU431" s="4"/>
      <c r="CV431" s="4"/>
    </row>
    <row r="432" spans="1:100"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c r="BM432" s="3"/>
      <c r="BN432" s="3"/>
      <c r="BO432" s="3"/>
      <c r="BP432" s="3"/>
      <c r="BQ432" s="3"/>
      <c r="BR432" s="3"/>
      <c r="BS432" s="3"/>
      <c r="BT432" s="3"/>
      <c r="BU432" s="3"/>
      <c r="BV432" s="3"/>
      <c r="BW432" s="3"/>
      <c r="BX432" s="3"/>
      <c r="BY432" s="3"/>
      <c r="BZ432" s="3"/>
      <c r="CA432" s="3"/>
      <c r="CB432" s="3"/>
      <c r="CC432" s="3"/>
      <c r="CD432" s="3"/>
      <c r="CE432" s="3"/>
      <c r="CF432" s="3"/>
      <c r="CG432" s="3"/>
      <c r="CH432" s="3"/>
      <c r="CI432" s="3"/>
      <c r="CJ432" s="3"/>
      <c r="CK432" s="3"/>
      <c r="CL432" s="3"/>
      <c r="CM432" s="3"/>
      <c r="CN432" s="3"/>
      <c r="CO432" s="3"/>
      <c r="CP432" s="3"/>
      <c r="CQ432" s="4"/>
      <c r="CR432" s="4"/>
      <c r="CS432" s="4"/>
      <c r="CT432" s="4"/>
      <c r="CU432" s="4"/>
      <c r="CV432" s="4"/>
    </row>
    <row r="433" spans="1:100"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c r="BN433" s="3"/>
      <c r="BO433" s="3"/>
      <c r="BP433" s="3"/>
      <c r="BQ433" s="3"/>
      <c r="BR433" s="3"/>
      <c r="BS433" s="3"/>
      <c r="BT433" s="3"/>
      <c r="BU433" s="3"/>
      <c r="BV433" s="3"/>
      <c r="BW433" s="3"/>
      <c r="BX433" s="3"/>
      <c r="BY433" s="3"/>
      <c r="BZ433" s="3"/>
      <c r="CA433" s="3"/>
      <c r="CB433" s="3"/>
      <c r="CC433" s="3"/>
      <c r="CD433" s="3"/>
      <c r="CE433" s="3"/>
      <c r="CF433" s="3"/>
      <c r="CG433" s="3"/>
      <c r="CH433" s="3"/>
      <c r="CI433" s="3"/>
      <c r="CJ433" s="3"/>
      <c r="CK433" s="3"/>
      <c r="CL433" s="3"/>
      <c r="CM433" s="3"/>
      <c r="CN433" s="3"/>
      <c r="CO433" s="3"/>
      <c r="CP433" s="3"/>
      <c r="CQ433" s="4"/>
      <c r="CR433" s="4"/>
      <c r="CS433" s="4"/>
      <c r="CT433" s="4"/>
      <c r="CU433" s="4"/>
      <c r="CV433" s="4"/>
    </row>
    <row r="434" spans="1:100"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c r="BN434" s="3"/>
      <c r="BO434" s="3"/>
      <c r="BP434" s="3"/>
      <c r="BQ434" s="3"/>
      <c r="BR434" s="3"/>
      <c r="BS434" s="3"/>
      <c r="BT434" s="3"/>
      <c r="BU434" s="3"/>
      <c r="BV434" s="3"/>
      <c r="BW434" s="3"/>
      <c r="BX434" s="3"/>
      <c r="BY434" s="3"/>
      <c r="BZ434" s="3"/>
      <c r="CA434" s="3"/>
      <c r="CB434" s="3"/>
      <c r="CC434" s="3"/>
      <c r="CD434" s="3"/>
      <c r="CE434" s="3"/>
      <c r="CF434" s="3"/>
      <c r="CG434" s="3"/>
      <c r="CH434" s="3"/>
      <c r="CI434" s="3"/>
      <c r="CJ434" s="3"/>
      <c r="CK434" s="3"/>
      <c r="CL434" s="3"/>
      <c r="CM434" s="3"/>
      <c r="CN434" s="3"/>
      <c r="CO434" s="3"/>
      <c r="CP434" s="3"/>
      <c r="CQ434" s="4"/>
      <c r="CR434" s="4"/>
      <c r="CS434" s="4"/>
      <c r="CT434" s="4"/>
      <c r="CU434" s="4"/>
      <c r="CV434" s="4"/>
    </row>
    <row r="435" spans="1:100"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c r="BN435" s="3"/>
      <c r="BO435" s="3"/>
      <c r="BP435" s="3"/>
      <c r="BQ435" s="3"/>
      <c r="BR435" s="3"/>
      <c r="BS435" s="3"/>
      <c r="BT435" s="3"/>
      <c r="BU435" s="3"/>
      <c r="BV435" s="3"/>
      <c r="BW435" s="3"/>
      <c r="BX435" s="3"/>
      <c r="BY435" s="3"/>
      <c r="BZ435" s="3"/>
      <c r="CA435" s="3"/>
      <c r="CB435" s="3"/>
      <c r="CC435" s="3"/>
      <c r="CD435" s="3"/>
      <c r="CE435" s="3"/>
      <c r="CF435" s="3"/>
      <c r="CG435" s="3"/>
      <c r="CH435" s="3"/>
      <c r="CI435" s="3"/>
      <c r="CJ435" s="3"/>
      <c r="CK435" s="3"/>
      <c r="CL435" s="3"/>
      <c r="CM435" s="3"/>
      <c r="CN435" s="3"/>
      <c r="CO435" s="3"/>
      <c r="CP435" s="3"/>
      <c r="CQ435" s="4"/>
      <c r="CR435" s="4"/>
      <c r="CS435" s="4"/>
      <c r="CT435" s="4"/>
      <c r="CU435" s="4"/>
      <c r="CV435" s="4"/>
    </row>
    <row r="436" spans="1:100"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c r="BN436" s="3"/>
      <c r="BO436" s="3"/>
      <c r="BP436" s="3"/>
      <c r="BQ436" s="3"/>
      <c r="BR436" s="3"/>
      <c r="BS436" s="3"/>
      <c r="BT436" s="3"/>
      <c r="BU436" s="3"/>
      <c r="BV436" s="3"/>
      <c r="BW436" s="3"/>
      <c r="BX436" s="3"/>
      <c r="BY436" s="3"/>
      <c r="BZ436" s="3"/>
      <c r="CA436" s="3"/>
      <c r="CB436" s="3"/>
      <c r="CC436" s="3"/>
      <c r="CD436" s="3"/>
      <c r="CE436" s="3"/>
      <c r="CF436" s="3"/>
      <c r="CG436" s="3"/>
      <c r="CH436" s="3"/>
      <c r="CI436" s="3"/>
      <c r="CJ436" s="3"/>
      <c r="CK436" s="3"/>
      <c r="CL436" s="3"/>
      <c r="CM436" s="3"/>
      <c r="CN436" s="3"/>
      <c r="CO436" s="3"/>
      <c r="CP436" s="3"/>
      <c r="CQ436" s="4"/>
      <c r="CR436" s="4"/>
      <c r="CS436" s="4"/>
      <c r="CT436" s="4"/>
      <c r="CU436" s="4"/>
      <c r="CV436" s="4"/>
    </row>
    <row r="437" spans="1:100"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c r="BN437" s="3"/>
      <c r="BO437" s="3"/>
      <c r="BP437" s="3"/>
      <c r="BQ437" s="3"/>
      <c r="BR437" s="3"/>
      <c r="BS437" s="3"/>
      <c r="BT437" s="3"/>
      <c r="BU437" s="3"/>
      <c r="BV437" s="3"/>
      <c r="BW437" s="3"/>
      <c r="BX437" s="3"/>
      <c r="BY437" s="3"/>
      <c r="BZ437" s="3"/>
      <c r="CA437" s="3"/>
      <c r="CB437" s="3"/>
      <c r="CC437" s="3"/>
      <c r="CD437" s="3"/>
      <c r="CE437" s="3"/>
      <c r="CF437" s="3"/>
      <c r="CG437" s="3"/>
      <c r="CH437" s="3"/>
      <c r="CI437" s="3"/>
      <c r="CJ437" s="3"/>
      <c r="CK437" s="3"/>
      <c r="CL437" s="3"/>
      <c r="CM437" s="3"/>
      <c r="CN437" s="3"/>
      <c r="CO437" s="3"/>
      <c r="CP437" s="3"/>
      <c r="CQ437" s="4"/>
      <c r="CR437" s="4"/>
      <c r="CS437" s="4"/>
      <c r="CT437" s="4"/>
      <c r="CU437" s="4"/>
      <c r="CV437" s="4"/>
    </row>
    <row r="438" spans="1:100"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c r="BN438" s="3"/>
      <c r="BO438" s="3"/>
      <c r="BP438" s="3"/>
      <c r="BQ438" s="3"/>
      <c r="BR438" s="3"/>
      <c r="BS438" s="3"/>
      <c r="BT438" s="3"/>
      <c r="BU438" s="3"/>
      <c r="BV438" s="3"/>
      <c r="BW438" s="3"/>
      <c r="BX438" s="3"/>
      <c r="BY438" s="3"/>
      <c r="BZ438" s="3"/>
      <c r="CA438" s="3"/>
      <c r="CB438" s="3"/>
      <c r="CC438" s="3"/>
      <c r="CD438" s="3"/>
      <c r="CE438" s="3"/>
      <c r="CF438" s="3"/>
      <c r="CG438" s="3"/>
      <c r="CH438" s="3"/>
      <c r="CI438" s="3"/>
      <c r="CJ438" s="3"/>
      <c r="CK438" s="3"/>
      <c r="CL438" s="3"/>
      <c r="CM438" s="3"/>
      <c r="CN438" s="3"/>
      <c r="CO438" s="3"/>
      <c r="CP438" s="3"/>
      <c r="CQ438" s="4"/>
      <c r="CR438" s="4"/>
      <c r="CS438" s="4"/>
      <c r="CT438" s="4"/>
      <c r="CU438" s="4"/>
      <c r="CV438" s="4"/>
    </row>
    <row r="439" spans="1:100"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c r="BM439" s="3"/>
      <c r="BN439" s="3"/>
      <c r="BO439" s="3"/>
      <c r="BP439" s="3"/>
      <c r="BQ439" s="3"/>
      <c r="BR439" s="3"/>
      <c r="BS439" s="3"/>
      <c r="BT439" s="3"/>
      <c r="BU439" s="3"/>
      <c r="BV439" s="3"/>
      <c r="BW439" s="3"/>
      <c r="BX439" s="3"/>
      <c r="BY439" s="3"/>
      <c r="BZ439" s="3"/>
      <c r="CA439" s="3"/>
      <c r="CB439" s="3"/>
      <c r="CC439" s="3"/>
      <c r="CD439" s="3"/>
      <c r="CE439" s="3"/>
      <c r="CF439" s="3"/>
      <c r="CG439" s="3"/>
      <c r="CH439" s="3"/>
      <c r="CI439" s="3"/>
      <c r="CJ439" s="3"/>
      <c r="CK439" s="3"/>
      <c r="CL439" s="3"/>
      <c r="CM439" s="3"/>
      <c r="CN439" s="3"/>
      <c r="CO439" s="3"/>
      <c r="CP439" s="3"/>
      <c r="CQ439" s="4"/>
      <c r="CR439" s="4"/>
      <c r="CS439" s="4"/>
      <c r="CT439" s="4"/>
      <c r="CU439" s="4"/>
      <c r="CV439" s="4"/>
    </row>
    <row r="440" spans="1:100"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c r="BM440" s="3"/>
      <c r="BN440" s="3"/>
      <c r="BO440" s="3"/>
      <c r="BP440" s="3"/>
      <c r="BQ440" s="3"/>
      <c r="BR440" s="3"/>
      <c r="BS440" s="3"/>
      <c r="BT440" s="3"/>
      <c r="BU440" s="3"/>
      <c r="BV440" s="3"/>
      <c r="BW440" s="3"/>
      <c r="BX440" s="3"/>
      <c r="BY440" s="3"/>
      <c r="BZ440" s="3"/>
      <c r="CA440" s="3"/>
      <c r="CB440" s="3"/>
      <c r="CC440" s="3"/>
      <c r="CD440" s="3"/>
      <c r="CE440" s="3"/>
      <c r="CF440" s="3"/>
      <c r="CG440" s="3"/>
      <c r="CH440" s="3"/>
      <c r="CI440" s="3"/>
      <c r="CJ440" s="3"/>
      <c r="CK440" s="3"/>
      <c r="CL440" s="3"/>
      <c r="CM440" s="3"/>
      <c r="CN440" s="3"/>
      <c r="CO440" s="3"/>
      <c r="CP440" s="3"/>
      <c r="CQ440" s="4"/>
      <c r="CR440" s="4"/>
      <c r="CS440" s="4"/>
      <c r="CT440" s="4"/>
      <c r="CU440" s="4"/>
      <c r="CV440" s="4"/>
    </row>
    <row r="441" spans="1:100"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c r="BM441" s="3"/>
      <c r="BN441" s="3"/>
      <c r="BO441" s="3"/>
      <c r="BP441" s="3"/>
      <c r="BQ441" s="3"/>
      <c r="BR441" s="3"/>
      <c r="BS441" s="3"/>
      <c r="BT441" s="3"/>
      <c r="BU441" s="3"/>
      <c r="BV441" s="3"/>
      <c r="BW441" s="3"/>
      <c r="BX441" s="3"/>
      <c r="BY441" s="3"/>
      <c r="BZ441" s="3"/>
      <c r="CA441" s="3"/>
      <c r="CB441" s="3"/>
      <c r="CC441" s="3"/>
      <c r="CD441" s="3"/>
      <c r="CE441" s="3"/>
      <c r="CF441" s="3"/>
      <c r="CG441" s="3"/>
      <c r="CH441" s="3"/>
      <c r="CI441" s="3"/>
      <c r="CJ441" s="3"/>
      <c r="CK441" s="3"/>
      <c r="CL441" s="3"/>
      <c r="CM441" s="3"/>
      <c r="CN441" s="3"/>
      <c r="CO441" s="3"/>
      <c r="CP441" s="3"/>
      <c r="CQ441" s="4"/>
      <c r="CR441" s="4"/>
      <c r="CS441" s="4"/>
      <c r="CT441" s="4"/>
      <c r="CU441" s="4"/>
      <c r="CV441" s="4"/>
    </row>
    <row r="442" spans="1:100"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c r="BM442" s="3"/>
      <c r="BN442" s="3"/>
      <c r="BO442" s="3"/>
      <c r="BP442" s="3"/>
      <c r="BQ442" s="3"/>
      <c r="BR442" s="3"/>
      <c r="BS442" s="3"/>
      <c r="BT442" s="3"/>
      <c r="BU442" s="3"/>
      <c r="BV442" s="3"/>
      <c r="BW442" s="3"/>
      <c r="BX442" s="3"/>
      <c r="BY442" s="3"/>
      <c r="BZ442" s="3"/>
      <c r="CA442" s="3"/>
      <c r="CB442" s="3"/>
      <c r="CC442" s="3"/>
      <c r="CD442" s="3"/>
      <c r="CE442" s="3"/>
      <c r="CF442" s="3"/>
      <c r="CG442" s="3"/>
      <c r="CH442" s="3"/>
      <c r="CI442" s="3"/>
      <c r="CJ442" s="3"/>
      <c r="CK442" s="3"/>
      <c r="CL442" s="3"/>
      <c r="CM442" s="3"/>
      <c r="CN442" s="3"/>
      <c r="CO442" s="3"/>
      <c r="CP442" s="3"/>
      <c r="CQ442" s="4"/>
      <c r="CR442" s="4"/>
      <c r="CS442" s="4"/>
      <c r="CT442" s="4"/>
      <c r="CU442" s="4"/>
      <c r="CV442" s="4"/>
    </row>
    <row r="443" spans="1:100"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c r="BM443" s="3"/>
      <c r="BN443" s="3"/>
      <c r="BO443" s="3"/>
      <c r="BP443" s="3"/>
      <c r="BQ443" s="3"/>
      <c r="BR443" s="3"/>
      <c r="BS443" s="3"/>
      <c r="BT443" s="3"/>
      <c r="BU443" s="3"/>
      <c r="BV443" s="3"/>
      <c r="BW443" s="3"/>
      <c r="BX443" s="3"/>
      <c r="BY443" s="3"/>
      <c r="BZ443" s="3"/>
      <c r="CA443" s="3"/>
      <c r="CB443" s="3"/>
      <c r="CC443" s="3"/>
      <c r="CD443" s="3"/>
      <c r="CE443" s="3"/>
      <c r="CF443" s="3"/>
      <c r="CG443" s="3"/>
      <c r="CH443" s="3"/>
      <c r="CI443" s="3"/>
      <c r="CJ443" s="3"/>
      <c r="CK443" s="3"/>
      <c r="CL443" s="3"/>
      <c r="CM443" s="3"/>
      <c r="CN443" s="3"/>
      <c r="CO443" s="3"/>
      <c r="CP443" s="3"/>
      <c r="CQ443" s="4"/>
      <c r="CR443" s="4"/>
      <c r="CS443" s="4"/>
      <c r="CT443" s="4"/>
      <c r="CU443" s="4"/>
      <c r="CV443" s="4"/>
    </row>
    <row r="444" spans="1:100"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c r="BM444" s="3"/>
      <c r="BN444" s="3"/>
      <c r="BO444" s="3"/>
      <c r="BP444" s="3"/>
      <c r="BQ444" s="3"/>
      <c r="BR444" s="3"/>
      <c r="BS444" s="3"/>
      <c r="BT444" s="3"/>
      <c r="BU444" s="3"/>
      <c r="BV444" s="3"/>
      <c r="BW444" s="3"/>
      <c r="BX444" s="3"/>
      <c r="BY444" s="3"/>
      <c r="BZ444" s="3"/>
      <c r="CA444" s="3"/>
      <c r="CB444" s="3"/>
      <c r="CC444" s="3"/>
      <c r="CD444" s="3"/>
      <c r="CE444" s="3"/>
      <c r="CF444" s="3"/>
      <c r="CG444" s="3"/>
      <c r="CH444" s="3"/>
      <c r="CI444" s="3"/>
      <c r="CJ444" s="3"/>
      <c r="CK444" s="3"/>
      <c r="CL444" s="3"/>
      <c r="CM444" s="3"/>
      <c r="CN444" s="3"/>
      <c r="CO444" s="3"/>
      <c r="CP444" s="3"/>
      <c r="CQ444" s="4"/>
      <c r="CR444" s="4"/>
      <c r="CS444" s="4"/>
      <c r="CT444" s="4"/>
      <c r="CU444" s="4"/>
      <c r="CV444" s="4"/>
    </row>
    <row r="445" spans="1:100"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c r="BM445" s="3"/>
      <c r="BN445" s="3"/>
      <c r="BO445" s="3"/>
      <c r="BP445" s="3"/>
      <c r="BQ445" s="3"/>
      <c r="BR445" s="3"/>
      <c r="BS445" s="3"/>
      <c r="BT445" s="3"/>
      <c r="BU445" s="3"/>
      <c r="BV445" s="3"/>
      <c r="BW445" s="3"/>
      <c r="BX445" s="3"/>
      <c r="BY445" s="3"/>
      <c r="BZ445" s="3"/>
      <c r="CA445" s="3"/>
      <c r="CB445" s="3"/>
      <c r="CC445" s="3"/>
      <c r="CD445" s="3"/>
      <c r="CE445" s="3"/>
      <c r="CF445" s="3"/>
      <c r="CG445" s="3"/>
      <c r="CH445" s="3"/>
      <c r="CI445" s="3"/>
      <c r="CJ445" s="3"/>
      <c r="CK445" s="3"/>
      <c r="CL445" s="3"/>
      <c r="CM445" s="3"/>
      <c r="CN445" s="3"/>
      <c r="CO445" s="3"/>
      <c r="CP445" s="3"/>
      <c r="CQ445" s="4"/>
      <c r="CR445" s="4"/>
      <c r="CS445" s="4"/>
      <c r="CT445" s="4"/>
      <c r="CU445" s="4"/>
      <c r="CV445" s="4"/>
    </row>
    <row r="446" spans="1:100"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c r="BM446" s="3"/>
      <c r="BN446" s="3"/>
      <c r="BO446" s="3"/>
      <c r="BP446" s="3"/>
      <c r="BQ446" s="3"/>
      <c r="BR446" s="3"/>
      <c r="BS446" s="3"/>
      <c r="BT446" s="3"/>
      <c r="BU446" s="3"/>
      <c r="BV446" s="3"/>
      <c r="BW446" s="3"/>
      <c r="BX446" s="3"/>
      <c r="BY446" s="3"/>
      <c r="BZ446" s="3"/>
      <c r="CA446" s="3"/>
      <c r="CB446" s="3"/>
      <c r="CC446" s="3"/>
      <c r="CD446" s="3"/>
      <c r="CE446" s="3"/>
      <c r="CF446" s="3"/>
      <c r="CG446" s="3"/>
      <c r="CH446" s="3"/>
      <c r="CI446" s="3"/>
      <c r="CJ446" s="3"/>
      <c r="CK446" s="3"/>
      <c r="CL446" s="3"/>
      <c r="CM446" s="3"/>
      <c r="CN446" s="3"/>
      <c r="CO446" s="3"/>
      <c r="CP446" s="3"/>
      <c r="CQ446" s="4"/>
      <c r="CR446" s="4"/>
      <c r="CS446" s="4"/>
      <c r="CT446" s="4"/>
      <c r="CU446" s="4"/>
      <c r="CV446" s="4"/>
    </row>
    <row r="447" spans="1:100"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c r="BM447" s="3"/>
      <c r="BN447" s="3"/>
      <c r="BO447" s="3"/>
      <c r="BP447" s="3"/>
      <c r="BQ447" s="3"/>
      <c r="BR447" s="3"/>
      <c r="BS447" s="3"/>
      <c r="BT447" s="3"/>
      <c r="BU447" s="3"/>
      <c r="BV447" s="3"/>
      <c r="BW447" s="3"/>
      <c r="BX447" s="3"/>
      <c r="BY447" s="3"/>
      <c r="BZ447" s="3"/>
      <c r="CA447" s="3"/>
      <c r="CB447" s="3"/>
      <c r="CC447" s="3"/>
      <c r="CD447" s="3"/>
      <c r="CE447" s="3"/>
      <c r="CF447" s="3"/>
      <c r="CG447" s="3"/>
      <c r="CH447" s="3"/>
      <c r="CI447" s="3"/>
      <c r="CJ447" s="3"/>
      <c r="CK447" s="3"/>
      <c r="CL447" s="3"/>
      <c r="CM447" s="3"/>
      <c r="CN447" s="3"/>
      <c r="CO447" s="3"/>
      <c r="CP447" s="3"/>
      <c r="CQ447" s="4"/>
      <c r="CR447" s="4"/>
      <c r="CS447" s="4"/>
      <c r="CT447" s="4"/>
      <c r="CU447" s="4"/>
      <c r="CV447" s="4"/>
    </row>
    <row r="448" spans="1:100"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c r="BM448" s="3"/>
      <c r="BN448" s="3"/>
      <c r="BO448" s="3"/>
      <c r="BP448" s="3"/>
      <c r="BQ448" s="3"/>
      <c r="BR448" s="3"/>
      <c r="BS448" s="3"/>
      <c r="BT448" s="3"/>
      <c r="BU448" s="3"/>
      <c r="BV448" s="3"/>
      <c r="BW448" s="3"/>
      <c r="BX448" s="3"/>
      <c r="BY448" s="3"/>
      <c r="BZ448" s="3"/>
      <c r="CA448" s="3"/>
      <c r="CB448" s="3"/>
      <c r="CC448" s="3"/>
      <c r="CD448" s="3"/>
      <c r="CE448" s="3"/>
      <c r="CF448" s="3"/>
      <c r="CG448" s="3"/>
      <c r="CH448" s="3"/>
      <c r="CI448" s="3"/>
      <c r="CJ448" s="3"/>
      <c r="CK448" s="3"/>
      <c r="CL448" s="3"/>
      <c r="CM448" s="3"/>
      <c r="CN448" s="3"/>
      <c r="CO448" s="3"/>
      <c r="CP448" s="3"/>
      <c r="CQ448" s="4"/>
      <c r="CR448" s="4"/>
      <c r="CS448" s="4"/>
      <c r="CT448" s="4"/>
      <c r="CU448" s="4"/>
      <c r="CV448" s="4"/>
    </row>
    <row r="449" spans="1:100"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c r="BM449" s="3"/>
      <c r="BN449" s="3"/>
      <c r="BO449" s="3"/>
      <c r="BP449" s="3"/>
      <c r="BQ449" s="3"/>
      <c r="BR449" s="3"/>
      <c r="BS449" s="3"/>
      <c r="BT449" s="3"/>
      <c r="BU449" s="3"/>
      <c r="BV449" s="3"/>
      <c r="BW449" s="3"/>
      <c r="BX449" s="3"/>
      <c r="BY449" s="3"/>
      <c r="BZ449" s="3"/>
      <c r="CA449" s="3"/>
      <c r="CB449" s="3"/>
      <c r="CC449" s="3"/>
      <c r="CD449" s="3"/>
      <c r="CE449" s="3"/>
      <c r="CF449" s="3"/>
      <c r="CG449" s="3"/>
      <c r="CH449" s="3"/>
      <c r="CI449" s="3"/>
      <c r="CJ449" s="3"/>
      <c r="CK449" s="3"/>
      <c r="CL449" s="3"/>
      <c r="CM449" s="3"/>
      <c r="CN449" s="3"/>
      <c r="CO449" s="3"/>
      <c r="CP449" s="3"/>
      <c r="CQ449" s="4"/>
      <c r="CR449" s="4"/>
      <c r="CS449" s="4"/>
      <c r="CT449" s="4"/>
      <c r="CU449" s="4"/>
      <c r="CV449" s="4"/>
    </row>
    <row r="450" spans="1:100"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c r="BM450" s="3"/>
      <c r="BN450" s="3"/>
      <c r="BO450" s="3"/>
      <c r="BP450" s="3"/>
      <c r="BQ450" s="3"/>
      <c r="BR450" s="3"/>
      <c r="BS450" s="3"/>
      <c r="BT450" s="3"/>
      <c r="BU450" s="3"/>
      <c r="BV450" s="3"/>
      <c r="BW450" s="3"/>
      <c r="BX450" s="3"/>
      <c r="BY450" s="3"/>
      <c r="BZ450" s="3"/>
      <c r="CA450" s="3"/>
      <c r="CB450" s="3"/>
      <c r="CC450" s="3"/>
      <c r="CD450" s="3"/>
      <c r="CE450" s="3"/>
      <c r="CF450" s="3"/>
      <c r="CG450" s="3"/>
      <c r="CH450" s="3"/>
      <c r="CI450" s="3"/>
      <c r="CJ450" s="3"/>
      <c r="CK450" s="3"/>
      <c r="CL450" s="3"/>
      <c r="CM450" s="3"/>
      <c r="CN450" s="3"/>
      <c r="CO450" s="3"/>
      <c r="CP450" s="3"/>
      <c r="CQ450" s="4"/>
      <c r="CR450" s="4"/>
      <c r="CS450" s="4"/>
      <c r="CT450" s="4"/>
      <c r="CU450" s="4"/>
      <c r="CV450" s="4"/>
    </row>
    <row r="451" spans="1:100"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c r="BM451" s="3"/>
      <c r="BN451" s="3"/>
      <c r="BO451" s="3"/>
      <c r="BP451" s="3"/>
      <c r="BQ451" s="3"/>
      <c r="BR451" s="3"/>
      <c r="BS451" s="3"/>
      <c r="BT451" s="3"/>
      <c r="BU451" s="3"/>
      <c r="BV451" s="3"/>
      <c r="BW451" s="3"/>
      <c r="BX451" s="3"/>
      <c r="BY451" s="3"/>
      <c r="BZ451" s="3"/>
      <c r="CA451" s="3"/>
      <c r="CB451" s="3"/>
      <c r="CC451" s="3"/>
      <c r="CD451" s="3"/>
      <c r="CE451" s="3"/>
      <c r="CF451" s="3"/>
      <c r="CG451" s="3"/>
      <c r="CH451" s="3"/>
      <c r="CI451" s="3"/>
      <c r="CJ451" s="3"/>
      <c r="CK451" s="3"/>
      <c r="CL451" s="3"/>
      <c r="CM451" s="3"/>
      <c r="CN451" s="3"/>
      <c r="CO451" s="3"/>
      <c r="CP451" s="3"/>
      <c r="CQ451" s="4"/>
      <c r="CR451" s="4"/>
      <c r="CS451" s="4"/>
      <c r="CT451" s="4"/>
      <c r="CU451" s="4"/>
      <c r="CV451" s="4"/>
    </row>
    <row r="452" spans="1:100"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c r="BM452" s="3"/>
      <c r="BN452" s="3"/>
      <c r="BO452" s="3"/>
      <c r="BP452" s="3"/>
      <c r="BQ452" s="3"/>
      <c r="BR452" s="3"/>
      <c r="BS452" s="3"/>
      <c r="BT452" s="3"/>
      <c r="BU452" s="3"/>
      <c r="BV452" s="3"/>
      <c r="BW452" s="3"/>
      <c r="BX452" s="3"/>
      <c r="BY452" s="3"/>
      <c r="BZ452" s="3"/>
      <c r="CA452" s="3"/>
      <c r="CB452" s="3"/>
      <c r="CC452" s="3"/>
      <c r="CD452" s="3"/>
      <c r="CE452" s="3"/>
      <c r="CF452" s="3"/>
      <c r="CG452" s="3"/>
      <c r="CH452" s="3"/>
      <c r="CI452" s="3"/>
      <c r="CJ452" s="3"/>
      <c r="CK452" s="3"/>
      <c r="CL452" s="3"/>
      <c r="CM452" s="3"/>
      <c r="CN452" s="3"/>
      <c r="CO452" s="3"/>
      <c r="CP452" s="3"/>
      <c r="CQ452" s="4"/>
      <c r="CR452" s="4"/>
      <c r="CS452" s="4"/>
      <c r="CT452" s="4"/>
      <c r="CU452" s="4"/>
      <c r="CV452" s="4"/>
    </row>
    <row r="453" spans="1:100"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c r="BM453" s="3"/>
      <c r="BN453" s="3"/>
      <c r="BO453" s="3"/>
      <c r="BP453" s="3"/>
      <c r="BQ453" s="3"/>
      <c r="BR453" s="3"/>
      <c r="BS453" s="3"/>
      <c r="BT453" s="3"/>
      <c r="BU453" s="3"/>
      <c r="BV453" s="3"/>
      <c r="BW453" s="3"/>
      <c r="BX453" s="3"/>
      <c r="BY453" s="3"/>
      <c r="BZ453" s="3"/>
      <c r="CA453" s="3"/>
      <c r="CB453" s="3"/>
      <c r="CC453" s="3"/>
      <c r="CD453" s="3"/>
      <c r="CE453" s="3"/>
      <c r="CF453" s="3"/>
      <c r="CG453" s="3"/>
      <c r="CH453" s="3"/>
      <c r="CI453" s="3"/>
      <c r="CJ453" s="3"/>
      <c r="CK453" s="3"/>
      <c r="CL453" s="3"/>
      <c r="CM453" s="3"/>
      <c r="CN453" s="3"/>
      <c r="CO453" s="3"/>
      <c r="CP453" s="3"/>
      <c r="CQ453" s="4"/>
      <c r="CR453" s="4"/>
      <c r="CS453" s="4"/>
      <c r="CT453" s="4"/>
      <c r="CU453" s="4"/>
      <c r="CV453" s="4"/>
    </row>
    <row r="454" spans="1:100"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c r="BM454" s="3"/>
      <c r="BN454" s="3"/>
      <c r="BO454" s="3"/>
      <c r="BP454" s="3"/>
      <c r="BQ454" s="3"/>
      <c r="BR454" s="3"/>
      <c r="BS454" s="3"/>
      <c r="BT454" s="3"/>
      <c r="BU454" s="3"/>
      <c r="BV454" s="3"/>
      <c r="BW454" s="3"/>
      <c r="BX454" s="3"/>
      <c r="BY454" s="3"/>
      <c r="BZ454" s="3"/>
      <c r="CA454" s="3"/>
      <c r="CB454" s="3"/>
      <c r="CC454" s="3"/>
      <c r="CD454" s="3"/>
      <c r="CE454" s="3"/>
      <c r="CF454" s="3"/>
      <c r="CG454" s="3"/>
      <c r="CH454" s="3"/>
      <c r="CI454" s="3"/>
      <c r="CJ454" s="3"/>
      <c r="CK454" s="3"/>
      <c r="CL454" s="3"/>
      <c r="CM454" s="3"/>
      <c r="CN454" s="3"/>
      <c r="CO454" s="3"/>
      <c r="CP454" s="3"/>
      <c r="CQ454" s="4"/>
      <c r="CR454" s="4"/>
      <c r="CS454" s="4"/>
      <c r="CT454" s="4"/>
      <c r="CU454" s="4"/>
      <c r="CV454" s="4"/>
    </row>
    <row r="455" spans="1:100"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c r="BM455" s="3"/>
      <c r="BN455" s="3"/>
      <c r="BO455" s="3"/>
      <c r="BP455" s="3"/>
      <c r="BQ455" s="3"/>
      <c r="BR455" s="3"/>
      <c r="BS455" s="3"/>
      <c r="BT455" s="3"/>
      <c r="BU455" s="3"/>
      <c r="BV455" s="3"/>
      <c r="BW455" s="3"/>
      <c r="BX455" s="3"/>
      <c r="BY455" s="3"/>
      <c r="BZ455" s="3"/>
      <c r="CA455" s="3"/>
      <c r="CB455" s="3"/>
      <c r="CC455" s="3"/>
      <c r="CD455" s="3"/>
      <c r="CE455" s="3"/>
      <c r="CF455" s="3"/>
      <c r="CG455" s="3"/>
      <c r="CH455" s="3"/>
      <c r="CI455" s="3"/>
      <c r="CJ455" s="3"/>
      <c r="CK455" s="3"/>
      <c r="CL455" s="3"/>
      <c r="CM455" s="3"/>
      <c r="CN455" s="3"/>
      <c r="CO455" s="3"/>
      <c r="CP455" s="3"/>
      <c r="CQ455" s="4"/>
      <c r="CR455" s="4"/>
      <c r="CS455" s="4"/>
      <c r="CT455" s="4"/>
      <c r="CU455" s="4"/>
      <c r="CV455" s="4"/>
    </row>
    <row r="456" spans="1:100"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c r="BM456" s="3"/>
      <c r="BN456" s="3"/>
      <c r="BO456" s="3"/>
      <c r="BP456" s="3"/>
      <c r="BQ456" s="3"/>
      <c r="BR456" s="3"/>
      <c r="BS456" s="3"/>
      <c r="BT456" s="3"/>
      <c r="BU456" s="3"/>
      <c r="BV456" s="3"/>
      <c r="BW456" s="3"/>
      <c r="BX456" s="3"/>
      <c r="BY456" s="3"/>
      <c r="BZ456" s="3"/>
      <c r="CA456" s="3"/>
      <c r="CB456" s="3"/>
      <c r="CC456" s="3"/>
      <c r="CD456" s="3"/>
      <c r="CE456" s="3"/>
      <c r="CF456" s="3"/>
      <c r="CG456" s="3"/>
      <c r="CH456" s="3"/>
      <c r="CI456" s="3"/>
      <c r="CJ456" s="3"/>
      <c r="CK456" s="3"/>
      <c r="CL456" s="3"/>
      <c r="CM456" s="3"/>
      <c r="CN456" s="3"/>
      <c r="CO456" s="3"/>
      <c r="CP456" s="3"/>
      <c r="CQ456" s="4"/>
      <c r="CR456" s="4"/>
      <c r="CS456" s="4"/>
      <c r="CT456" s="4"/>
      <c r="CU456" s="4"/>
      <c r="CV456" s="4"/>
    </row>
    <row r="457" spans="1:100"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c r="BM457" s="3"/>
      <c r="BN457" s="3"/>
      <c r="BO457" s="3"/>
      <c r="BP457" s="3"/>
      <c r="BQ457" s="3"/>
      <c r="BR457" s="3"/>
      <c r="BS457" s="3"/>
      <c r="BT457" s="3"/>
      <c r="BU457" s="3"/>
      <c r="BV457" s="3"/>
      <c r="BW457" s="3"/>
      <c r="BX457" s="3"/>
      <c r="BY457" s="3"/>
      <c r="BZ457" s="3"/>
      <c r="CA457" s="3"/>
      <c r="CB457" s="3"/>
      <c r="CC457" s="3"/>
      <c r="CD457" s="3"/>
      <c r="CE457" s="3"/>
      <c r="CF457" s="3"/>
      <c r="CG457" s="3"/>
      <c r="CH457" s="3"/>
      <c r="CI457" s="3"/>
      <c r="CJ457" s="3"/>
      <c r="CK457" s="3"/>
      <c r="CL457" s="3"/>
      <c r="CM457" s="3"/>
      <c r="CN457" s="3"/>
      <c r="CO457" s="3"/>
      <c r="CP457" s="3"/>
      <c r="CQ457" s="4"/>
      <c r="CR457" s="4"/>
      <c r="CS457" s="4"/>
      <c r="CT457" s="4"/>
      <c r="CU457" s="4"/>
      <c r="CV457" s="4"/>
    </row>
    <row r="458" spans="1:100"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c r="BM458" s="3"/>
      <c r="BN458" s="3"/>
      <c r="BO458" s="3"/>
      <c r="BP458" s="3"/>
      <c r="BQ458" s="3"/>
      <c r="BR458" s="3"/>
      <c r="BS458" s="3"/>
      <c r="BT458" s="3"/>
      <c r="BU458" s="3"/>
      <c r="BV458" s="3"/>
      <c r="BW458" s="3"/>
      <c r="BX458" s="3"/>
      <c r="BY458" s="3"/>
      <c r="BZ458" s="3"/>
      <c r="CA458" s="3"/>
      <c r="CB458" s="3"/>
      <c r="CC458" s="3"/>
      <c r="CD458" s="3"/>
      <c r="CE458" s="3"/>
      <c r="CF458" s="3"/>
      <c r="CG458" s="3"/>
      <c r="CH458" s="3"/>
      <c r="CI458" s="3"/>
      <c r="CJ458" s="3"/>
      <c r="CK458" s="3"/>
      <c r="CL458" s="3"/>
      <c r="CM458" s="3"/>
      <c r="CN458" s="3"/>
      <c r="CO458" s="3"/>
      <c r="CP458" s="3"/>
      <c r="CQ458" s="4"/>
      <c r="CR458" s="4"/>
      <c r="CS458" s="4"/>
      <c r="CT458" s="4"/>
      <c r="CU458" s="4"/>
      <c r="CV458" s="4"/>
    </row>
    <row r="459" spans="1:100"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c r="BM459" s="3"/>
      <c r="BN459" s="3"/>
      <c r="BO459" s="3"/>
      <c r="BP459" s="3"/>
      <c r="BQ459" s="3"/>
      <c r="BR459" s="3"/>
      <c r="BS459" s="3"/>
      <c r="BT459" s="3"/>
      <c r="BU459" s="3"/>
      <c r="BV459" s="3"/>
      <c r="BW459" s="3"/>
      <c r="BX459" s="3"/>
      <c r="BY459" s="3"/>
      <c r="BZ459" s="3"/>
      <c r="CA459" s="3"/>
      <c r="CB459" s="3"/>
      <c r="CC459" s="3"/>
      <c r="CD459" s="3"/>
      <c r="CE459" s="3"/>
      <c r="CF459" s="3"/>
      <c r="CG459" s="3"/>
      <c r="CH459" s="3"/>
      <c r="CI459" s="3"/>
      <c r="CJ459" s="3"/>
      <c r="CK459" s="3"/>
      <c r="CL459" s="3"/>
      <c r="CM459" s="3"/>
      <c r="CN459" s="3"/>
      <c r="CO459" s="3"/>
      <c r="CP459" s="3"/>
      <c r="CQ459" s="4"/>
      <c r="CR459" s="4"/>
      <c r="CS459" s="4"/>
      <c r="CT459" s="4"/>
      <c r="CU459" s="4"/>
      <c r="CV459" s="4"/>
    </row>
    <row r="460" spans="1:100"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c r="BM460" s="3"/>
      <c r="BN460" s="3"/>
      <c r="BO460" s="3"/>
      <c r="BP460" s="3"/>
      <c r="BQ460" s="3"/>
      <c r="BR460" s="3"/>
      <c r="BS460" s="3"/>
      <c r="BT460" s="3"/>
      <c r="BU460" s="3"/>
      <c r="BV460" s="3"/>
      <c r="BW460" s="3"/>
      <c r="BX460" s="3"/>
      <c r="BY460" s="3"/>
      <c r="BZ460" s="3"/>
      <c r="CA460" s="3"/>
      <c r="CB460" s="3"/>
      <c r="CC460" s="3"/>
      <c r="CD460" s="3"/>
      <c r="CE460" s="3"/>
      <c r="CF460" s="3"/>
      <c r="CG460" s="3"/>
      <c r="CH460" s="3"/>
      <c r="CI460" s="3"/>
      <c r="CJ460" s="3"/>
      <c r="CK460" s="3"/>
      <c r="CL460" s="3"/>
      <c r="CM460" s="3"/>
      <c r="CN460" s="3"/>
      <c r="CO460" s="3"/>
      <c r="CP460" s="3"/>
      <c r="CQ460" s="4"/>
      <c r="CR460" s="4"/>
      <c r="CS460" s="4"/>
      <c r="CT460" s="4"/>
      <c r="CU460" s="4"/>
      <c r="CV460" s="4"/>
    </row>
    <row r="461" spans="1:100"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c r="BM461" s="3"/>
      <c r="BN461" s="3"/>
      <c r="BO461" s="3"/>
      <c r="BP461" s="3"/>
      <c r="BQ461" s="3"/>
      <c r="BR461" s="3"/>
      <c r="BS461" s="3"/>
      <c r="BT461" s="3"/>
      <c r="BU461" s="3"/>
      <c r="BV461" s="3"/>
      <c r="BW461" s="3"/>
      <c r="BX461" s="3"/>
      <c r="BY461" s="3"/>
      <c r="BZ461" s="3"/>
      <c r="CA461" s="3"/>
      <c r="CB461" s="3"/>
      <c r="CC461" s="3"/>
      <c r="CD461" s="3"/>
      <c r="CE461" s="3"/>
      <c r="CF461" s="3"/>
      <c r="CG461" s="3"/>
      <c r="CH461" s="3"/>
      <c r="CI461" s="3"/>
      <c r="CJ461" s="3"/>
      <c r="CK461" s="3"/>
      <c r="CL461" s="3"/>
      <c r="CM461" s="3"/>
      <c r="CN461" s="3"/>
      <c r="CO461" s="3"/>
      <c r="CP461" s="3"/>
      <c r="CQ461" s="4"/>
      <c r="CR461" s="4"/>
      <c r="CS461" s="4"/>
      <c r="CT461" s="4"/>
      <c r="CU461" s="4"/>
      <c r="CV461" s="4"/>
    </row>
    <row r="462" spans="1:100"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c r="BM462" s="3"/>
      <c r="BN462" s="3"/>
      <c r="BO462" s="3"/>
      <c r="BP462" s="3"/>
      <c r="BQ462" s="3"/>
      <c r="BR462" s="3"/>
      <c r="BS462" s="3"/>
      <c r="BT462" s="3"/>
      <c r="BU462" s="3"/>
      <c r="BV462" s="3"/>
      <c r="BW462" s="3"/>
      <c r="BX462" s="3"/>
      <c r="BY462" s="3"/>
      <c r="BZ462" s="3"/>
      <c r="CA462" s="3"/>
      <c r="CB462" s="3"/>
      <c r="CC462" s="3"/>
      <c r="CD462" s="3"/>
      <c r="CE462" s="3"/>
      <c r="CF462" s="3"/>
      <c r="CG462" s="3"/>
      <c r="CH462" s="3"/>
      <c r="CI462" s="3"/>
      <c r="CJ462" s="3"/>
      <c r="CK462" s="3"/>
      <c r="CL462" s="3"/>
      <c r="CM462" s="3"/>
      <c r="CN462" s="3"/>
      <c r="CO462" s="3"/>
      <c r="CP462" s="3"/>
      <c r="CQ462" s="4"/>
      <c r="CR462" s="4"/>
      <c r="CS462" s="4"/>
      <c r="CT462" s="4"/>
      <c r="CU462" s="4"/>
      <c r="CV462" s="4"/>
    </row>
    <row r="463" spans="1:100"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c r="BM463" s="3"/>
      <c r="BN463" s="3"/>
      <c r="BO463" s="3"/>
      <c r="BP463" s="3"/>
      <c r="BQ463" s="3"/>
      <c r="BR463" s="3"/>
      <c r="BS463" s="3"/>
      <c r="BT463" s="3"/>
      <c r="BU463" s="3"/>
      <c r="BV463" s="3"/>
      <c r="BW463" s="3"/>
      <c r="BX463" s="3"/>
      <c r="BY463" s="3"/>
      <c r="BZ463" s="3"/>
      <c r="CA463" s="3"/>
      <c r="CB463" s="3"/>
      <c r="CC463" s="3"/>
      <c r="CD463" s="3"/>
      <c r="CE463" s="3"/>
      <c r="CF463" s="3"/>
      <c r="CG463" s="3"/>
      <c r="CH463" s="3"/>
      <c r="CI463" s="3"/>
      <c r="CJ463" s="3"/>
      <c r="CK463" s="3"/>
      <c r="CL463" s="3"/>
      <c r="CM463" s="3"/>
      <c r="CN463" s="3"/>
      <c r="CO463" s="3"/>
      <c r="CP463" s="3"/>
      <c r="CQ463" s="4"/>
      <c r="CR463" s="4"/>
      <c r="CS463" s="4"/>
      <c r="CT463" s="4"/>
      <c r="CU463" s="4"/>
      <c r="CV463" s="4"/>
    </row>
    <row r="464" spans="1:100"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c r="BM464" s="3"/>
      <c r="BN464" s="3"/>
      <c r="BO464" s="3"/>
      <c r="BP464" s="3"/>
      <c r="BQ464" s="3"/>
      <c r="BR464" s="3"/>
      <c r="BS464" s="3"/>
      <c r="BT464" s="3"/>
      <c r="BU464" s="3"/>
      <c r="BV464" s="3"/>
      <c r="BW464" s="3"/>
      <c r="BX464" s="3"/>
      <c r="BY464" s="3"/>
      <c r="BZ464" s="3"/>
      <c r="CA464" s="3"/>
      <c r="CB464" s="3"/>
      <c r="CC464" s="3"/>
      <c r="CD464" s="3"/>
      <c r="CE464" s="3"/>
      <c r="CF464" s="3"/>
      <c r="CG464" s="3"/>
      <c r="CH464" s="3"/>
      <c r="CI464" s="3"/>
      <c r="CJ464" s="3"/>
      <c r="CK464" s="3"/>
      <c r="CL464" s="3"/>
      <c r="CM464" s="3"/>
      <c r="CN464" s="3"/>
      <c r="CO464" s="3"/>
      <c r="CP464" s="3"/>
      <c r="CQ464" s="4"/>
      <c r="CR464" s="4"/>
      <c r="CS464" s="4"/>
      <c r="CT464" s="4"/>
      <c r="CU464" s="4"/>
      <c r="CV464" s="4"/>
    </row>
    <row r="465" spans="1:100"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c r="BM465" s="3"/>
      <c r="BN465" s="3"/>
      <c r="BO465" s="3"/>
      <c r="BP465" s="3"/>
      <c r="BQ465" s="3"/>
      <c r="BR465" s="3"/>
      <c r="BS465" s="3"/>
      <c r="BT465" s="3"/>
      <c r="BU465" s="3"/>
      <c r="BV465" s="3"/>
      <c r="BW465" s="3"/>
      <c r="BX465" s="3"/>
      <c r="BY465" s="3"/>
      <c r="BZ465" s="3"/>
      <c r="CA465" s="3"/>
      <c r="CB465" s="3"/>
      <c r="CC465" s="3"/>
      <c r="CD465" s="3"/>
      <c r="CE465" s="3"/>
      <c r="CF465" s="3"/>
      <c r="CG465" s="3"/>
      <c r="CH465" s="3"/>
      <c r="CI465" s="3"/>
      <c r="CJ465" s="3"/>
      <c r="CK465" s="3"/>
      <c r="CL465" s="3"/>
      <c r="CM465" s="3"/>
      <c r="CN465" s="3"/>
      <c r="CO465" s="3"/>
      <c r="CP465" s="3"/>
      <c r="CQ465" s="4"/>
      <c r="CR465" s="4"/>
      <c r="CS465" s="4"/>
      <c r="CT465" s="4"/>
      <c r="CU465" s="4"/>
      <c r="CV465" s="4"/>
    </row>
    <row r="466" spans="1:100"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c r="BM466" s="3"/>
      <c r="BN466" s="3"/>
      <c r="BO466" s="3"/>
      <c r="BP466" s="3"/>
      <c r="BQ466" s="3"/>
      <c r="BR466" s="3"/>
      <c r="BS466" s="3"/>
      <c r="BT466" s="3"/>
      <c r="BU466" s="3"/>
      <c r="BV466" s="3"/>
      <c r="BW466" s="3"/>
      <c r="BX466" s="3"/>
      <c r="BY466" s="3"/>
      <c r="BZ466" s="3"/>
      <c r="CA466" s="3"/>
      <c r="CB466" s="3"/>
      <c r="CC466" s="3"/>
      <c r="CD466" s="3"/>
      <c r="CE466" s="3"/>
      <c r="CF466" s="3"/>
      <c r="CG466" s="3"/>
      <c r="CH466" s="3"/>
      <c r="CI466" s="3"/>
      <c r="CJ466" s="3"/>
      <c r="CK466" s="3"/>
      <c r="CL466" s="3"/>
      <c r="CM466" s="3"/>
      <c r="CN466" s="3"/>
      <c r="CO466" s="3"/>
      <c r="CP466" s="3"/>
      <c r="CQ466" s="4"/>
      <c r="CR466" s="4"/>
      <c r="CS466" s="4"/>
      <c r="CT466" s="4"/>
      <c r="CU466" s="4"/>
      <c r="CV466" s="4"/>
    </row>
    <row r="467" spans="1:100"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c r="BM467" s="3"/>
      <c r="BN467" s="3"/>
      <c r="BO467" s="3"/>
      <c r="BP467" s="3"/>
      <c r="BQ467" s="3"/>
      <c r="BR467" s="3"/>
      <c r="BS467" s="3"/>
      <c r="BT467" s="3"/>
      <c r="BU467" s="3"/>
      <c r="BV467" s="3"/>
      <c r="BW467" s="3"/>
      <c r="BX467" s="3"/>
      <c r="BY467" s="3"/>
      <c r="BZ467" s="3"/>
      <c r="CA467" s="3"/>
      <c r="CB467" s="3"/>
      <c r="CC467" s="3"/>
      <c r="CD467" s="3"/>
      <c r="CE467" s="3"/>
      <c r="CF467" s="3"/>
      <c r="CG467" s="3"/>
      <c r="CH467" s="3"/>
      <c r="CI467" s="3"/>
      <c r="CJ467" s="3"/>
      <c r="CK467" s="3"/>
      <c r="CL467" s="3"/>
      <c r="CM467" s="3"/>
      <c r="CN467" s="3"/>
      <c r="CO467" s="3"/>
      <c r="CP467" s="3"/>
      <c r="CQ467" s="4"/>
      <c r="CR467" s="4"/>
      <c r="CS467" s="4"/>
      <c r="CT467" s="4"/>
      <c r="CU467" s="4"/>
      <c r="CV467" s="4"/>
    </row>
    <row r="468" spans="1:100"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c r="BM468" s="3"/>
      <c r="BN468" s="3"/>
      <c r="BO468" s="3"/>
      <c r="BP468" s="3"/>
      <c r="BQ468" s="3"/>
      <c r="BR468" s="3"/>
      <c r="BS468" s="3"/>
      <c r="BT468" s="3"/>
      <c r="BU468" s="3"/>
      <c r="BV468" s="3"/>
      <c r="BW468" s="3"/>
      <c r="BX468" s="3"/>
      <c r="BY468" s="3"/>
      <c r="BZ468" s="3"/>
      <c r="CA468" s="3"/>
      <c r="CB468" s="3"/>
      <c r="CC468" s="3"/>
      <c r="CD468" s="3"/>
      <c r="CE468" s="3"/>
      <c r="CF468" s="3"/>
      <c r="CG468" s="3"/>
      <c r="CH468" s="3"/>
      <c r="CI468" s="3"/>
      <c r="CJ468" s="3"/>
      <c r="CK468" s="3"/>
      <c r="CL468" s="3"/>
      <c r="CM468" s="3"/>
      <c r="CN468" s="3"/>
      <c r="CO468" s="3"/>
      <c r="CP468" s="3"/>
      <c r="CQ468" s="4"/>
      <c r="CR468" s="4"/>
      <c r="CS468" s="4"/>
      <c r="CT468" s="4"/>
      <c r="CU468" s="4"/>
      <c r="CV468" s="4"/>
    </row>
    <row r="469" spans="1:100"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c r="BM469" s="3"/>
      <c r="BN469" s="3"/>
      <c r="BO469" s="3"/>
      <c r="BP469" s="3"/>
      <c r="BQ469" s="3"/>
      <c r="BR469" s="3"/>
      <c r="BS469" s="3"/>
      <c r="BT469" s="3"/>
      <c r="BU469" s="3"/>
      <c r="BV469" s="3"/>
      <c r="BW469" s="3"/>
      <c r="BX469" s="3"/>
      <c r="BY469" s="3"/>
      <c r="BZ469" s="3"/>
      <c r="CA469" s="3"/>
      <c r="CB469" s="3"/>
      <c r="CC469" s="3"/>
      <c r="CD469" s="3"/>
      <c r="CE469" s="3"/>
      <c r="CF469" s="3"/>
      <c r="CG469" s="3"/>
      <c r="CH469" s="3"/>
      <c r="CI469" s="3"/>
      <c r="CJ469" s="3"/>
      <c r="CK469" s="3"/>
      <c r="CL469" s="3"/>
      <c r="CM469" s="3"/>
      <c r="CN469" s="3"/>
      <c r="CO469" s="3"/>
      <c r="CP469" s="3"/>
      <c r="CQ469" s="4"/>
      <c r="CR469" s="4"/>
      <c r="CS469" s="4"/>
      <c r="CT469" s="4"/>
      <c r="CU469" s="4"/>
      <c r="CV469" s="4"/>
    </row>
    <row r="470" spans="1:100"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c r="BM470" s="3"/>
      <c r="BN470" s="3"/>
      <c r="BO470" s="3"/>
      <c r="BP470" s="3"/>
      <c r="BQ470" s="3"/>
      <c r="BR470" s="3"/>
      <c r="BS470" s="3"/>
      <c r="BT470" s="3"/>
      <c r="BU470" s="3"/>
      <c r="BV470" s="3"/>
      <c r="BW470" s="3"/>
      <c r="BX470" s="3"/>
      <c r="BY470" s="3"/>
      <c r="BZ470" s="3"/>
      <c r="CA470" s="3"/>
      <c r="CB470" s="3"/>
      <c r="CC470" s="3"/>
      <c r="CD470" s="3"/>
      <c r="CE470" s="3"/>
      <c r="CF470" s="3"/>
      <c r="CG470" s="3"/>
      <c r="CH470" s="3"/>
      <c r="CI470" s="3"/>
      <c r="CJ470" s="3"/>
      <c r="CK470" s="3"/>
      <c r="CL470" s="3"/>
      <c r="CM470" s="3"/>
      <c r="CN470" s="3"/>
      <c r="CO470" s="3"/>
      <c r="CP470" s="3"/>
      <c r="CQ470" s="4"/>
      <c r="CR470" s="4"/>
      <c r="CS470" s="4"/>
      <c r="CT470" s="4"/>
      <c r="CU470" s="4"/>
      <c r="CV470" s="4"/>
    </row>
    <row r="471" spans="1:100"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c r="BM471" s="3"/>
      <c r="BN471" s="3"/>
      <c r="BO471" s="3"/>
      <c r="BP471" s="3"/>
      <c r="BQ471" s="3"/>
      <c r="BR471" s="3"/>
      <c r="BS471" s="3"/>
      <c r="BT471" s="3"/>
      <c r="BU471" s="3"/>
      <c r="BV471" s="3"/>
      <c r="BW471" s="3"/>
      <c r="BX471" s="3"/>
      <c r="BY471" s="3"/>
      <c r="BZ471" s="3"/>
      <c r="CA471" s="3"/>
      <c r="CB471" s="3"/>
      <c r="CC471" s="3"/>
      <c r="CD471" s="3"/>
      <c r="CE471" s="3"/>
      <c r="CF471" s="3"/>
      <c r="CG471" s="3"/>
      <c r="CH471" s="3"/>
      <c r="CI471" s="3"/>
      <c r="CJ471" s="3"/>
      <c r="CK471" s="3"/>
      <c r="CL471" s="3"/>
      <c r="CM471" s="3"/>
      <c r="CN471" s="3"/>
      <c r="CO471" s="3"/>
      <c r="CP471" s="3"/>
      <c r="CQ471" s="4"/>
      <c r="CR471" s="4"/>
      <c r="CS471" s="4"/>
      <c r="CT471" s="4"/>
      <c r="CU471" s="4"/>
      <c r="CV471" s="4"/>
    </row>
    <row r="472" spans="1:100"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c r="BM472" s="3"/>
      <c r="BN472" s="3"/>
      <c r="BO472" s="3"/>
      <c r="BP472" s="3"/>
      <c r="BQ472" s="3"/>
      <c r="BR472" s="3"/>
      <c r="BS472" s="3"/>
      <c r="BT472" s="3"/>
      <c r="BU472" s="3"/>
      <c r="BV472" s="3"/>
      <c r="BW472" s="3"/>
      <c r="BX472" s="3"/>
      <c r="BY472" s="3"/>
      <c r="BZ472" s="3"/>
      <c r="CA472" s="3"/>
      <c r="CB472" s="3"/>
      <c r="CC472" s="3"/>
      <c r="CD472" s="3"/>
      <c r="CE472" s="3"/>
      <c r="CF472" s="3"/>
      <c r="CG472" s="3"/>
      <c r="CH472" s="3"/>
      <c r="CI472" s="3"/>
      <c r="CJ472" s="3"/>
      <c r="CK472" s="3"/>
      <c r="CL472" s="3"/>
      <c r="CM472" s="3"/>
      <c r="CN472" s="3"/>
      <c r="CO472" s="3"/>
      <c r="CP472" s="3"/>
      <c r="CQ472" s="4"/>
      <c r="CR472" s="4"/>
      <c r="CS472" s="4"/>
      <c r="CT472" s="4"/>
      <c r="CU472" s="4"/>
      <c r="CV472" s="4"/>
    </row>
    <row r="473" spans="1:100"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c r="BM473" s="3"/>
      <c r="BN473" s="3"/>
      <c r="BO473" s="3"/>
      <c r="BP473" s="3"/>
      <c r="BQ473" s="3"/>
      <c r="BR473" s="3"/>
      <c r="BS473" s="3"/>
      <c r="BT473" s="3"/>
      <c r="BU473" s="3"/>
      <c r="BV473" s="3"/>
      <c r="BW473" s="3"/>
      <c r="BX473" s="3"/>
      <c r="BY473" s="3"/>
      <c r="BZ473" s="3"/>
      <c r="CA473" s="3"/>
      <c r="CB473" s="3"/>
      <c r="CC473" s="3"/>
      <c r="CD473" s="3"/>
      <c r="CE473" s="3"/>
      <c r="CF473" s="3"/>
      <c r="CG473" s="3"/>
      <c r="CH473" s="3"/>
      <c r="CI473" s="3"/>
      <c r="CJ473" s="3"/>
      <c r="CK473" s="3"/>
      <c r="CL473" s="3"/>
      <c r="CM473" s="3"/>
      <c r="CN473" s="3"/>
      <c r="CO473" s="3"/>
      <c r="CP473" s="3"/>
      <c r="CQ473" s="4"/>
      <c r="CR473" s="4"/>
      <c r="CS473" s="4"/>
      <c r="CT473" s="4"/>
      <c r="CU473" s="4"/>
      <c r="CV473" s="4"/>
    </row>
    <row r="474" spans="1:100"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c r="BM474" s="3"/>
      <c r="BN474" s="3"/>
      <c r="BO474" s="3"/>
      <c r="BP474" s="3"/>
      <c r="BQ474" s="3"/>
      <c r="BR474" s="3"/>
      <c r="BS474" s="3"/>
      <c r="BT474" s="3"/>
      <c r="BU474" s="3"/>
      <c r="BV474" s="3"/>
      <c r="BW474" s="3"/>
      <c r="BX474" s="3"/>
      <c r="BY474" s="3"/>
      <c r="BZ474" s="3"/>
      <c r="CA474" s="3"/>
      <c r="CB474" s="3"/>
      <c r="CC474" s="3"/>
      <c r="CD474" s="3"/>
      <c r="CE474" s="3"/>
      <c r="CF474" s="3"/>
      <c r="CG474" s="3"/>
      <c r="CH474" s="3"/>
      <c r="CI474" s="3"/>
      <c r="CJ474" s="3"/>
      <c r="CK474" s="3"/>
      <c r="CL474" s="3"/>
      <c r="CM474" s="3"/>
      <c r="CN474" s="3"/>
      <c r="CO474" s="3"/>
      <c r="CP474" s="3"/>
      <c r="CQ474" s="4"/>
      <c r="CR474" s="4"/>
      <c r="CS474" s="4"/>
      <c r="CT474" s="4"/>
      <c r="CU474" s="4"/>
      <c r="CV474" s="4"/>
    </row>
    <row r="475" spans="1:100"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c r="BM475" s="3"/>
      <c r="BN475" s="3"/>
      <c r="BO475" s="3"/>
      <c r="BP475" s="3"/>
      <c r="BQ475" s="3"/>
      <c r="BR475" s="3"/>
      <c r="BS475" s="3"/>
      <c r="BT475" s="3"/>
      <c r="BU475" s="3"/>
      <c r="BV475" s="3"/>
      <c r="BW475" s="3"/>
      <c r="BX475" s="3"/>
      <c r="BY475" s="3"/>
      <c r="BZ475" s="3"/>
      <c r="CA475" s="3"/>
      <c r="CB475" s="3"/>
      <c r="CC475" s="3"/>
      <c r="CD475" s="3"/>
      <c r="CE475" s="3"/>
      <c r="CF475" s="3"/>
      <c r="CG475" s="3"/>
      <c r="CH475" s="3"/>
      <c r="CI475" s="3"/>
      <c r="CJ475" s="3"/>
      <c r="CK475" s="3"/>
      <c r="CL475" s="3"/>
      <c r="CM475" s="3"/>
      <c r="CN475" s="3"/>
      <c r="CO475" s="3"/>
      <c r="CP475" s="3"/>
      <c r="CQ475" s="4"/>
      <c r="CR475" s="4"/>
      <c r="CS475" s="4"/>
      <c r="CT475" s="4"/>
      <c r="CU475" s="4"/>
      <c r="CV475" s="4"/>
    </row>
    <row r="476" spans="1:100"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c r="BM476" s="3"/>
      <c r="BN476" s="3"/>
      <c r="BO476" s="3"/>
      <c r="BP476" s="3"/>
      <c r="BQ476" s="3"/>
      <c r="BR476" s="3"/>
      <c r="BS476" s="3"/>
      <c r="BT476" s="3"/>
      <c r="BU476" s="3"/>
      <c r="BV476" s="3"/>
      <c r="BW476" s="3"/>
      <c r="BX476" s="3"/>
      <c r="BY476" s="3"/>
      <c r="BZ476" s="3"/>
      <c r="CA476" s="3"/>
      <c r="CB476" s="3"/>
      <c r="CC476" s="3"/>
      <c r="CD476" s="3"/>
      <c r="CE476" s="3"/>
      <c r="CF476" s="3"/>
      <c r="CG476" s="3"/>
      <c r="CH476" s="3"/>
      <c r="CI476" s="3"/>
      <c r="CJ476" s="3"/>
      <c r="CK476" s="3"/>
      <c r="CL476" s="3"/>
      <c r="CM476" s="3"/>
      <c r="CN476" s="3"/>
      <c r="CO476" s="3"/>
      <c r="CP476" s="3"/>
      <c r="CQ476" s="4"/>
      <c r="CR476" s="4"/>
      <c r="CS476" s="4"/>
      <c r="CT476" s="4"/>
      <c r="CU476" s="4"/>
      <c r="CV476" s="4"/>
    </row>
    <row r="477" spans="1:100"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c r="BM477" s="3"/>
      <c r="BN477" s="3"/>
      <c r="BO477" s="3"/>
      <c r="BP477" s="3"/>
      <c r="BQ477" s="3"/>
      <c r="BR477" s="3"/>
      <c r="BS477" s="3"/>
      <c r="BT477" s="3"/>
      <c r="BU477" s="3"/>
      <c r="BV477" s="3"/>
      <c r="BW477" s="3"/>
      <c r="BX477" s="3"/>
      <c r="BY477" s="3"/>
      <c r="BZ477" s="3"/>
      <c r="CA477" s="3"/>
      <c r="CB477" s="3"/>
      <c r="CC477" s="3"/>
      <c r="CD477" s="3"/>
      <c r="CE477" s="3"/>
      <c r="CF477" s="3"/>
      <c r="CG477" s="3"/>
      <c r="CH477" s="3"/>
      <c r="CI477" s="3"/>
      <c r="CJ477" s="3"/>
      <c r="CK477" s="3"/>
      <c r="CL477" s="3"/>
      <c r="CM477" s="3"/>
      <c r="CN477" s="3"/>
      <c r="CO477" s="3"/>
      <c r="CP477" s="3"/>
      <c r="CQ477" s="4"/>
      <c r="CR477" s="4"/>
      <c r="CS477" s="4"/>
      <c r="CT477" s="4"/>
      <c r="CU477" s="4"/>
      <c r="CV477" s="4"/>
    </row>
    <row r="478" spans="1:100"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c r="BM478" s="3"/>
      <c r="BN478" s="3"/>
      <c r="BO478" s="3"/>
      <c r="BP478" s="3"/>
      <c r="BQ478" s="3"/>
      <c r="BR478" s="3"/>
      <c r="BS478" s="3"/>
      <c r="BT478" s="3"/>
      <c r="BU478" s="3"/>
      <c r="BV478" s="3"/>
      <c r="BW478" s="3"/>
      <c r="BX478" s="3"/>
      <c r="BY478" s="3"/>
      <c r="BZ478" s="3"/>
      <c r="CA478" s="3"/>
      <c r="CB478" s="3"/>
      <c r="CC478" s="3"/>
      <c r="CD478" s="3"/>
      <c r="CE478" s="3"/>
      <c r="CF478" s="3"/>
      <c r="CG478" s="3"/>
      <c r="CH478" s="3"/>
      <c r="CI478" s="3"/>
      <c r="CJ478" s="3"/>
      <c r="CK478" s="3"/>
      <c r="CL478" s="3"/>
      <c r="CM478" s="3"/>
      <c r="CN478" s="3"/>
      <c r="CO478" s="3"/>
      <c r="CP478" s="3"/>
      <c r="CQ478" s="4"/>
      <c r="CR478" s="4"/>
      <c r="CS478" s="4"/>
      <c r="CT478" s="4"/>
      <c r="CU478" s="4"/>
      <c r="CV478" s="4"/>
    </row>
    <row r="479" spans="1:100"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c r="BL479" s="3"/>
      <c r="BM479" s="3"/>
      <c r="BN479" s="3"/>
      <c r="BO479" s="3"/>
      <c r="BP479" s="3"/>
      <c r="BQ479" s="3"/>
      <c r="BR479" s="3"/>
      <c r="BS479" s="3"/>
      <c r="BT479" s="3"/>
      <c r="BU479" s="3"/>
      <c r="BV479" s="3"/>
      <c r="BW479" s="3"/>
      <c r="BX479" s="3"/>
      <c r="BY479" s="3"/>
      <c r="BZ479" s="3"/>
      <c r="CA479" s="3"/>
      <c r="CB479" s="3"/>
      <c r="CC479" s="3"/>
      <c r="CD479" s="3"/>
      <c r="CE479" s="3"/>
      <c r="CF479" s="3"/>
      <c r="CG479" s="3"/>
      <c r="CH479" s="3"/>
      <c r="CI479" s="3"/>
      <c r="CJ479" s="3"/>
      <c r="CK479" s="3"/>
      <c r="CL479" s="3"/>
      <c r="CM479" s="3"/>
      <c r="CN479" s="3"/>
      <c r="CO479" s="3"/>
      <c r="CP479" s="3"/>
      <c r="CQ479" s="4"/>
      <c r="CR479" s="4"/>
      <c r="CS479" s="4"/>
      <c r="CT479" s="4"/>
      <c r="CU479" s="4"/>
      <c r="CV479" s="4"/>
    </row>
    <row r="480" spans="1:100"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c r="BL480" s="3"/>
      <c r="BM480" s="3"/>
      <c r="BN480" s="3"/>
      <c r="BO480" s="3"/>
      <c r="BP480" s="3"/>
      <c r="BQ480" s="3"/>
      <c r="BR480" s="3"/>
      <c r="BS480" s="3"/>
      <c r="BT480" s="3"/>
      <c r="BU480" s="3"/>
      <c r="BV480" s="3"/>
      <c r="BW480" s="3"/>
      <c r="BX480" s="3"/>
      <c r="BY480" s="3"/>
      <c r="BZ480" s="3"/>
      <c r="CA480" s="3"/>
      <c r="CB480" s="3"/>
      <c r="CC480" s="3"/>
      <c r="CD480" s="3"/>
      <c r="CE480" s="3"/>
      <c r="CF480" s="3"/>
      <c r="CG480" s="3"/>
      <c r="CH480" s="3"/>
      <c r="CI480" s="3"/>
      <c r="CJ480" s="3"/>
      <c r="CK480" s="3"/>
      <c r="CL480" s="3"/>
      <c r="CM480" s="3"/>
      <c r="CN480" s="3"/>
      <c r="CO480" s="3"/>
      <c r="CP480" s="3"/>
      <c r="CQ480" s="4"/>
      <c r="CR480" s="4"/>
      <c r="CS480" s="4"/>
      <c r="CT480" s="4"/>
      <c r="CU480" s="4"/>
      <c r="CV480" s="4"/>
    </row>
    <row r="481" spans="1:100"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c r="BL481" s="3"/>
      <c r="BM481" s="3"/>
      <c r="BN481" s="3"/>
      <c r="BO481" s="3"/>
      <c r="BP481" s="3"/>
      <c r="BQ481" s="3"/>
      <c r="BR481" s="3"/>
      <c r="BS481" s="3"/>
      <c r="BT481" s="3"/>
      <c r="BU481" s="3"/>
      <c r="BV481" s="3"/>
      <c r="BW481" s="3"/>
      <c r="BX481" s="3"/>
      <c r="BY481" s="3"/>
      <c r="BZ481" s="3"/>
      <c r="CA481" s="3"/>
      <c r="CB481" s="3"/>
      <c r="CC481" s="3"/>
      <c r="CD481" s="3"/>
      <c r="CE481" s="3"/>
      <c r="CF481" s="3"/>
      <c r="CG481" s="3"/>
      <c r="CH481" s="3"/>
      <c r="CI481" s="3"/>
      <c r="CJ481" s="3"/>
      <c r="CK481" s="3"/>
      <c r="CL481" s="3"/>
      <c r="CM481" s="3"/>
      <c r="CN481" s="3"/>
      <c r="CO481" s="3"/>
      <c r="CP481" s="3"/>
      <c r="CQ481" s="4"/>
      <c r="CR481" s="4"/>
      <c r="CS481" s="4"/>
      <c r="CT481" s="4"/>
      <c r="CU481" s="4"/>
      <c r="CV481" s="4"/>
    </row>
    <row r="482" spans="1:100"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c r="BL482" s="3"/>
      <c r="BM482" s="3"/>
      <c r="BN482" s="3"/>
      <c r="BO482" s="3"/>
      <c r="BP482" s="3"/>
      <c r="BQ482" s="3"/>
      <c r="BR482" s="3"/>
      <c r="BS482" s="3"/>
      <c r="BT482" s="3"/>
      <c r="BU482" s="3"/>
      <c r="BV482" s="3"/>
      <c r="BW482" s="3"/>
      <c r="BX482" s="3"/>
      <c r="BY482" s="3"/>
      <c r="BZ482" s="3"/>
      <c r="CA482" s="3"/>
      <c r="CB482" s="3"/>
      <c r="CC482" s="3"/>
      <c r="CD482" s="3"/>
      <c r="CE482" s="3"/>
      <c r="CF482" s="3"/>
      <c r="CG482" s="3"/>
      <c r="CH482" s="3"/>
      <c r="CI482" s="3"/>
      <c r="CJ482" s="3"/>
      <c r="CK482" s="3"/>
      <c r="CL482" s="3"/>
      <c r="CM482" s="3"/>
      <c r="CN482" s="3"/>
      <c r="CO482" s="3"/>
      <c r="CP482" s="3"/>
      <c r="CQ482" s="4"/>
      <c r="CR482" s="4"/>
      <c r="CS482" s="4"/>
      <c r="CT482" s="4"/>
      <c r="CU482" s="4"/>
      <c r="CV482" s="4"/>
    </row>
    <row r="483" spans="1:100"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c r="BL483" s="3"/>
      <c r="BM483" s="3"/>
      <c r="BN483" s="3"/>
      <c r="BO483" s="3"/>
      <c r="BP483" s="3"/>
      <c r="BQ483" s="3"/>
      <c r="BR483" s="3"/>
      <c r="BS483" s="3"/>
      <c r="BT483" s="3"/>
      <c r="BU483" s="3"/>
      <c r="BV483" s="3"/>
      <c r="BW483" s="3"/>
      <c r="BX483" s="3"/>
      <c r="BY483" s="3"/>
      <c r="BZ483" s="3"/>
      <c r="CA483" s="3"/>
      <c r="CB483" s="3"/>
      <c r="CC483" s="3"/>
      <c r="CD483" s="3"/>
      <c r="CE483" s="3"/>
      <c r="CF483" s="3"/>
      <c r="CG483" s="3"/>
      <c r="CH483" s="3"/>
      <c r="CI483" s="3"/>
      <c r="CJ483" s="3"/>
      <c r="CK483" s="3"/>
      <c r="CL483" s="3"/>
      <c r="CM483" s="3"/>
      <c r="CN483" s="3"/>
      <c r="CO483" s="3"/>
      <c r="CP483" s="3"/>
      <c r="CQ483" s="4"/>
      <c r="CR483" s="4"/>
      <c r="CS483" s="4"/>
      <c r="CT483" s="4"/>
      <c r="CU483" s="4"/>
      <c r="CV483" s="4"/>
    </row>
    <row r="484" spans="1:100"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c r="BL484" s="3"/>
      <c r="BM484" s="3"/>
      <c r="BN484" s="3"/>
      <c r="BO484" s="3"/>
      <c r="BP484" s="3"/>
      <c r="BQ484" s="3"/>
      <c r="BR484" s="3"/>
      <c r="BS484" s="3"/>
      <c r="BT484" s="3"/>
      <c r="BU484" s="3"/>
      <c r="BV484" s="3"/>
      <c r="BW484" s="3"/>
      <c r="BX484" s="3"/>
      <c r="BY484" s="3"/>
      <c r="BZ484" s="3"/>
      <c r="CA484" s="3"/>
      <c r="CB484" s="3"/>
      <c r="CC484" s="3"/>
      <c r="CD484" s="3"/>
      <c r="CE484" s="3"/>
      <c r="CF484" s="3"/>
      <c r="CG484" s="3"/>
      <c r="CH484" s="3"/>
      <c r="CI484" s="3"/>
      <c r="CJ484" s="3"/>
      <c r="CK484" s="3"/>
      <c r="CL484" s="3"/>
      <c r="CM484" s="3"/>
      <c r="CN484" s="3"/>
      <c r="CO484" s="3"/>
      <c r="CP484" s="3"/>
      <c r="CQ484" s="4"/>
      <c r="CR484" s="4"/>
      <c r="CS484" s="4"/>
      <c r="CT484" s="4"/>
      <c r="CU484" s="4"/>
      <c r="CV484" s="4"/>
    </row>
    <row r="485" spans="1:100"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c r="BL485" s="3"/>
      <c r="BM485" s="3"/>
      <c r="BN485" s="3"/>
      <c r="BO485" s="3"/>
      <c r="BP485" s="3"/>
      <c r="BQ485" s="3"/>
      <c r="BR485" s="3"/>
      <c r="BS485" s="3"/>
      <c r="BT485" s="3"/>
      <c r="BU485" s="3"/>
      <c r="BV485" s="3"/>
      <c r="BW485" s="3"/>
      <c r="BX485" s="3"/>
      <c r="BY485" s="3"/>
      <c r="BZ485" s="3"/>
      <c r="CA485" s="3"/>
      <c r="CB485" s="3"/>
      <c r="CC485" s="3"/>
      <c r="CD485" s="3"/>
      <c r="CE485" s="3"/>
      <c r="CF485" s="3"/>
      <c r="CG485" s="3"/>
      <c r="CH485" s="3"/>
      <c r="CI485" s="3"/>
      <c r="CJ485" s="3"/>
      <c r="CK485" s="3"/>
      <c r="CL485" s="3"/>
      <c r="CM485" s="3"/>
      <c r="CN485" s="3"/>
      <c r="CO485" s="3"/>
      <c r="CP485" s="3"/>
      <c r="CQ485" s="4"/>
      <c r="CR485" s="4"/>
      <c r="CS485" s="4"/>
      <c r="CT485" s="4"/>
      <c r="CU485" s="4"/>
      <c r="CV485" s="4"/>
    </row>
    <row r="486" spans="1:100"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c r="BF486" s="3"/>
      <c r="BG486" s="3"/>
      <c r="BH486" s="3"/>
      <c r="BI486" s="3"/>
      <c r="BJ486" s="3"/>
      <c r="BK486" s="3"/>
      <c r="BL486" s="3"/>
      <c r="BM486" s="3"/>
      <c r="BN486" s="3"/>
      <c r="BO486" s="3"/>
      <c r="BP486" s="3"/>
      <c r="BQ486" s="3"/>
      <c r="BR486" s="3"/>
      <c r="BS486" s="3"/>
      <c r="BT486" s="3"/>
      <c r="BU486" s="3"/>
      <c r="BV486" s="3"/>
      <c r="BW486" s="3"/>
      <c r="BX486" s="3"/>
      <c r="BY486" s="3"/>
      <c r="BZ486" s="3"/>
      <c r="CA486" s="3"/>
      <c r="CB486" s="3"/>
      <c r="CC486" s="3"/>
      <c r="CD486" s="3"/>
      <c r="CE486" s="3"/>
      <c r="CF486" s="3"/>
      <c r="CG486" s="3"/>
      <c r="CH486" s="3"/>
      <c r="CI486" s="3"/>
      <c r="CJ486" s="3"/>
      <c r="CK486" s="3"/>
      <c r="CL486" s="3"/>
      <c r="CM486" s="3"/>
      <c r="CN486" s="3"/>
      <c r="CO486" s="3"/>
      <c r="CP486" s="3"/>
      <c r="CQ486" s="4"/>
      <c r="CR486" s="4"/>
      <c r="CS486" s="4"/>
      <c r="CT486" s="4"/>
      <c r="CU486" s="4"/>
      <c r="CV486" s="4"/>
    </row>
    <row r="487" spans="1:100"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c r="AU487" s="3"/>
      <c r="AV487" s="3"/>
      <c r="AW487" s="3"/>
      <c r="AX487" s="3"/>
      <c r="AY487" s="3"/>
      <c r="AZ487" s="3"/>
      <c r="BA487" s="3"/>
      <c r="BB487" s="3"/>
      <c r="BC487" s="3"/>
      <c r="BD487" s="3"/>
      <c r="BE487" s="3"/>
      <c r="BF487" s="3"/>
      <c r="BG487" s="3"/>
      <c r="BH487" s="3"/>
      <c r="BI487" s="3"/>
      <c r="BJ487" s="3"/>
      <c r="BK487" s="3"/>
      <c r="BL487" s="3"/>
      <c r="BM487" s="3"/>
      <c r="BN487" s="3"/>
      <c r="BO487" s="3"/>
      <c r="BP487" s="3"/>
      <c r="BQ487" s="3"/>
      <c r="BR487" s="3"/>
      <c r="BS487" s="3"/>
      <c r="BT487" s="3"/>
      <c r="BU487" s="3"/>
      <c r="BV487" s="3"/>
      <c r="BW487" s="3"/>
      <c r="BX487" s="3"/>
      <c r="BY487" s="3"/>
      <c r="BZ487" s="3"/>
      <c r="CA487" s="3"/>
      <c r="CB487" s="3"/>
      <c r="CC487" s="3"/>
      <c r="CD487" s="3"/>
      <c r="CE487" s="3"/>
      <c r="CF487" s="3"/>
      <c r="CG487" s="3"/>
      <c r="CH487" s="3"/>
      <c r="CI487" s="3"/>
      <c r="CJ487" s="3"/>
      <c r="CK487" s="3"/>
      <c r="CL487" s="3"/>
      <c r="CM487" s="3"/>
      <c r="CN487" s="3"/>
      <c r="CO487" s="3"/>
      <c r="CP487" s="3"/>
      <c r="CQ487" s="4"/>
      <c r="CR487" s="4"/>
      <c r="CS487" s="4"/>
      <c r="CT487" s="4"/>
      <c r="CU487" s="4"/>
      <c r="CV487" s="4"/>
    </row>
    <row r="488" spans="1:100"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c r="AQ488" s="3"/>
      <c r="AR488" s="3"/>
      <c r="AS488" s="3"/>
      <c r="AT488" s="3"/>
      <c r="AU488" s="3"/>
      <c r="AV488" s="3"/>
      <c r="AW488" s="3"/>
      <c r="AX488" s="3"/>
      <c r="AY488" s="3"/>
      <c r="AZ488" s="3"/>
      <c r="BA488" s="3"/>
      <c r="BB488" s="3"/>
      <c r="BC488" s="3"/>
      <c r="BD488" s="3"/>
      <c r="BE488" s="3"/>
      <c r="BF488" s="3"/>
      <c r="BG488" s="3"/>
      <c r="BH488" s="3"/>
      <c r="BI488" s="3"/>
      <c r="BJ488" s="3"/>
      <c r="BK488" s="3"/>
      <c r="BL488" s="3"/>
      <c r="BM488" s="3"/>
      <c r="BN488" s="3"/>
      <c r="BO488" s="3"/>
      <c r="BP488" s="3"/>
      <c r="BQ488" s="3"/>
      <c r="BR488" s="3"/>
      <c r="BS488" s="3"/>
      <c r="BT488" s="3"/>
      <c r="BU488" s="3"/>
      <c r="BV488" s="3"/>
      <c r="BW488" s="3"/>
      <c r="BX488" s="3"/>
      <c r="BY488" s="3"/>
      <c r="BZ488" s="3"/>
      <c r="CA488" s="3"/>
      <c r="CB488" s="3"/>
      <c r="CC488" s="3"/>
      <c r="CD488" s="3"/>
      <c r="CE488" s="3"/>
      <c r="CF488" s="3"/>
      <c r="CG488" s="3"/>
      <c r="CH488" s="3"/>
      <c r="CI488" s="3"/>
      <c r="CJ488" s="3"/>
      <c r="CK488" s="3"/>
      <c r="CL488" s="3"/>
      <c r="CM488" s="3"/>
      <c r="CN488" s="3"/>
      <c r="CO488" s="3"/>
      <c r="CP488" s="3"/>
      <c r="CQ488" s="4"/>
      <c r="CR488" s="4"/>
      <c r="CS488" s="4"/>
      <c r="CT488" s="4"/>
      <c r="CU488" s="4"/>
      <c r="CV488" s="4"/>
    </row>
    <row r="489" spans="1:100"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c r="AQ489" s="3"/>
      <c r="AR489" s="3"/>
      <c r="AS489" s="3"/>
      <c r="AT489" s="3"/>
      <c r="AU489" s="3"/>
      <c r="AV489" s="3"/>
      <c r="AW489" s="3"/>
      <c r="AX489" s="3"/>
      <c r="AY489" s="3"/>
      <c r="AZ489" s="3"/>
      <c r="BA489" s="3"/>
      <c r="BB489" s="3"/>
      <c r="BC489" s="3"/>
      <c r="BD489" s="3"/>
      <c r="BE489" s="3"/>
      <c r="BF489" s="3"/>
      <c r="BG489" s="3"/>
      <c r="BH489" s="3"/>
      <c r="BI489" s="3"/>
      <c r="BJ489" s="3"/>
      <c r="BK489" s="3"/>
      <c r="BL489" s="3"/>
      <c r="BM489" s="3"/>
      <c r="BN489" s="3"/>
      <c r="BO489" s="3"/>
      <c r="BP489" s="3"/>
      <c r="BQ489" s="3"/>
      <c r="BR489" s="3"/>
      <c r="BS489" s="3"/>
      <c r="BT489" s="3"/>
      <c r="BU489" s="3"/>
      <c r="BV489" s="3"/>
      <c r="BW489" s="3"/>
      <c r="BX489" s="3"/>
      <c r="BY489" s="3"/>
      <c r="BZ489" s="3"/>
      <c r="CA489" s="3"/>
      <c r="CB489" s="3"/>
      <c r="CC489" s="3"/>
      <c r="CD489" s="3"/>
      <c r="CE489" s="3"/>
      <c r="CF489" s="3"/>
      <c r="CG489" s="3"/>
      <c r="CH489" s="3"/>
      <c r="CI489" s="3"/>
      <c r="CJ489" s="3"/>
      <c r="CK489" s="3"/>
      <c r="CL489" s="3"/>
      <c r="CM489" s="3"/>
      <c r="CN489" s="3"/>
      <c r="CO489" s="3"/>
      <c r="CP489" s="3"/>
      <c r="CQ489" s="4"/>
      <c r="CR489" s="4"/>
      <c r="CS489" s="4"/>
      <c r="CT489" s="4"/>
      <c r="CU489" s="4"/>
      <c r="CV489" s="4"/>
    </row>
    <row r="490" spans="1:100"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c r="AP490" s="3"/>
      <c r="AQ490" s="3"/>
      <c r="AR490" s="3"/>
      <c r="AS490" s="3"/>
      <c r="AT490" s="3"/>
      <c r="AU490" s="3"/>
      <c r="AV490" s="3"/>
      <c r="AW490" s="3"/>
      <c r="AX490" s="3"/>
      <c r="AY490" s="3"/>
      <c r="AZ490" s="3"/>
      <c r="BA490" s="3"/>
      <c r="BB490" s="3"/>
      <c r="BC490" s="3"/>
      <c r="BD490" s="3"/>
      <c r="BE490" s="3"/>
      <c r="BF490" s="3"/>
      <c r="BG490" s="3"/>
      <c r="BH490" s="3"/>
      <c r="BI490" s="3"/>
      <c r="BJ490" s="3"/>
      <c r="BK490" s="3"/>
      <c r="BL490" s="3"/>
      <c r="BM490" s="3"/>
      <c r="BN490" s="3"/>
      <c r="BO490" s="3"/>
      <c r="BP490" s="3"/>
      <c r="BQ490" s="3"/>
      <c r="BR490" s="3"/>
      <c r="BS490" s="3"/>
      <c r="BT490" s="3"/>
      <c r="BU490" s="3"/>
      <c r="BV490" s="3"/>
      <c r="BW490" s="3"/>
      <c r="BX490" s="3"/>
      <c r="BY490" s="3"/>
      <c r="BZ490" s="3"/>
      <c r="CA490" s="3"/>
      <c r="CB490" s="3"/>
      <c r="CC490" s="3"/>
      <c r="CD490" s="3"/>
      <c r="CE490" s="3"/>
      <c r="CF490" s="3"/>
      <c r="CG490" s="3"/>
      <c r="CH490" s="3"/>
      <c r="CI490" s="3"/>
      <c r="CJ490" s="3"/>
      <c r="CK490" s="3"/>
      <c r="CL490" s="3"/>
      <c r="CM490" s="3"/>
      <c r="CN490" s="3"/>
      <c r="CO490" s="3"/>
      <c r="CP490" s="3"/>
      <c r="CQ490" s="4"/>
      <c r="CR490" s="4"/>
      <c r="CS490" s="4"/>
      <c r="CT490" s="4"/>
      <c r="CU490" s="4"/>
      <c r="CV490" s="4"/>
    </row>
    <row r="491" spans="1:100"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c r="AQ491" s="3"/>
      <c r="AR491" s="3"/>
      <c r="AS491" s="3"/>
      <c r="AT491" s="3"/>
      <c r="AU491" s="3"/>
      <c r="AV491" s="3"/>
      <c r="AW491" s="3"/>
      <c r="AX491" s="3"/>
      <c r="AY491" s="3"/>
      <c r="AZ491" s="3"/>
      <c r="BA491" s="3"/>
      <c r="BB491" s="3"/>
      <c r="BC491" s="3"/>
      <c r="BD491" s="3"/>
      <c r="BE491" s="3"/>
      <c r="BF491" s="3"/>
      <c r="BG491" s="3"/>
      <c r="BH491" s="3"/>
      <c r="BI491" s="3"/>
      <c r="BJ491" s="3"/>
      <c r="BK491" s="3"/>
      <c r="BL491" s="3"/>
      <c r="BM491" s="3"/>
      <c r="BN491" s="3"/>
      <c r="BO491" s="3"/>
      <c r="BP491" s="3"/>
      <c r="BQ491" s="3"/>
      <c r="BR491" s="3"/>
      <c r="BS491" s="3"/>
      <c r="BT491" s="3"/>
      <c r="BU491" s="3"/>
      <c r="BV491" s="3"/>
      <c r="BW491" s="3"/>
      <c r="BX491" s="3"/>
      <c r="BY491" s="3"/>
      <c r="BZ491" s="3"/>
      <c r="CA491" s="3"/>
      <c r="CB491" s="3"/>
      <c r="CC491" s="3"/>
      <c r="CD491" s="3"/>
      <c r="CE491" s="3"/>
      <c r="CF491" s="3"/>
      <c r="CG491" s="3"/>
      <c r="CH491" s="3"/>
      <c r="CI491" s="3"/>
      <c r="CJ491" s="3"/>
      <c r="CK491" s="3"/>
      <c r="CL491" s="3"/>
      <c r="CM491" s="3"/>
      <c r="CN491" s="3"/>
      <c r="CO491" s="3"/>
      <c r="CP491" s="3"/>
      <c r="CQ491" s="4"/>
      <c r="CR491" s="4"/>
      <c r="CS491" s="4"/>
      <c r="CT491" s="4"/>
      <c r="CU491" s="4"/>
      <c r="CV491" s="4"/>
    </row>
    <row r="492" spans="1:100"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c r="AP492" s="3"/>
      <c r="AQ492" s="3"/>
      <c r="AR492" s="3"/>
      <c r="AS492" s="3"/>
      <c r="AT492" s="3"/>
      <c r="AU492" s="3"/>
      <c r="AV492" s="3"/>
      <c r="AW492" s="3"/>
      <c r="AX492" s="3"/>
      <c r="AY492" s="3"/>
      <c r="AZ492" s="3"/>
      <c r="BA492" s="3"/>
      <c r="BB492" s="3"/>
      <c r="BC492" s="3"/>
      <c r="BD492" s="3"/>
      <c r="BE492" s="3"/>
      <c r="BF492" s="3"/>
      <c r="BG492" s="3"/>
      <c r="BH492" s="3"/>
      <c r="BI492" s="3"/>
      <c r="BJ492" s="3"/>
      <c r="BK492" s="3"/>
      <c r="BL492" s="3"/>
      <c r="BM492" s="3"/>
      <c r="BN492" s="3"/>
      <c r="BO492" s="3"/>
      <c r="BP492" s="3"/>
      <c r="BQ492" s="3"/>
      <c r="BR492" s="3"/>
      <c r="BS492" s="3"/>
      <c r="BT492" s="3"/>
      <c r="BU492" s="3"/>
      <c r="BV492" s="3"/>
      <c r="BW492" s="3"/>
      <c r="BX492" s="3"/>
      <c r="BY492" s="3"/>
      <c r="BZ492" s="3"/>
      <c r="CA492" s="3"/>
      <c r="CB492" s="3"/>
      <c r="CC492" s="3"/>
      <c r="CD492" s="3"/>
      <c r="CE492" s="3"/>
      <c r="CF492" s="3"/>
      <c r="CG492" s="3"/>
      <c r="CH492" s="3"/>
      <c r="CI492" s="3"/>
      <c r="CJ492" s="3"/>
      <c r="CK492" s="3"/>
      <c r="CL492" s="3"/>
      <c r="CM492" s="3"/>
      <c r="CN492" s="3"/>
      <c r="CO492" s="3"/>
      <c r="CP492" s="3"/>
      <c r="CQ492" s="4"/>
      <c r="CR492" s="4"/>
      <c r="CS492" s="4"/>
      <c r="CT492" s="4"/>
      <c r="CU492" s="4"/>
      <c r="CV492" s="4"/>
    </row>
    <row r="493" spans="1:100"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c r="AQ493" s="3"/>
      <c r="AR493" s="3"/>
      <c r="AS493" s="3"/>
      <c r="AT493" s="3"/>
      <c r="AU493" s="3"/>
      <c r="AV493" s="3"/>
      <c r="AW493" s="3"/>
      <c r="AX493" s="3"/>
      <c r="AY493" s="3"/>
      <c r="AZ493" s="3"/>
      <c r="BA493" s="3"/>
      <c r="BB493" s="3"/>
      <c r="BC493" s="3"/>
      <c r="BD493" s="3"/>
      <c r="BE493" s="3"/>
      <c r="BF493" s="3"/>
      <c r="BG493" s="3"/>
      <c r="BH493" s="3"/>
      <c r="BI493" s="3"/>
      <c r="BJ493" s="3"/>
      <c r="BK493" s="3"/>
      <c r="BL493" s="3"/>
      <c r="BM493" s="3"/>
      <c r="BN493" s="3"/>
      <c r="BO493" s="3"/>
      <c r="BP493" s="3"/>
      <c r="BQ493" s="3"/>
      <c r="BR493" s="3"/>
      <c r="BS493" s="3"/>
      <c r="BT493" s="3"/>
      <c r="BU493" s="3"/>
      <c r="BV493" s="3"/>
      <c r="BW493" s="3"/>
      <c r="BX493" s="3"/>
      <c r="BY493" s="3"/>
      <c r="BZ493" s="3"/>
      <c r="CA493" s="3"/>
      <c r="CB493" s="3"/>
      <c r="CC493" s="3"/>
      <c r="CD493" s="3"/>
      <c r="CE493" s="3"/>
      <c r="CF493" s="3"/>
      <c r="CG493" s="3"/>
      <c r="CH493" s="3"/>
      <c r="CI493" s="3"/>
      <c r="CJ493" s="3"/>
      <c r="CK493" s="3"/>
      <c r="CL493" s="3"/>
      <c r="CM493" s="3"/>
      <c r="CN493" s="3"/>
      <c r="CO493" s="3"/>
      <c r="CP493" s="3"/>
      <c r="CQ493" s="4"/>
      <c r="CR493" s="4"/>
      <c r="CS493" s="4"/>
      <c r="CT493" s="4"/>
      <c r="CU493" s="4"/>
      <c r="CV493" s="4"/>
    </row>
    <row r="494" spans="1:100"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c r="AP494" s="3"/>
      <c r="AQ494" s="3"/>
      <c r="AR494" s="3"/>
      <c r="AS494" s="3"/>
      <c r="AT494" s="3"/>
      <c r="AU494" s="3"/>
      <c r="AV494" s="3"/>
      <c r="AW494" s="3"/>
      <c r="AX494" s="3"/>
      <c r="AY494" s="3"/>
      <c r="AZ494" s="3"/>
      <c r="BA494" s="3"/>
      <c r="BB494" s="3"/>
      <c r="BC494" s="3"/>
      <c r="BD494" s="3"/>
      <c r="BE494" s="3"/>
      <c r="BF494" s="3"/>
      <c r="BG494" s="3"/>
      <c r="BH494" s="3"/>
      <c r="BI494" s="3"/>
      <c r="BJ494" s="3"/>
      <c r="BK494" s="3"/>
      <c r="BL494" s="3"/>
      <c r="BM494" s="3"/>
      <c r="BN494" s="3"/>
      <c r="BO494" s="3"/>
      <c r="BP494" s="3"/>
      <c r="BQ494" s="3"/>
      <c r="BR494" s="3"/>
      <c r="BS494" s="3"/>
      <c r="BT494" s="3"/>
      <c r="BU494" s="3"/>
      <c r="BV494" s="3"/>
      <c r="BW494" s="3"/>
      <c r="BX494" s="3"/>
      <c r="BY494" s="3"/>
      <c r="BZ494" s="3"/>
      <c r="CA494" s="3"/>
      <c r="CB494" s="3"/>
      <c r="CC494" s="3"/>
      <c r="CD494" s="3"/>
      <c r="CE494" s="3"/>
      <c r="CF494" s="3"/>
      <c r="CG494" s="3"/>
      <c r="CH494" s="3"/>
      <c r="CI494" s="3"/>
      <c r="CJ494" s="3"/>
      <c r="CK494" s="3"/>
      <c r="CL494" s="3"/>
      <c r="CM494" s="3"/>
      <c r="CN494" s="3"/>
      <c r="CO494" s="3"/>
      <c r="CP494" s="3"/>
      <c r="CQ494" s="4"/>
      <c r="CR494" s="4"/>
      <c r="CS494" s="4"/>
      <c r="CT494" s="4"/>
      <c r="CU494" s="4"/>
      <c r="CV494" s="4"/>
    </row>
    <row r="495" spans="1:100"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c r="AQ495" s="3"/>
      <c r="AR495" s="3"/>
      <c r="AS495" s="3"/>
      <c r="AT495" s="3"/>
      <c r="AU495" s="3"/>
      <c r="AV495" s="3"/>
      <c r="AW495" s="3"/>
      <c r="AX495" s="3"/>
      <c r="AY495" s="3"/>
      <c r="AZ495" s="3"/>
      <c r="BA495" s="3"/>
      <c r="BB495" s="3"/>
      <c r="BC495" s="3"/>
      <c r="BD495" s="3"/>
      <c r="BE495" s="3"/>
      <c r="BF495" s="3"/>
      <c r="BG495" s="3"/>
      <c r="BH495" s="3"/>
      <c r="BI495" s="3"/>
      <c r="BJ495" s="3"/>
      <c r="BK495" s="3"/>
      <c r="BL495" s="3"/>
      <c r="BM495" s="3"/>
      <c r="BN495" s="3"/>
      <c r="BO495" s="3"/>
      <c r="BP495" s="3"/>
      <c r="BQ495" s="3"/>
      <c r="BR495" s="3"/>
      <c r="BS495" s="3"/>
      <c r="BT495" s="3"/>
      <c r="BU495" s="3"/>
      <c r="BV495" s="3"/>
      <c r="BW495" s="3"/>
      <c r="BX495" s="3"/>
      <c r="BY495" s="3"/>
      <c r="BZ495" s="3"/>
      <c r="CA495" s="3"/>
      <c r="CB495" s="3"/>
      <c r="CC495" s="3"/>
      <c r="CD495" s="3"/>
      <c r="CE495" s="3"/>
      <c r="CF495" s="3"/>
      <c r="CG495" s="3"/>
      <c r="CH495" s="3"/>
      <c r="CI495" s="3"/>
      <c r="CJ495" s="3"/>
      <c r="CK495" s="3"/>
      <c r="CL495" s="3"/>
      <c r="CM495" s="3"/>
      <c r="CN495" s="3"/>
      <c r="CO495" s="3"/>
      <c r="CP495" s="3"/>
      <c r="CQ495" s="4"/>
      <c r="CR495" s="4"/>
      <c r="CS495" s="4"/>
      <c r="CT495" s="4"/>
      <c r="CU495" s="4"/>
      <c r="CV495" s="4"/>
    </row>
    <row r="496" spans="1:100"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c r="AP496" s="3"/>
      <c r="AQ496" s="3"/>
      <c r="AR496" s="3"/>
      <c r="AS496" s="3"/>
      <c r="AT496" s="3"/>
      <c r="AU496" s="3"/>
      <c r="AV496" s="3"/>
      <c r="AW496" s="3"/>
      <c r="AX496" s="3"/>
      <c r="AY496" s="3"/>
      <c r="AZ496" s="3"/>
      <c r="BA496" s="3"/>
      <c r="BB496" s="3"/>
      <c r="BC496" s="3"/>
      <c r="BD496" s="3"/>
      <c r="BE496" s="3"/>
      <c r="BF496" s="3"/>
      <c r="BG496" s="3"/>
      <c r="BH496" s="3"/>
      <c r="BI496" s="3"/>
      <c r="BJ496" s="3"/>
      <c r="BK496" s="3"/>
      <c r="BL496" s="3"/>
      <c r="BM496" s="3"/>
      <c r="BN496" s="3"/>
      <c r="BO496" s="3"/>
      <c r="BP496" s="3"/>
      <c r="BQ496" s="3"/>
      <c r="BR496" s="3"/>
      <c r="BS496" s="3"/>
      <c r="BT496" s="3"/>
      <c r="BU496" s="3"/>
      <c r="BV496" s="3"/>
      <c r="BW496" s="3"/>
      <c r="BX496" s="3"/>
      <c r="BY496" s="3"/>
      <c r="BZ496" s="3"/>
      <c r="CA496" s="3"/>
      <c r="CB496" s="3"/>
      <c r="CC496" s="3"/>
      <c r="CD496" s="3"/>
      <c r="CE496" s="3"/>
      <c r="CF496" s="3"/>
      <c r="CG496" s="3"/>
      <c r="CH496" s="3"/>
      <c r="CI496" s="3"/>
      <c r="CJ496" s="3"/>
      <c r="CK496" s="3"/>
      <c r="CL496" s="3"/>
      <c r="CM496" s="3"/>
      <c r="CN496" s="3"/>
      <c r="CO496" s="3"/>
      <c r="CP496" s="3"/>
      <c r="CQ496" s="4"/>
      <c r="CR496" s="4"/>
      <c r="CS496" s="4"/>
      <c r="CT496" s="4"/>
      <c r="CU496" s="4"/>
      <c r="CV496" s="4"/>
    </row>
    <row r="497" spans="1:100"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c r="AQ497" s="3"/>
      <c r="AR497" s="3"/>
      <c r="AS497" s="3"/>
      <c r="AT497" s="3"/>
      <c r="AU497" s="3"/>
      <c r="AV497" s="3"/>
      <c r="AW497" s="3"/>
      <c r="AX497" s="3"/>
      <c r="AY497" s="3"/>
      <c r="AZ497" s="3"/>
      <c r="BA497" s="3"/>
      <c r="BB497" s="3"/>
      <c r="BC497" s="3"/>
      <c r="BD497" s="3"/>
      <c r="BE497" s="3"/>
      <c r="BF497" s="3"/>
      <c r="BG497" s="3"/>
      <c r="BH497" s="3"/>
      <c r="BI497" s="3"/>
      <c r="BJ497" s="3"/>
      <c r="BK497" s="3"/>
      <c r="BL497" s="3"/>
      <c r="BM497" s="3"/>
      <c r="BN497" s="3"/>
      <c r="BO497" s="3"/>
      <c r="BP497" s="3"/>
      <c r="BQ497" s="3"/>
      <c r="BR497" s="3"/>
      <c r="BS497" s="3"/>
      <c r="BT497" s="3"/>
      <c r="BU497" s="3"/>
      <c r="BV497" s="3"/>
      <c r="BW497" s="3"/>
      <c r="BX497" s="3"/>
      <c r="BY497" s="3"/>
      <c r="BZ497" s="3"/>
      <c r="CA497" s="3"/>
      <c r="CB497" s="3"/>
      <c r="CC497" s="3"/>
      <c r="CD497" s="3"/>
      <c r="CE497" s="3"/>
      <c r="CF497" s="3"/>
      <c r="CG497" s="3"/>
      <c r="CH497" s="3"/>
      <c r="CI497" s="3"/>
      <c r="CJ497" s="3"/>
      <c r="CK497" s="3"/>
      <c r="CL497" s="3"/>
      <c r="CM497" s="3"/>
      <c r="CN497" s="3"/>
      <c r="CO497" s="3"/>
      <c r="CP497" s="3"/>
      <c r="CQ497" s="4"/>
      <c r="CR497" s="4"/>
      <c r="CS497" s="4"/>
      <c r="CT497" s="4"/>
      <c r="CU497" s="4"/>
      <c r="CV497" s="4"/>
    </row>
    <row r="498" spans="1:100"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c r="AP498" s="3"/>
      <c r="AQ498" s="3"/>
      <c r="AR498" s="3"/>
      <c r="AS498" s="3"/>
      <c r="AT498" s="3"/>
      <c r="AU498" s="3"/>
      <c r="AV498" s="3"/>
      <c r="AW498" s="3"/>
      <c r="AX498" s="3"/>
      <c r="AY498" s="3"/>
      <c r="AZ498" s="3"/>
      <c r="BA498" s="3"/>
      <c r="BB498" s="3"/>
      <c r="BC498" s="3"/>
      <c r="BD498" s="3"/>
      <c r="BE498" s="3"/>
      <c r="BF498" s="3"/>
      <c r="BG498" s="3"/>
      <c r="BH498" s="3"/>
      <c r="BI498" s="3"/>
      <c r="BJ498" s="3"/>
      <c r="BK498" s="3"/>
      <c r="BL498" s="3"/>
      <c r="BM498" s="3"/>
      <c r="BN498" s="3"/>
      <c r="BO498" s="3"/>
      <c r="BP498" s="3"/>
      <c r="BQ498" s="3"/>
      <c r="BR498" s="3"/>
      <c r="BS498" s="3"/>
      <c r="BT498" s="3"/>
      <c r="BU498" s="3"/>
      <c r="BV498" s="3"/>
      <c r="BW498" s="3"/>
      <c r="BX498" s="3"/>
      <c r="BY498" s="3"/>
      <c r="BZ498" s="3"/>
      <c r="CA498" s="3"/>
      <c r="CB498" s="3"/>
      <c r="CC498" s="3"/>
      <c r="CD498" s="3"/>
      <c r="CE498" s="3"/>
      <c r="CF498" s="3"/>
      <c r="CG498" s="3"/>
      <c r="CH498" s="3"/>
      <c r="CI498" s="3"/>
      <c r="CJ498" s="3"/>
      <c r="CK498" s="3"/>
      <c r="CL498" s="3"/>
      <c r="CM498" s="3"/>
      <c r="CN498" s="3"/>
      <c r="CO498" s="3"/>
      <c r="CP498" s="3"/>
      <c r="CQ498" s="4"/>
      <c r="CR498" s="4"/>
      <c r="CS498" s="4"/>
      <c r="CT498" s="4"/>
      <c r="CU498" s="4"/>
      <c r="CV498" s="4"/>
    </row>
    <row r="499" spans="1:100"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c r="AQ499" s="3"/>
      <c r="AR499" s="3"/>
      <c r="AS499" s="3"/>
      <c r="AT499" s="3"/>
      <c r="AU499" s="3"/>
      <c r="AV499" s="3"/>
      <c r="AW499" s="3"/>
      <c r="AX499" s="3"/>
      <c r="AY499" s="3"/>
      <c r="AZ499" s="3"/>
      <c r="BA499" s="3"/>
      <c r="BB499" s="3"/>
      <c r="BC499" s="3"/>
      <c r="BD499" s="3"/>
      <c r="BE499" s="3"/>
      <c r="BF499" s="3"/>
      <c r="BG499" s="3"/>
      <c r="BH499" s="3"/>
      <c r="BI499" s="3"/>
      <c r="BJ499" s="3"/>
      <c r="BK499" s="3"/>
      <c r="BL499" s="3"/>
      <c r="BM499" s="3"/>
      <c r="BN499" s="3"/>
      <c r="BO499" s="3"/>
      <c r="BP499" s="3"/>
      <c r="BQ499" s="3"/>
      <c r="BR499" s="3"/>
      <c r="BS499" s="3"/>
      <c r="BT499" s="3"/>
      <c r="BU499" s="3"/>
      <c r="BV499" s="3"/>
      <c r="BW499" s="3"/>
      <c r="BX499" s="3"/>
      <c r="BY499" s="3"/>
      <c r="BZ499" s="3"/>
      <c r="CA499" s="3"/>
      <c r="CB499" s="3"/>
      <c r="CC499" s="3"/>
      <c r="CD499" s="3"/>
      <c r="CE499" s="3"/>
      <c r="CF499" s="3"/>
      <c r="CG499" s="3"/>
      <c r="CH499" s="3"/>
      <c r="CI499" s="3"/>
      <c r="CJ499" s="3"/>
      <c r="CK499" s="3"/>
      <c r="CL499" s="3"/>
      <c r="CM499" s="3"/>
      <c r="CN499" s="3"/>
      <c r="CO499" s="3"/>
      <c r="CP499" s="3"/>
      <c r="CQ499" s="4"/>
      <c r="CR499" s="4"/>
      <c r="CS499" s="4"/>
      <c r="CT499" s="4"/>
      <c r="CU499" s="4"/>
      <c r="CV499" s="4"/>
    </row>
    <row r="500" spans="1:100"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c r="AP500" s="3"/>
      <c r="AQ500" s="3"/>
      <c r="AR500" s="3"/>
      <c r="AS500" s="3"/>
      <c r="AT500" s="3"/>
      <c r="AU500" s="3"/>
      <c r="AV500" s="3"/>
      <c r="AW500" s="3"/>
      <c r="AX500" s="3"/>
      <c r="AY500" s="3"/>
      <c r="AZ500" s="3"/>
      <c r="BA500" s="3"/>
      <c r="BB500" s="3"/>
      <c r="BC500" s="3"/>
      <c r="BD500" s="3"/>
      <c r="BE500" s="3"/>
      <c r="BF500" s="3"/>
      <c r="BG500" s="3"/>
      <c r="BH500" s="3"/>
      <c r="BI500" s="3"/>
      <c r="BJ500" s="3"/>
      <c r="BK500" s="3"/>
      <c r="BL500" s="3"/>
      <c r="BM500" s="3"/>
      <c r="BN500" s="3"/>
      <c r="BO500" s="3"/>
      <c r="BP500" s="3"/>
      <c r="BQ500" s="3"/>
      <c r="BR500" s="3"/>
      <c r="BS500" s="3"/>
      <c r="BT500" s="3"/>
      <c r="BU500" s="3"/>
      <c r="BV500" s="3"/>
      <c r="BW500" s="3"/>
      <c r="BX500" s="3"/>
      <c r="BY500" s="3"/>
      <c r="BZ500" s="3"/>
      <c r="CA500" s="3"/>
      <c r="CB500" s="3"/>
      <c r="CC500" s="3"/>
      <c r="CD500" s="3"/>
      <c r="CE500" s="3"/>
      <c r="CF500" s="3"/>
      <c r="CG500" s="3"/>
      <c r="CH500" s="3"/>
      <c r="CI500" s="3"/>
      <c r="CJ500" s="3"/>
      <c r="CK500" s="3"/>
      <c r="CL500" s="3"/>
      <c r="CM500" s="3"/>
      <c r="CN500" s="3"/>
      <c r="CO500" s="3"/>
      <c r="CP500" s="3"/>
      <c r="CQ500" s="4"/>
      <c r="CR500" s="4"/>
      <c r="CS500" s="4"/>
      <c r="CT500" s="4"/>
      <c r="CU500" s="4"/>
      <c r="CV500" s="4"/>
    </row>
    <row r="501" spans="1:100"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c r="AQ501" s="3"/>
      <c r="AR501" s="3"/>
      <c r="AS501" s="3"/>
      <c r="AT501" s="3"/>
      <c r="AU501" s="3"/>
      <c r="AV501" s="3"/>
      <c r="AW501" s="3"/>
      <c r="AX501" s="3"/>
      <c r="AY501" s="3"/>
      <c r="AZ501" s="3"/>
      <c r="BA501" s="3"/>
      <c r="BB501" s="3"/>
      <c r="BC501" s="3"/>
      <c r="BD501" s="3"/>
      <c r="BE501" s="3"/>
      <c r="BF501" s="3"/>
      <c r="BG501" s="3"/>
      <c r="BH501" s="3"/>
      <c r="BI501" s="3"/>
      <c r="BJ501" s="3"/>
      <c r="BK501" s="3"/>
      <c r="BL501" s="3"/>
      <c r="BM501" s="3"/>
      <c r="BN501" s="3"/>
      <c r="BO501" s="3"/>
      <c r="BP501" s="3"/>
      <c r="BQ501" s="3"/>
      <c r="BR501" s="3"/>
      <c r="BS501" s="3"/>
      <c r="BT501" s="3"/>
      <c r="BU501" s="3"/>
      <c r="BV501" s="3"/>
      <c r="BW501" s="3"/>
      <c r="BX501" s="3"/>
      <c r="BY501" s="3"/>
      <c r="BZ501" s="3"/>
      <c r="CA501" s="3"/>
      <c r="CB501" s="3"/>
      <c r="CC501" s="3"/>
      <c r="CD501" s="3"/>
      <c r="CE501" s="3"/>
      <c r="CF501" s="3"/>
      <c r="CG501" s="3"/>
      <c r="CH501" s="3"/>
      <c r="CI501" s="3"/>
      <c r="CJ501" s="3"/>
      <c r="CK501" s="3"/>
      <c r="CL501" s="3"/>
      <c r="CM501" s="3"/>
      <c r="CN501" s="3"/>
      <c r="CO501" s="3"/>
      <c r="CP501" s="3"/>
      <c r="CQ501" s="4"/>
      <c r="CR501" s="4"/>
      <c r="CS501" s="4"/>
      <c r="CT501" s="4"/>
      <c r="CU501" s="4"/>
      <c r="CV501" s="4"/>
    </row>
  </sheetData>
  <mergeCells count="17">
    <mergeCell ref="M2:M3"/>
    <mergeCell ref="CM2:CM3"/>
    <mergeCell ref="CN2:CN3"/>
    <mergeCell ref="CO2:CO3"/>
    <mergeCell ref="CP2:CP3"/>
    <mergeCell ref="L2:L3"/>
    <mergeCell ref="A2:A3"/>
    <mergeCell ref="B2:B3"/>
    <mergeCell ref="C2:C3"/>
    <mergeCell ref="D2:D3"/>
    <mergeCell ref="E2:E3"/>
    <mergeCell ref="F2:F3"/>
    <mergeCell ref="G2:G3"/>
    <mergeCell ref="H2:H3"/>
    <mergeCell ref="I2:I3"/>
    <mergeCell ref="J2:J3"/>
    <mergeCell ref="K2:K3"/>
  </mergeCells>
  <phoneticPr fontId="1" type="noConversion"/>
  <hyperlinks>
    <hyperlink ref="CO11" r:id="rId1"/>
    <hyperlink ref="CO9" r:id="rId2"/>
    <hyperlink ref="CO25" r:id="rId3" location="1"/>
    <hyperlink ref="CO21" r:id="rId4"/>
    <hyperlink ref="CO23" r:id="rId5"/>
    <hyperlink ref="CO6" r:id="rId6"/>
    <hyperlink ref="CO14" r:id="rId7"/>
    <hyperlink ref="CO18" r:id="rId8" location="page_scan_tab_contents" display="https://www.jstor.org/stable/43595383?read-now=1&amp;seq=1 - page_scan_tab_contents"/>
    <hyperlink ref="CO17" r:id="rId9" location="page_scan_tab_contents" display="https://www.jstor.org/stable/43595383?read-now=1&amp;seq=1 - page_scan_tab_contents"/>
    <hyperlink ref="CO20" r:id="rId10" location="page_scan_tab_contents" display="https://www.jstor.org/stable/43595383?read-now=1&amp;seq=1 - page_scan_tab_contents"/>
    <hyperlink ref="CO68" r:id="rId11"/>
    <hyperlink ref="CO66" r:id="rId12"/>
    <hyperlink ref="CO69" r:id="rId13"/>
    <hyperlink ref="CO19" r:id="rId14" location="page_scan_tab_contents" display="https://www.jstor.org/stable/43595383?read-now=1&amp;seq=1 - page_scan_tab_contents"/>
    <hyperlink ref="CO12" r:id="rId15"/>
    <hyperlink ref="CO13" r:id="rId16"/>
    <hyperlink ref="CO24" r:id="rId17"/>
    <hyperlink ref="CO22" r:id="rId18"/>
    <hyperlink ref="CO10" r:id="rId19"/>
    <hyperlink ref="CO8" r:id="rId20"/>
    <hyperlink ref="CO16" r:id="rId21"/>
    <hyperlink ref="CO30" r:id="rId22"/>
    <hyperlink ref="CO31" r:id="rId23"/>
    <hyperlink ref="CO15" r:id="rId24"/>
    <hyperlink ref="CO37" r:id="rId25"/>
    <hyperlink ref="CO58" r:id="rId26"/>
    <hyperlink ref="CO39" r:id="rId27"/>
    <hyperlink ref="CO62" r:id="rId28"/>
    <hyperlink ref="CO35" r:id="rId29"/>
    <hyperlink ref="CO36" r:id="rId30"/>
    <hyperlink ref="CO64" r:id="rId31" display="https://www.jstage.jst.go.jp/article/jjfe/57/1/57_KJ00009983906/_pdf/-char/ja"/>
    <hyperlink ref="CO48" r:id="rId32"/>
    <hyperlink ref="CO53" r:id="rId33"/>
    <hyperlink ref="CO56" r:id="rId34"/>
    <hyperlink ref="CO54" r:id="rId35"/>
    <hyperlink ref="CO49" r:id="rId36"/>
    <hyperlink ref="CO55" r:id="rId37"/>
    <hyperlink ref="CO57" r:id="rId38"/>
    <hyperlink ref="CO61" r:id="rId39"/>
    <hyperlink ref="CO60" r:id="rId40"/>
    <hyperlink ref="CO59" r:id="rId41"/>
    <hyperlink ref="CO47" r:id="rId42"/>
    <hyperlink ref="CO45" r:id="rId43"/>
    <hyperlink ref="CO43" r:id="rId44"/>
    <hyperlink ref="CO44" r:id="rId45"/>
    <hyperlink ref="CO46" r:id="rId46"/>
    <hyperlink ref="CO40" r:id="rId47"/>
    <hyperlink ref="CO32" r:id="rId48"/>
    <hyperlink ref="CO34" r:id="rId49"/>
    <hyperlink ref="CO33" r:id="rId50"/>
    <hyperlink ref="CO50" r:id="rId51"/>
    <hyperlink ref="CO41" r:id="rId52"/>
    <hyperlink ref="CO42" r:id="rId53"/>
    <hyperlink ref="CO72" r:id="rId54"/>
    <hyperlink ref="CO73" r:id="rId55"/>
    <hyperlink ref="CO71" r:id="rId56"/>
    <hyperlink ref="CO82" r:id="rId57"/>
    <hyperlink ref="CO77" r:id="rId58"/>
    <hyperlink ref="CO78" r:id="rId59"/>
    <hyperlink ref="CO79" r:id="rId60"/>
    <hyperlink ref="CO74" r:id="rId61"/>
    <hyperlink ref="CO80" r:id="rId62"/>
    <hyperlink ref="CO76" r:id="rId63"/>
    <hyperlink ref="CO70" r:id="rId64"/>
    <hyperlink ref="CO75" r:id="rId65"/>
    <hyperlink ref="CO86" r:id="rId66"/>
    <hyperlink ref="CO81" r:id="rId67"/>
    <hyperlink ref="CO26" r:id="rId68"/>
    <hyperlink ref="CO28" r:id="rId69" display="https://advances.sciencemag.org/content/6/12/eaaw5790"/>
    <hyperlink ref="CO29" r:id="rId70" display="https://advances.sciencemag.org/content/6/12/eaaw5790"/>
    <hyperlink ref="CO27" r:id="rId71" display="https://advances.sciencemag.org/content/6/12/eaaw5790"/>
    <hyperlink ref="CO83" r:id="rId72"/>
    <hyperlink ref="CO84" r:id="rId73"/>
    <hyperlink ref="CO85" r:id="rId7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Table S1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Shitephen シティフン</dc:creator>
  <cp:lastModifiedBy>Shitephen シティフン</cp:lastModifiedBy>
  <dcterms:created xsi:type="dcterms:W3CDTF">2020-11-11T07:42:53Z</dcterms:created>
  <dcterms:modified xsi:type="dcterms:W3CDTF">2020-12-19T12:36:09Z</dcterms:modified>
</cp:coreProperties>
</file>