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6.xml" ContentType="application/vnd.openxmlformats-officedocument.themeOverrid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7.xml" ContentType="application/vnd.openxmlformats-officedocument.themeOverrid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8.xml" ContentType="application/vnd.openxmlformats-officedocument.themeOverrid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9.xml" ContentType="application/vnd.openxmlformats-officedocument.themeOverrid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0.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autoCompressPictures="0"/>
  <mc:AlternateContent xmlns:mc="http://schemas.openxmlformats.org/markup-compatibility/2006">
    <mc:Choice Requires="x15">
      <x15ac:absPath xmlns:x15ac="http://schemas.microsoft.com/office/spreadsheetml/2010/11/ac" url="Z:\RF for bamboo\20200422 Cluster computing\"/>
    </mc:Choice>
  </mc:AlternateContent>
  <xr:revisionPtr revIDLastSave="0" documentId="13_ncr:1_{CDDA0EE3-2448-46C5-A4BE-22DC5446ED42}" xr6:coauthVersionLast="36" xr6:coauthVersionMax="36" xr10:uidLastSave="{00000000-0000-0000-0000-000000000000}"/>
  <bookViews>
    <workbookView xWindow="11160" yWindow="0" windowWidth="22185" windowHeight="10905" activeTab="1" xr2:uid="{00000000-000D-0000-FFFF-FFFF00000000}"/>
  </bookViews>
  <sheets>
    <sheet name="BA_AGB" sheetId="13" r:id="rId1"/>
    <sheet name="Rawdata for dummy variable" sheetId="10" r:id="rId2"/>
    <sheet name="Japan" sheetId="11" r:id="rId3"/>
    <sheet name="Taiwan" sheetId="12" r:id="rId4"/>
  </sheet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S84" i="10" l="1"/>
  <c r="AI73" i="10" l="1"/>
  <c r="AH73" i="10"/>
  <c r="AG73" i="10"/>
  <c r="AI68" i="10"/>
  <c r="AH68" i="10"/>
  <c r="AG68" i="10"/>
  <c r="AD73" i="10"/>
  <c r="AD68" i="10"/>
  <c r="AE68" i="10"/>
  <c r="AE73" i="10"/>
  <c r="AF73" i="10"/>
  <c r="AF68" i="10"/>
  <c r="AA68" i="10"/>
  <c r="AA73" i="10"/>
  <c r="AC68" i="10"/>
  <c r="AC73" i="10"/>
  <c r="CG83" i="10" l="1"/>
  <c r="CC83" i="10"/>
  <c r="CH83" i="10" s="1"/>
  <c r="CK83" i="10" s="1"/>
  <c r="BN83" i="10"/>
  <c r="BJ84" i="10"/>
  <c r="BJ83" i="10"/>
  <c r="AX83" i="10"/>
  <c r="N83" i="10"/>
  <c r="F85" i="10"/>
  <c r="G85" i="10"/>
  <c r="H85" i="10"/>
  <c r="I85" i="10"/>
  <c r="J85" i="10"/>
  <c r="K85" i="10"/>
  <c r="L85" i="10"/>
  <c r="P85" i="10"/>
  <c r="R85" i="10"/>
  <c r="S85" i="10"/>
  <c r="T85" i="10"/>
  <c r="U85" i="10"/>
  <c r="Y85" i="10"/>
  <c r="Z85" i="10"/>
  <c r="AC85" i="10"/>
  <c r="AD85" i="10"/>
  <c r="AE85" i="10"/>
  <c r="AF85" i="10"/>
  <c r="AJ85" i="10"/>
  <c r="AK85" i="10"/>
  <c r="AL85" i="10"/>
  <c r="AM85" i="10"/>
  <c r="AN85" i="10"/>
  <c r="AP85" i="10"/>
  <c r="AQ85" i="10"/>
  <c r="AY85" i="10"/>
  <c r="AZ85" i="10"/>
  <c r="BA85" i="10"/>
  <c r="BB85" i="10"/>
  <c r="BC85" i="10"/>
  <c r="BD85" i="10"/>
  <c r="BE85" i="10"/>
  <c r="BF85" i="10"/>
  <c r="BG85" i="10"/>
  <c r="BH85" i="10"/>
  <c r="BU85" i="10"/>
  <c r="BW85" i="10"/>
  <c r="E85" i="10"/>
  <c r="CC82" i="10"/>
  <c r="AX82" i="10"/>
  <c r="AX81" i="10"/>
  <c r="N82" i="10"/>
  <c r="N81" i="10"/>
  <c r="BT26" i="10" l="1"/>
  <c r="BX26" i="10" s="1"/>
  <c r="BT28" i="10"/>
  <c r="BX28" i="10" s="1"/>
  <c r="BT29" i="10"/>
  <c r="BX29" i="10" s="1"/>
  <c r="BT27" i="10"/>
  <c r="BX27" i="10" s="1"/>
  <c r="CK26" i="10" l="1"/>
  <c r="CK28" i="10"/>
  <c r="CK29" i="10"/>
  <c r="CK27" i="10"/>
  <c r="N28" i="10"/>
  <c r="N29" i="10"/>
  <c r="N27" i="10"/>
  <c r="N26" i="10"/>
  <c r="BQ38" i="11" l="1"/>
  <c r="BL38" i="11"/>
  <c r="H76" i="13" l="1"/>
  <c r="J76" i="13" s="1"/>
  <c r="G76" i="13"/>
  <c r="I76" i="13" s="1"/>
  <c r="F79" i="13"/>
  <c r="L76" i="13" s="1"/>
  <c r="E79" i="13"/>
  <c r="K76" i="13" s="1"/>
  <c r="F78" i="13"/>
  <c r="E78" i="13"/>
  <c r="N84" i="10" l="1"/>
  <c r="N80" i="10"/>
  <c r="N79" i="10"/>
  <c r="Q78" i="10"/>
  <c r="O78" i="10"/>
  <c r="M78" i="10"/>
  <c r="N78" i="10" s="1"/>
  <c r="Q77" i="10"/>
  <c r="O77" i="10"/>
  <c r="N77" i="10"/>
  <c r="M77" i="10"/>
  <c r="Q72" i="10"/>
  <c r="O72" i="10"/>
  <c r="M72" i="10"/>
  <c r="N72" i="10" s="1"/>
  <c r="N71" i="10"/>
  <c r="N70" i="10"/>
  <c r="N69" i="10"/>
  <c r="H20" i="13"/>
  <c r="J20" i="13" s="1"/>
  <c r="H7" i="13"/>
  <c r="J7" i="13" s="1"/>
  <c r="H8" i="13"/>
  <c r="J8" i="13" s="1"/>
  <c r="H9" i="13"/>
  <c r="J9" i="13" s="1"/>
  <c r="H10" i="13"/>
  <c r="J10" i="13" s="1"/>
  <c r="H15" i="13"/>
  <c r="J15" i="13" s="1"/>
  <c r="H21" i="13"/>
  <c r="J21" i="13" s="1"/>
  <c r="H22" i="13"/>
  <c r="J22" i="13" s="1"/>
  <c r="H23" i="13"/>
  <c r="J23" i="13" s="1"/>
  <c r="H24" i="13"/>
  <c r="J24" i="13" s="1"/>
  <c r="H27" i="13"/>
  <c r="J27" i="13" s="1"/>
  <c r="H28" i="13"/>
  <c r="J28" i="13" s="1"/>
  <c r="H29" i="13"/>
  <c r="H30" i="13"/>
  <c r="H31" i="13"/>
  <c r="H35" i="13"/>
  <c r="J35" i="13" s="1"/>
  <c r="H36" i="13"/>
  <c r="J36" i="13" s="1"/>
  <c r="H37" i="13"/>
  <c r="J37" i="13" s="1"/>
  <c r="H38" i="13"/>
  <c r="J38" i="13" s="1"/>
  <c r="H39" i="13"/>
  <c r="J39" i="13" s="1"/>
  <c r="H40" i="13"/>
  <c r="J40" i="13" s="1"/>
  <c r="H41" i="13"/>
  <c r="J41" i="13" s="1"/>
  <c r="H42" i="13"/>
  <c r="J42" i="13" s="1"/>
  <c r="H43" i="13"/>
  <c r="J43" i="13" s="1"/>
  <c r="H44" i="13"/>
  <c r="J44" i="13" s="1"/>
  <c r="H45" i="13"/>
  <c r="J45" i="13" s="1"/>
  <c r="H46" i="13"/>
  <c r="J46" i="13" s="1"/>
  <c r="H47" i="13"/>
  <c r="J47" i="13" s="1"/>
  <c r="H48" i="13"/>
  <c r="J48" i="13" s="1"/>
  <c r="H49" i="13"/>
  <c r="J49" i="13" s="1"/>
  <c r="H52" i="13"/>
  <c r="J52" i="13" s="1"/>
  <c r="H53" i="13"/>
  <c r="J53" i="13" s="1"/>
  <c r="H54" i="13"/>
  <c r="J54" i="13" s="1"/>
  <c r="H55" i="13"/>
  <c r="J55" i="13" s="1"/>
  <c r="H56" i="13"/>
  <c r="J56" i="13" s="1"/>
  <c r="H57" i="13"/>
  <c r="J57" i="13" s="1"/>
  <c r="H58" i="13"/>
  <c r="J58" i="13" s="1"/>
  <c r="H59" i="13"/>
  <c r="J59" i="13" s="1"/>
  <c r="H60" i="13"/>
  <c r="J60" i="13" s="1"/>
  <c r="H61" i="13"/>
  <c r="J61" i="13" s="1"/>
  <c r="H62" i="13"/>
  <c r="J62" i="13" s="1"/>
  <c r="H63" i="13"/>
  <c r="J63" i="13" s="1"/>
  <c r="H64" i="13"/>
  <c r="J64" i="13" s="1"/>
  <c r="H65" i="13"/>
  <c r="J65" i="13" s="1"/>
  <c r="H66" i="13"/>
  <c r="J66" i="13" s="1"/>
  <c r="H67" i="13"/>
  <c r="J67" i="13" s="1"/>
  <c r="H68" i="13"/>
  <c r="J68" i="13" s="1"/>
  <c r="H69" i="13"/>
  <c r="J69" i="13" s="1"/>
  <c r="H70" i="13"/>
  <c r="J70" i="13" s="1"/>
  <c r="H71" i="13"/>
  <c r="J71" i="13" s="1"/>
  <c r="H72" i="13"/>
  <c r="J72" i="13" s="1"/>
  <c r="H73" i="13"/>
  <c r="J73" i="13" s="1"/>
  <c r="H74" i="13"/>
  <c r="J74" i="13" s="1"/>
  <c r="H75" i="13"/>
  <c r="J75" i="13" s="1"/>
  <c r="G7" i="13"/>
  <c r="I7" i="13" s="1"/>
  <c r="I78" i="13" s="1"/>
  <c r="G8" i="13"/>
  <c r="I8" i="13" s="1"/>
  <c r="G9" i="13"/>
  <c r="I9" i="13" s="1"/>
  <c r="G10" i="13"/>
  <c r="I10" i="13" s="1"/>
  <c r="G11" i="13"/>
  <c r="G12" i="13"/>
  <c r="G13" i="13"/>
  <c r="G15" i="13"/>
  <c r="I15" i="13" s="1"/>
  <c r="G16" i="13"/>
  <c r="G17" i="13"/>
  <c r="G18" i="13"/>
  <c r="G19" i="13"/>
  <c r="G20" i="13"/>
  <c r="I20" i="13" s="1"/>
  <c r="G21" i="13"/>
  <c r="I21" i="13" s="1"/>
  <c r="G22" i="13"/>
  <c r="I22" i="13" s="1"/>
  <c r="G23" i="13"/>
  <c r="I23" i="13" s="1"/>
  <c r="G24" i="13"/>
  <c r="I24" i="13" s="1"/>
  <c r="G25" i="13"/>
  <c r="G26" i="13"/>
  <c r="G27" i="13"/>
  <c r="I27" i="13" s="1"/>
  <c r="G28" i="13"/>
  <c r="I28" i="13" s="1"/>
  <c r="G32" i="13"/>
  <c r="G33" i="13"/>
  <c r="G34" i="13"/>
  <c r="G35" i="13"/>
  <c r="I35" i="13" s="1"/>
  <c r="G36" i="13"/>
  <c r="I36" i="13" s="1"/>
  <c r="G37" i="13"/>
  <c r="I37" i="13" s="1"/>
  <c r="G38" i="13"/>
  <c r="I38" i="13" s="1"/>
  <c r="G39" i="13"/>
  <c r="I39" i="13" s="1"/>
  <c r="G40" i="13"/>
  <c r="I40" i="13" s="1"/>
  <c r="G41" i="13"/>
  <c r="I41" i="13" s="1"/>
  <c r="G42" i="13"/>
  <c r="I42" i="13" s="1"/>
  <c r="G43" i="13"/>
  <c r="I43" i="13" s="1"/>
  <c r="G44" i="13"/>
  <c r="I44" i="13" s="1"/>
  <c r="G45" i="13"/>
  <c r="I45" i="13" s="1"/>
  <c r="G46" i="13"/>
  <c r="I46" i="13" s="1"/>
  <c r="G47" i="13"/>
  <c r="I47" i="13" s="1"/>
  <c r="G48" i="13"/>
  <c r="I48" i="13" s="1"/>
  <c r="G49" i="13"/>
  <c r="I49" i="13" s="1"/>
  <c r="G50" i="13"/>
  <c r="G51" i="13"/>
  <c r="G52" i="13"/>
  <c r="I52" i="13" s="1"/>
  <c r="G53" i="13"/>
  <c r="I53" i="13" s="1"/>
  <c r="G54" i="13"/>
  <c r="I54" i="13" s="1"/>
  <c r="G55" i="13"/>
  <c r="I55" i="13" s="1"/>
  <c r="G56" i="13"/>
  <c r="I56" i="13" s="1"/>
  <c r="G57" i="13"/>
  <c r="I57" i="13" s="1"/>
  <c r="G58" i="13"/>
  <c r="I58" i="13" s="1"/>
  <c r="G59" i="13"/>
  <c r="I59" i="13" s="1"/>
  <c r="G60" i="13"/>
  <c r="I60" i="13" s="1"/>
  <c r="G61" i="13"/>
  <c r="I61" i="13" s="1"/>
  <c r="G62" i="13"/>
  <c r="I62" i="13" s="1"/>
  <c r="G63" i="13"/>
  <c r="I63" i="13" s="1"/>
  <c r="G64" i="13"/>
  <c r="I64" i="13" s="1"/>
  <c r="G65" i="13"/>
  <c r="I65" i="13" s="1"/>
  <c r="G66" i="13"/>
  <c r="I66" i="13" s="1"/>
  <c r="G67" i="13"/>
  <c r="I67" i="13" s="1"/>
  <c r="G68" i="13"/>
  <c r="I68" i="13" s="1"/>
  <c r="G69" i="13"/>
  <c r="I69" i="13" s="1"/>
  <c r="G70" i="13"/>
  <c r="I70" i="13" s="1"/>
  <c r="G71" i="13"/>
  <c r="I71" i="13" s="1"/>
  <c r="G72" i="13"/>
  <c r="I72" i="13" s="1"/>
  <c r="G73" i="13"/>
  <c r="I73" i="13" s="1"/>
  <c r="G74" i="13"/>
  <c r="I74" i="13" s="1"/>
  <c r="G75" i="13"/>
  <c r="I75" i="13" s="1"/>
  <c r="G4" i="13"/>
  <c r="G5" i="13"/>
  <c r="G6" i="13"/>
  <c r="G3" i="13"/>
  <c r="J78" i="13" l="1"/>
  <c r="AV2" i="13" l="1"/>
  <c r="AV1" i="13" s="1"/>
  <c r="AP2" i="13"/>
  <c r="AP1" i="13" s="1"/>
  <c r="AJ2" i="13"/>
  <c r="AJ1" i="13" s="1"/>
  <c r="AC2" i="13"/>
  <c r="AC1" i="13" s="1"/>
  <c r="V2" i="13"/>
  <c r="V1" i="13" s="1"/>
  <c r="BN6" i="10" l="1"/>
  <c r="BN12" i="10"/>
  <c r="BN13" i="10"/>
  <c r="BN14" i="10"/>
  <c r="BN16" i="10"/>
  <c r="BN17" i="10"/>
  <c r="BN18" i="10"/>
  <c r="BN19" i="10"/>
  <c r="BN20" i="10"/>
  <c r="BN25" i="10"/>
  <c r="BN48" i="10"/>
  <c r="BN35" i="10"/>
  <c r="BN37" i="10"/>
  <c r="BN38" i="10"/>
  <c r="BN39" i="10"/>
  <c r="BN36" i="10"/>
  <c r="BN63" i="10"/>
  <c r="BN41" i="10"/>
  <c r="BN42" i="10"/>
  <c r="BN50" i="10"/>
  <c r="BN40" i="10"/>
  <c r="BN46" i="10"/>
  <c r="BN47" i="10"/>
  <c r="BN65" i="10"/>
  <c r="BN66" i="10"/>
  <c r="BN67" i="10"/>
  <c r="BN84" i="10"/>
  <c r="BO84" i="10" s="1"/>
  <c r="E86" i="10"/>
  <c r="V68" i="10"/>
  <c r="W68" i="10"/>
  <c r="X68" i="10"/>
  <c r="AX68" i="10"/>
  <c r="BK68" i="10"/>
  <c r="BL68" i="10"/>
  <c r="BM68" i="10"/>
  <c r="AX69" i="10"/>
  <c r="BK69" i="10"/>
  <c r="BN69" i="10" s="1"/>
  <c r="BL69" i="10"/>
  <c r="BM69" i="10"/>
  <c r="BP69" i="10"/>
  <c r="BQ69" i="10"/>
  <c r="BR69" i="10"/>
  <c r="BY69" i="10"/>
  <c r="CC69" i="10" s="1"/>
  <c r="BZ69" i="10"/>
  <c r="CA69" i="10"/>
  <c r="AX70" i="10"/>
  <c r="BK70" i="10"/>
  <c r="BL70" i="10"/>
  <c r="BM70" i="10"/>
  <c r="BP70" i="10"/>
  <c r="BQ70" i="10"/>
  <c r="BR70" i="10"/>
  <c r="BY70" i="10"/>
  <c r="BZ70" i="10"/>
  <c r="CC70" i="10" s="1"/>
  <c r="CA70" i="10"/>
  <c r="AX71" i="10"/>
  <c r="BK71" i="10"/>
  <c r="BL71" i="10"/>
  <c r="BM71" i="10"/>
  <c r="BP71" i="10"/>
  <c r="BQ71" i="10"/>
  <c r="BR71" i="10"/>
  <c r="BY71" i="10"/>
  <c r="CC71" i="10" s="1"/>
  <c r="BZ71" i="10"/>
  <c r="CA71" i="10"/>
  <c r="AX72" i="10"/>
  <c r="BK72" i="10"/>
  <c r="BL72" i="10"/>
  <c r="BM72" i="10"/>
  <c r="V73" i="10"/>
  <c r="W73" i="10"/>
  <c r="X73" i="10"/>
  <c r="AX73" i="10"/>
  <c r="BK73" i="10"/>
  <c r="BL73" i="10"/>
  <c r="BM73" i="10"/>
  <c r="BS73" i="10"/>
  <c r="AX74" i="10"/>
  <c r="CC74" i="10"/>
  <c r="AX75" i="10"/>
  <c r="CC75" i="10"/>
  <c r="CC73" i="10" s="1"/>
  <c r="AX76" i="10"/>
  <c r="CC76" i="10"/>
  <c r="AX77" i="10"/>
  <c r="BK77" i="10"/>
  <c r="BL77" i="10"/>
  <c r="BM77" i="10"/>
  <c r="AX78" i="10"/>
  <c r="BK78" i="10"/>
  <c r="BL78" i="10"/>
  <c r="BM78" i="10"/>
  <c r="AX79" i="10"/>
  <c r="BK79" i="10"/>
  <c r="BN79" i="10" s="1"/>
  <c r="BL79" i="10"/>
  <c r="BM79" i="10"/>
  <c r="BP79" i="10"/>
  <c r="BQ79" i="10"/>
  <c r="BR79" i="10"/>
  <c r="BY79" i="10"/>
  <c r="CC79" i="10" s="1"/>
  <c r="BZ79" i="10"/>
  <c r="CA79" i="10"/>
  <c r="AX80" i="10"/>
  <c r="BK80" i="10"/>
  <c r="BL80" i="10"/>
  <c r="BM80" i="10"/>
  <c r="BP80" i="10"/>
  <c r="BQ80" i="10"/>
  <c r="BR80" i="10"/>
  <c r="BY80" i="10"/>
  <c r="BZ80" i="10"/>
  <c r="CA80" i="10"/>
  <c r="CC84" i="10"/>
  <c r="CG84" i="10"/>
  <c r="BN71" i="10" l="1"/>
  <c r="BN70" i="10"/>
  <c r="CC80" i="10"/>
  <c r="BN73" i="10"/>
  <c r="BN80" i="10"/>
  <c r="BO80" i="10" s="1"/>
  <c r="BN77" i="10"/>
  <c r="BN72" i="10"/>
  <c r="BT84" i="10"/>
  <c r="BX84" i="10" s="1"/>
  <c r="BN68" i="10"/>
  <c r="BN78" i="10"/>
  <c r="V85" i="10"/>
  <c r="X85" i="10"/>
  <c r="CH84" i="10"/>
  <c r="CK84" i="10" s="1"/>
  <c r="W85" i="10"/>
  <c r="L4" i="13"/>
  <c r="K31" i="13"/>
  <c r="K29" i="13"/>
  <c r="K30" i="13"/>
  <c r="K74" i="13"/>
  <c r="K70" i="13"/>
  <c r="K66" i="13"/>
  <c r="K62" i="13"/>
  <c r="K58" i="13"/>
  <c r="K54" i="13"/>
  <c r="K48" i="13"/>
  <c r="K44" i="13"/>
  <c r="K40" i="13"/>
  <c r="K36" i="13"/>
  <c r="K24" i="13"/>
  <c r="K20" i="13"/>
  <c r="K8" i="13"/>
  <c r="L74" i="13"/>
  <c r="L70" i="13"/>
  <c r="L66" i="13"/>
  <c r="L62" i="13"/>
  <c r="L58" i="13"/>
  <c r="L54" i="13"/>
  <c r="L50" i="13"/>
  <c r="L46" i="13"/>
  <c r="L42" i="13"/>
  <c r="L38" i="13"/>
  <c r="L34" i="13"/>
  <c r="L27" i="13"/>
  <c r="L23" i="13"/>
  <c r="L19" i="13"/>
  <c r="L15" i="13"/>
  <c r="L11" i="13"/>
  <c r="L7" i="13"/>
  <c r="K73" i="13"/>
  <c r="K69" i="13"/>
  <c r="K65" i="13"/>
  <c r="K61" i="13"/>
  <c r="K57" i="13"/>
  <c r="K53" i="13"/>
  <c r="K47" i="13"/>
  <c r="K43" i="13"/>
  <c r="K39" i="13"/>
  <c r="K35" i="13"/>
  <c r="K23" i="13"/>
  <c r="K15" i="13"/>
  <c r="K7" i="13"/>
  <c r="L73" i="13"/>
  <c r="L69" i="13"/>
  <c r="L65" i="13"/>
  <c r="L61" i="13"/>
  <c r="L57" i="13"/>
  <c r="L53" i="13"/>
  <c r="L49" i="13"/>
  <c r="L45" i="13"/>
  <c r="L41" i="13"/>
  <c r="L37" i="13"/>
  <c r="L33" i="13"/>
  <c r="L26" i="13"/>
  <c r="L22" i="13"/>
  <c r="L18" i="13"/>
  <c r="L10" i="13"/>
  <c r="L6" i="13"/>
  <c r="K72" i="13"/>
  <c r="K68" i="13"/>
  <c r="K64" i="13"/>
  <c r="K60" i="13"/>
  <c r="K56" i="13"/>
  <c r="K52" i="13"/>
  <c r="K46" i="13"/>
  <c r="K42" i="13"/>
  <c r="K38" i="13"/>
  <c r="K28" i="13"/>
  <c r="K22" i="13"/>
  <c r="K10" i="13"/>
  <c r="L3" i="13"/>
  <c r="L72" i="13"/>
  <c r="L68" i="13"/>
  <c r="L64" i="13"/>
  <c r="L60" i="13"/>
  <c r="L56" i="13"/>
  <c r="L52" i="13"/>
  <c r="L48" i="13"/>
  <c r="L44" i="13"/>
  <c r="L40" i="13"/>
  <c r="L36" i="13"/>
  <c r="L32" i="13"/>
  <c r="L25" i="13"/>
  <c r="L21" i="13"/>
  <c r="L17" i="13"/>
  <c r="L13" i="13"/>
  <c r="L9" i="13"/>
  <c r="L5" i="13"/>
  <c r="K75" i="13"/>
  <c r="K71" i="13"/>
  <c r="K67" i="13"/>
  <c r="K63" i="13"/>
  <c r="K59" i="13"/>
  <c r="K55" i="13"/>
  <c r="K49" i="13"/>
  <c r="K45" i="13"/>
  <c r="K41" i="13"/>
  <c r="K37" i="13"/>
  <c r="K27" i="13"/>
  <c r="K21" i="13"/>
  <c r="K9" i="13"/>
  <c r="L75" i="13"/>
  <c r="L71" i="13"/>
  <c r="L67" i="13"/>
  <c r="L63" i="13"/>
  <c r="L59" i="13"/>
  <c r="L55" i="13"/>
  <c r="L51" i="13"/>
  <c r="L47" i="13"/>
  <c r="L43" i="13"/>
  <c r="L39" i="13"/>
  <c r="L35" i="13"/>
  <c r="L28" i="13"/>
  <c r="L24" i="13"/>
  <c r="L20" i="13"/>
  <c r="L16" i="13"/>
  <c r="L12" i="13"/>
  <c r="L8" i="13"/>
  <c r="BS71" i="10"/>
  <c r="BS70" i="10"/>
  <c r="BS69" i="10"/>
  <c r="BO69" i="10" s="1"/>
  <c r="BS80" i="10"/>
  <c r="BS79" i="10"/>
  <c r="BO79" i="10" s="1"/>
  <c r="BT73" i="10"/>
  <c r="BX73" i="10" s="1"/>
  <c r="CD16" i="12"/>
  <c r="BZ16" i="12"/>
  <c r="CE16" i="12" s="1"/>
  <c r="CH16" i="12" s="1"/>
  <c r="BP16" i="12"/>
  <c r="BK16" i="12"/>
  <c r="BQ16" i="12" s="1"/>
  <c r="BU16" i="12" s="1"/>
  <c r="AU16" i="12"/>
  <c r="N16" i="12"/>
  <c r="BX15" i="12"/>
  <c r="BW15" i="12"/>
  <c r="BV15" i="12"/>
  <c r="BO15" i="12"/>
  <c r="BN15" i="12"/>
  <c r="BM15" i="12"/>
  <c r="BP15" i="12" s="1"/>
  <c r="BJ15" i="12"/>
  <c r="BI15" i="12"/>
  <c r="BH15" i="12"/>
  <c r="AU15" i="12"/>
  <c r="N15" i="12"/>
  <c r="BX14" i="12"/>
  <c r="BW14" i="12"/>
  <c r="BV14" i="12"/>
  <c r="BO14" i="12"/>
  <c r="BN14" i="12"/>
  <c r="BM14" i="12"/>
  <c r="BP14" i="12" s="1"/>
  <c r="BJ14" i="12"/>
  <c r="BI14" i="12"/>
  <c r="BH14" i="12"/>
  <c r="AU14" i="12"/>
  <c r="N14" i="12"/>
  <c r="BJ13" i="12"/>
  <c r="BI13" i="12"/>
  <c r="BH13" i="12"/>
  <c r="AU13" i="12"/>
  <c r="Q13" i="12"/>
  <c r="O13" i="12"/>
  <c r="M13" i="12"/>
  <c r="N13" i="12" s="1"/>
  <c r="BJ12" i="12"/>
  <c r="BI12" i="12"/>
  <c r="BH12" i="12"/>
  <c r="BK12" i="12" s="1"/>
  <c r="AU12" i="12"/>
  <c r="Q12" i="12"/>
  <c r="O12" i="12"/>
  <c r="M12" i="12"/>
  <c r="N12" i="12" s="1"/>
  <c r="BZ11" i="12"/>
  <c r="AU11" i="12"/>
  <c r="BZ10" i="12"/>
  <c r="BZ8" i="12" s="1"/>
  <c r="AU10" i="12"/>
  <c r="BZ9" i="12"/>
  <c r="AU9" i="12"/>
  <c r="X9" i="12"/>
  <c r="V9" i="12"/>
  <c r="BP8" i="12"/>
  <c r="BJ8" i="12"/>
  <c r="BI8" i="12"/>
  <c r="BH8" i="12"/>
  <c r="AU8" i="12"/>
  <c r="X8" i="12"/>
  <c r="W8" i="12"/>
  <c r="V8" i="12"/>
  <c r="BJ7" i="12"/>
  <c r="BI7" i="12"/>
  <c r="BH7" i="12"/>
  <c r="AU7" i="12"/>
  <c r="Q7" i="12"/>
  <c r="O7" i="12"/>
  <c r="N7" i="12"/>
  <c r="M7" i="12"/>
  <c r="BX6" i="12"/>
  <c r="BW6" i="12"/>
  <c r="BV6" i="12"/>
  <c r="BO6" i="12"/>
  <c r="BP6" i="12" s="1"/>
  <c r="BN6" i="12"/>
  <c r="BM6" i="12"/>
  <c r="BJ6" i="12"/>
  <c r="BI6" i="12"/>
  <c r="BH6" i="12"/>
  <c r="AU6" i="12"/>
  <c r="N6" i="12"/>
  <c r="BX5" i="12"/>
  <c r="BW5" i="12"/>
  <c r="BV5" i="12"/>
  <c r="BO5" i="12"/>
  <c r="BP5" i="12" s="1"/>
  <c r="BN5" i="12"/>
  <c r="BM5" i="12"/>
  <c r="BJ5" i="12"/>
  <c r="BI5" i="12"/>
  <c r="BH5" i="12"/>
  <c r="AU5" i="12"/>
  <c r="N5" i="12"/>
  <c r="BX4" i="12"/>
  <c r="BW4" i="12"/>
  <c r="BV4" i="12"/>
  <c r="BO4" i="12"/>
  <c r="BP4" i="12" s="1"/>
  <c r="BN4" i="12"/>
  <c r="BM4" i="12"/>
  <c r="BJ4" i="12"/>
  <c r="BI4" i="12"/>
  <c r="BH4" i="12"/>
  <c r="AU4" i="12"/>
  <c r="N4" i="12"/>
  <c r="BJ3" i="12"/>
  <c r="BI3" i="12"/>
  <c r="BH3" i="12"/>
  <c r="AU3" i="12"/>
  <c r="X3" i="12"/>
  <c r="W3" i="12"/>
  <c r="V3" i="12"/>
  <c r="AX47" i="10"/>
  <c r="AV47" i="10"/>
  <c r="AU47" i="10"/>
  <c r="N47" i="10"/>
  <c r="AX46" i="10"/>
  <c r="AV46" i="10"/>
  <c r="AU46" i="10"/>
  <c r="N46" i="10"/>
  <c r="CB40" i="10"/>
  <c r="AV40" i="10"/>
  <c r="AU40" i="10"/>
  <c r="N40" i="10"/>
  <c r="BM50" i="10"/>
  <c r="BL50" i="10"/>
  <c r="AX50" i="10"/>
  <c r="CC45" i="10"/>
  <c r="CA45" i="10"/>
  <c r="BZ45" i="10"/>
  <c r="BM45" i="10"/>
  <c r="BL45" i="10"/>
  <c r="AX45" i="10"/>
  <c r="AW45" i="10"/>
  <c r="AV45" i="10"/>
  <c r="AU45" i="10"/>
  <c r="Q45" i="10"/>
  <c r="N45" i="10"/>
  <c r="CA44" i="10"/>
  <c r="BZ44" i="10"/>
  <c r="BM44" i="10"/>
  <c r="BL44" i="10"/>
  <c r="BN44" i="10" s="1"/>
  <c r="AU44" i="10"/>
  <c r="N44" i="10"/>
  <c r="CA43" i="10"/>
  <c r="BZ43" i="10"/>
  <c r="CC43" i="10" s="1"/>
  <c r="BM43" i="10"/>
  <c r="BL43" i="10"/>
  <c r="BN43" i="10" s="1"/>
  <c r="AX43" i="10"/>
  <c r="AW43" i="10"/>
  <c r="AV43" i="10"/>
  <c r="AU43" i="10"/>
  <c r="Q43" i="10"/>
  <c r="N43" i="10"/>
  <c r="CB42" i="10"/>
  <c r="CB33" i="10"/>
  <c r="BQ33" i="10"/>
  <c r="BP33" i="10"/>
  <c r="BM33" i="10"/>
  <c r="BL33" i="10"/>
  <c r="BK33" i="10"/>
  <c r="AX33" i="10"/>
  <c r="AB33" i="10"/>
  <c r="N33" i="10"/>
  <c r="CB34" i="10"/>
  <c r="BQ34" i="10"/>
  <c r="BP34" i="10"/>
  <c r="BM34" i="10"/>
  <c r="BL34" i="10"/>
  <c r="BK34" i="10"/>
  <c r="AX34" i="10"/>
  <c r="AB34" i="10"/>
  <c r="N34" i="10"/>
  <c r="CB32" i="10"/>
  <c r="BQ32" i="10"/>
  <c r="BP32" i="10"/>
  <c r="BM32" i="10"/>
  <c r="BL32" i="10"/>
  <c r="BK32" i="10"/>
  <c r="BN32" i="10" s="1"/>
  <c r="AX32" i="10"/>
  <c r="AB32" i="10"/>
  <c r="N32" i="10"/>
  <c r="BV63" i="10"/>
  <c r="BQ63" i="10"/>
  <c r="BP63" i="10"/>
  <c r="N63" i="10"/>
  <c r="BM62" i="10"/>
  <c r="BL62" i="10"/>
  <c r="BK62" i="10"/>
  <c r="AW62" i="10"/>
  <c r="AV62" i="10"/>
  <c r="AX62" i="10" s="1"/>
  <c r="BM61" i="10"/>
  <c r="BL61" i="10"/>
  <c r="BK61" i="10"/>
  <c r="AW61" i="10"/>
  <c r="AV61" i="10"/>
  <c r="AX61" i="10" s="1"/>
  <c r="BM60" i="10"/>
  <c r="BL60" i="10"/>
  <c r="BK60" i="10"/>
  <c r="AW60" i="10"/>
  <c r="AV60" i="10"/>
  <c r="AX60" i="10" s="1"/>
  <c r="BM59" i="10"/>
  <c r="BL59" i="10"/>
  <c r="BK59" i="10"/>
  <c r="AW59" i="10"/>
  <c r="AV59" i="10"/>
  <c r="AX59" i="10" s="1"/>
  <c r="BR36" i="10"/>
  <c r="BQ36" i="10"/>
  <c r="BP36" i="10"/>
  <c r="AV36" i="10"/>
  <c r="AX36" i="10" s="1"/>
  <c r="N36" i="10"/>
  <c r="CB64" i="10"/>
  <c r="CA64" i="10"/>
  <c r="BZ64" i="10"/>
  <c r="BY64" i="10"/>
  <c r="BM64" i="10"/>
  <c r="BL64" i="10"/>
  <c r="BK64" i="10"/>
  <c r="AS64" i="10"/>
  <c r="BS39" i="10"/>
  <c r="AX39" i="10"/>
  <c r="BS38" i="10"/>
  <c r="AX38" i="10"/>
  <c r="BS37" i="10"/>
  <c r="AX37" i="10"/>
  <c r="AU35" i="10"/>
  <c r="AW35" i="10" s="1"/>
  <c r="Q35" i="10"/>
  <c r="BM57" i="10"/>
  <c r="BL57" i="10"/>
  <c r="BL54" i="10" s="1"/>
  <c r="BK57" i="10"/>
  <c r="CC54" i="10"/>
  <c r="CB54" i="10"/>
  <c r="CA54" i="10"/>
  <c r="BZ54" i="10"/>
  <c r="BY54" i="10"/>
  <c r="BM54" i="10"/>
  <c r="CC53" i="10"/>
  <c r="CB53" i="10"/>
  <c r="CA53" i="10"/>
  <c r="BZ53" i="10"/>
  <c r="BY53" i="10"/>
  <c r="BK53" i="10"/>
  <c r="CC48" i="10"/>
  <c r="CB48" i="10"/>
  <c r="CA48" i="10"/>
  <c r="BZ48" i="10"/>
  <c r="BY48" i="10"/>
  <c r="BM48" i="10"/>
  <c r="BL48" i="10"/>
  <c r="BK48" i="10"/>
  <c r="BM56" i="10"/>
  <c r="AV56" i="10"/>
  <c r="AU56" i="10"/>
  <c r="BM49" i="10"/>
  <c r="AX49" i="10"/>
  <c r="AV49" i="10"/>
  <c r="AU49" i="10"/>
  <c r="BM55" i="10"/>
  <c r="AX55" i="10"/>
  <c r="AV55" i="10"/>
  <c r="AU55" i="10"/>
  <c r="CE52" i="10"/>
  <c r="CD52" i="10"/>
  <c r="CA52" i="10"/>
  <c r="BZ52" i="10"/>
  <c r="BY52" i="10"/>
  <c r="BM52" i="10"/>
  <c r="BL52" i="10"/>
  <c r="BK52" i="10"/>
  <c r="AW52" i="10"/>
  <c r="AV52" i="10"/>
  <c r="AU52" i="10"/>
  <c r="CJ58" i="10"/>
  <c r="CI58" i="10"/>
  <c r="CG58" i="10"/>
  <c r="CB58" i="10"/>
  <c r="BY58" i="10"/>
  <c r="BV58" i="10"/>
  <c r="BQ58" i="10"/>
  <c r="BP58" i="10"/>
  <c r="BM58" i="10"/>
  <c r="BL58" i="10"/>
  <c r="BK58" i="10"/>
  <c r="AX58" i="10"/>
  <c r="N58" i="10"/>
  <c r="BQ6" i="12" l="1"/>
  <c r="BN60" i="10"/>
  <c r="BK4" i="12"/>
  <c r="BL4" i="12" s="1"/>
  <c r="BK5" i="12"/>
  <c r="BL5" i="12" s="1"/>
  <c r="BK13" i="12"/>
  <c r="BZ14" i="12"/>
  <c r="BZ15" i="12"/>
  <c r="BO70" i="10"/>
  <c r="BM53" i="10"/>
  <c r="BN59" i="10"/>
  <c r="BN45" i="10"/>
  <c r="BT71" i="10"/>
  <c r="BK14" i="12"/>
  <c r="BL14" i="12" s="1"/>
  <c r="BK3" i="12"/>
  <c r="BZ4" i="12"/>
  <c r="BZ5" i="12"/>
  <c r="BZ6" i="12"/>
  <c r="BK7" i="12"/>
  <c r="BK15" i="12"/>
  <c r="BQ15" i="12" s="1"/>
  <c r="BK8" i="12"/>
  <c r="BT80" i="10"/>
  <c r="BK6" i="12"/>
  <c r="BT79" i="10"/>
  <c r="BN58" i="10"/>
  <c r="BT69" i="10"/>
  <c r="BV85" i="10"/>
  <c r="AW85" i="10"/>
  <c r="BK54" i="10"/>
  <c r="BN54" i="10" s="1"/>
  <c r="BN57" i="10"/>
  <c r="BN64" i="10"/>
  <c r="BN61" i="10"/>
  <c r="BN34" i="10"/>
  <c r="BT70" i="10"/>
  <c r="BN52" i="10"/>
  <c r="BN62" i="10"/>
  <c r="AB85" i="10"/>
  <c r="BN33" i="10"/>
  <c r="BS63" i="10"/>
  <c r="BO63" i="10" s="1"/>
  <c r="BO73" i="10"/>
  <c r="BO71" i="10"/>
  <c r="CA61" i="10"/>
  <c r="CC44" i="10"/>
  <c r="BZ62" i="10"/>
  <c r="AX40" i="10"/>
  <c r="AX52" i="10"/>
  <c r="BO38" i="10"/>
  <c r="BO39" i="10"/>
  <c r="CC58" i="10"/>
  <c r="CH58" i="10" s="1"/>
  <c r="CK58" i="10" s="1"/>
  <c r="BS32" i="10"/>
  <c r="BT32" i="10" s="1"/>
  <c r="CB52" i="10"/>
  <c r="CC64" i="10"/>
  <c r="BS34" i="10"/>
  <c r="BS58" i="10"/>
  <c r="BO58" i="10" s="1"/>
  <c r="BS33" i="10"/>
  <c r="BL8" i="12"/>
  <c r="BQ14" i="12"/>
  <c r="BL6" i="12"/>
  <c r="BL15" i="12"/>
  <c r="BQ5" i="12"/>
  <c r="BQ8" i="12"/>
  <c r="BU8" i="12" s="1"/>
  <c r="BL16" i="12"/>
  <c r="BT38" i="10"/>
  <c r="BX38" i="10" s="1"/>
  <c r="CA62" i="10"/>
  <c r="BO37" i="10"/>
  <c r="BS36" i="10"/>
  <c r="BT36" i="10" s="1"/>
  <c r="CG52" i="10"/>
  <c r="BZ61" i="10"/>
  <c r="BY62" i="10"/>
  <c r="CC52" i="10"/>
  <c r="BY61" i="10"/>
  <c r="AV35" i="10"/>
  <c r="AX35" i="10" s="1"/>
  <c r="BT37" i="10"/>
  <c r="BX37" i="10" s="1"/>
  <c r="BT39" i="10"/>
  <c r="BX39" i="10" s="1"/>
  <c r="BL53" i="10"/>
  <c r="BJ21" i="11"/>
  <c r="BJ20" i="11"/>
  <c r="BK20" i="11" s="1"/>
  <c r="BJ19" i="11"/>
  <c r="BJ18" i="11"/>
  <c r="BI18" i="11"/>
  <c r="BI19" i="11"/>
  <c r="BI20" i="11"/>
  <c r="BW20" i="11" s="1"/>
  <c r="BI21" i="11"/>
  <c r="BW21" i="11" s="1"/>
  <c r="BH18" i="11"/>
  <c r="BK18" i="11" s="1"/>
  <c r="BH19" i="11"/>
  <c r="BV20" i="11" s="1"/>
  <c r="BH20" i="11"/>
  <c r="BH21" i="11"/>
  <c r="AU21" i="11"/>
  <c r="AT21" i="11"/>
  <c r="AT20" i="11"/>
  <c r="AT19" i="11"/>
  <c r="AT18" i="11"/>
  <c r="AS21" i="11"/>
  <c r="AS20" i="11"/>
  <c r="AU20" i="11" s="1"/>
  <c r="AS19" i="11"/>
  <c r="AU19" i="11" s="1"/>
  <c r="AS18" i="11"/>
  <c r="AU18" i="11" s="1"/>
  <c r="BT63" i="10" l="1"/>
  <c r="BX63" i="10" s="1"/>
  <c r="BK21" i="11"/>
  <c r="BZ21" i="11" s="1"/>
  <c r="BQ4" i="12"/>
  <c r="BX21" i="11"/>
  <c r="BN53" i="10"/>
  <c r="BT33" i="10"/>
  <c r="CC62" i="10"/>
  <c r="BT34" i="10"/>
  <c r="BO33" i="10"/>
  <c r="BT58" i="10"/>
  <c r="BX58" i="10" s="1"/>
  <c r="BO34" i="10"/>
  <c r="BO32" i="10"/>
  <c r="BO36" i="10"/>
  <c r="CC61" i="10"/>
  <c r="CH52" i="10"/>
  <c r="BK19" i="11"/>
  <c r="BZ20" i="11" s="1"/>
  <c r="BV21" i="11"/>
  <c r="BX20" i="11"/>
  <c r="BY16" i="11"/>
  <c r="BZ8" i="11"/>
  <c r="BZ9" i="11"/>
  <c r="BZ10" i="11"/>
  <c r="BK8" i="11"/>
  <c r="BJ8" i="11"/>
  <c r="BI8" i="11"/>
  <c r="BH8" i="11"/>
  <c r="BJ11" i="11"/>
  <c r="BJ10" i="11" s="1"/>
  <c r="BI11" i="11"/>
  <c r="BI9" i="11" s="1"/>
  <c r="BH11" i="11"/>
  <c r="BH9" i="11" s="1"/>
  <c r="BV8" i="11"/>
  <c r="BW8" i="11"/>
  <c r="BX8" i="11"/>
  <c r="AU5" i="11"/>
  <c r="AU6" i="11"/>
  <c r="BJ9" i="11" l="1"/>
  <c r="BK9" i="11"/>
  <c r="BK11" i="11"/>
  <c r="BH10" i="11"/>
  <c r="BI10" i="11"/>
  <c r="BY30" i="11"/>
  <c r="BK30" i="11"/>
  <c r="BK29" i="11"/>
  <c r="BV16" i="11"/>
  <c r="BY28" i="11"/>
  <c r="BY27" i="11"/>
  <c r="BY26" i="11"/>
  <c r="BM26" i="11"/>
  <c r="BN26" i="11"/>
  <c r="BP26" i="11" s="1"/>
  <c r="BH26" i="11"/>
  <c r="BI26" i="11"/>
  <c r="BJ26" i="11"/>
  <c r="BN28" i="11"/>
  <c r="BN27" i="11"/>
  <c r="BM28" i="11"/>
  <c r="BM27" i="11"/>
  <c r="BJ28" i="11"/>
  <c r="BJ27" i="11"/>
  <c r="BI28" i="11"/>
  <c r="BI27" i="11"/>
  <c r="BH28" i="11"/>
  <c r="BH27" i="11"/>
  <c r="BK37" i="11"/>
  <c r="BK36" i="11"/>
  <c r="AU37" i="11"/>
  <c r="AU36" i="11"/>
  <c r="AS37" i="11"/>
  <c r="AS36" i="11"/>
  <c r="AR37" i="11"/>
  <c r="AR36" i="11"/>
  <c r="AS17" i="11"/>
  <c r="AU17" i="11" s="1"/>
  <c r="BH25" i="11"/>
  <c r="BI25" i="11"/>
  <c r="BJ25" i="11"/>
  <c r="BH24" i="11"/>
  <c r="BI24" i="11"/>
  <c r="BJ24" i="11"/>
  <c r="BH23" i="11"/>
  <c r="BI23" i="11"/>
  <c r="BJ23" i="11"/>
  <c r="AU31" i="11"/>
  <c r="AU25" i="11"/>
  <c r="AU23" i="11"/>
  <c r="AU24" i="11"/>
  <c r="CA4" i="11"/>
  <c r="CB4" i="11"/>
  <c r="BJ7" i="11"/>
  <c r="BJ6" i="11"/>
  <c r="BJ5" i="11"/>
  <c r="AS5" i="11"/>
  <c r="AR5" i="11"/>
  <c r="AS7" i="11"/>
  <c r="AS6" i="11"/>
  <c r="AR7" i="11"/>
  <c r="AR6" i="11"/>
  <c r="BY10" i="11"/>
  <c r="BY9" i="11"/>
  <c r="BY8" i="11"/>
  <c r="BV4" i="11"/>
  <c r="BW4" i="11"/>
  <c r="BX4" i="11"/>
  <c r="BX10" i="11"/>
  <c r="BW10" i="11"/>
  <c r="BV10" i="11"/>
  <c r="BX9" i="11"/>
  <c r="BW9" i="11"/>
  <c r="BV9" i="11"/>
  <c r="BH4" i="11"/>
  <c r="BI4" i="11"/>
  <c r="BJ4" i="11"/>
  <c r="AS4" i="11"/>
  <c r="AR4" i="11"/>
  <c r="AT4" i="11"/>
  <c r="BK34" i="11"/>
  <c r="BI34" i="11"/>
  <c r="BJ34" i="11"/>
  <c r="AU34" i="11"/>
  <c r="BK35" i="11"/>
  <c r="BW31" i="11"/>
  <c r="BX31" i="11"/>
  <c r="BZ9" i="10"/>
  <c r="BI31" i="11"/>
  <c r="BJ31" i="11"/>
  <c r="BW33" i="11"/>
  <c r="BX33" i="11"/>
  <c r="BW16" i="11"/>
  <c r="BX16" i="11"/>
  <c r="BH16" i="11"/>
  <c r="BI16" i="11"/>
  <c r="BJ16" i="11"/>
  <c r="AP16" i="11"/>
  <c r="AU28" i="11"/>
  <c r="AB28" i="11"/>
  <c r="N28" i="11"/>
  <c r="AU27" i="11"/>
  <c r="AB27" i="11"/>
  <c r="N27" i="11"/>
  <c r="AU26" i="11"/>
  <c r="AB26" i="11"/>
  <c r="N26" i="11"/>
  <c r="BM17" i="11"/>
  <c r="BN17" i="11"/>
  <c r="BO17" i="11"/>
  <c r="BK17" i="11"/>
  <c r="N17" i="11"/>
  <c r="BM22" i="11"/>
  <c r="BN22" i="11"/>
  <c r="BK22" i="11"/>
  <c r="BS22" i="11"/>
  <c r="N22" i="11"/>
  <c r="CD3" i="11"/>
  <c r="BV3" i="11"/>
  <c r="BY3" i="11"/>
  <c r="CG3" i="11"/>
  <c r="CF3" i="11"/>
  <c r="BM3" i="11"/>
  <c r="BN3" i="11"/>
  <c r="BH3" i="11"/>
  <c r="BI3" i="11"/>
  <c r="BJ3" i="11"/>
  <c r="BS3" i="11"/>
  <c r="AU3" i="11"/>
  <c r="N3" i="11"/>
  <c r="N37" i="11"/>
  <c r="N36" i="11"/>
  <c r="BI33" i="11"/>
  <c r="BJ33" i="11"/>
  <c r="AU33" i="11"/>
  <c r="AT33" i="11"/>
  <c r="AS33" i="11"/>
  <c r="AR33" i="11"/>
  <c r="Q33" i="11"/>
  <c r="N33" i="11"/>
  <c r="BW32" i="11"/>
  <c r="BX32" i="11"/>
  <c r="BI32" i="11"/>
  <c r="BJ32" i="11"/>
  <c r="AR32" i="11"/>
  <c r="N32" i="11"/>
  <c r="AT31" i="11"/>
  <c r="AS31" i="11"/>
  <c r="AR31" i="11"/>
  <c r="Q31" i="11"/>
  <c r="N31" i="11"/>
  <c r="BY35" i="11"/>
  <c r="AS35" i="11"/>
  <c r="AR35" i="11"/>
  <c r="N35" i="11"/>
  <c r="BP15" i="11"/>
  <c r="BK15" i="11"/>
  <c r="BL15" i="11" s="1"/>
  <c r="AU15" i="11"/>
  <c r="BP14" i="11"/>
  <c r="BK14" i="11"/>
  <c r="AU14" i="11"/>
  <c r="BP13" i="11"/>
  <c r="BK13" i="11"/>
  <c r="AU13" i="11"/>
  <c r="BP44" i="11"/>
  <c r="BK44" i="11"/>
  <c r="AU44" i="11"/>
  <c r="BP43" i="11"/>
  <c r="BK43" i="11"/>
  <c r="AU43" i="11"/>
  <c r="BK12" i="11"/>
  <c r="AR12" i="11"/>
  <c r="AS12" i="11" s="1"/>
  <c r="AU12" i="11" s="1"/>
  <c r="Q12" i="11"/>
  <c r="S86" i="10"/>
  <c r="T86" i="10"/>
  <c r="U86" i="10"/>
  <c r="W86" i="10"/>
  <c r="Y86" i="10"/>
  <c r="Z86" i="10"/>
  <c r="AA15" i="10"/>
  <c r="AC86" i="10"/>
  <c r="AD86" i="10"/>
  <c r="AE86" i="10"/>
  <c r="AF86" i="10"/>
  <c r="AJ86" i="10"/>
  <c r="AK86" i="10"/>
  <c r="AL86" i="10"/>
  <c r="AM86" i="10"/>
  <c r="AN86" i="10"/>
  <c r="AO6" i="10"/>
  <c r="AP86" i="10"/>
  <c r="AQ86" i="10"/>
  <c r="AR6" i="10"/>
  <c r="AS6" i="10"/>
  <c r="AT6" i="10"/>
  <c r="AU25" i="10"/>
  <c r="AU85" i="10" s="1"/>
  <c r="AV8" i="10"/>
  <c r="AV9" i="10"/>
  <c r="AX9" i="10" s="1"/>
  <c r="AV10" i="10"/>
  <c r="AX10" i="10" s="1"/>
  <c r="AV11" i="10"/>
  <c r="AX11" i="10" s="1"/>
  <c r="AV21" i="10"/>
  <c r="AX21" i="10" s="1"/>
  <c r="AV25" i="10"/>
  <c r="AX16" i="10"/>
  <c r="AX22" i="10"/>
  <c r="AX23" i="10"/>
  <c r="AX24" i="10"/>
  <c r="AX65" i="10"/>
  <c r="AX66" i="10"/>
  <c r="AY86" i="10"/>
  <c r="AZ86" i="10"/>
  <c r="BA86" i="10"/>
  <c r="BB86" i="10"/>
  <c r="BC86" i="10"/>
  <c r="BD86" i="10"/>
  <c r="BE86" i="10"/>
  <c r="BF86" i="10"/>
  <c r="BG86" i="10"/>
  <c r="BH86" i="10"/>
  <c r="BI12" i="10"/>
  <c r="BI13" i="10"/>
  <c r="BI14" i="10"/>
  <c r="BJ12" i="10"/>
  <c r="BJ13" i="10"/>
  <c r="BJ14" i="10"/>
  <c r="BK8" i="10"/>
  <c r="BK9" i="10"/>
  <c r="BK10" i="10"/>
  <c r="BK11" i="10"/>
  <c r="BK30" i="10"/>
  <c r="BK31" i="10"/>
  <c r="BK65" i="10"/>
  <c r="BK66" i="10"/>
  <c r="BK67" i="10"/>
  <c r="BL4" i="10"/>
  <c r="BL5" i="10"/>
  <c r="BL7" i="10"/>
  <c r="BL8" i="10"/>
  <c r="BL9" i="10"/>
  <c r="BL10" i="10"/>
  <c r="BL11" i="10"/>
  <c r="BL30" i="10"/>
  <c r="BL31" i="10"/>
  <c r="BL65" i="10"/>
  <c r="BL66" i="10"/>
  <c r="BL67" i="10"/>
  <c r="BM4" i="10"/>
  <c r="BM5" i="10"/>
  <c r="BM7" i="10"/>
  <c r="BM8" i="10"/>
  <c r="BM9" i="10"/>
  <c r="BM10" i="10"/>
  <c r="BM11" i="10"/>
  <c r="BM30" i="10"/>
  <c r="BM31" i="10"/>
  <c r="BM65" i="10"/>
  <c r="BM66" i="10"/>
  <c r="BM67" i="10"/>
  <c r="BO14" i="10"/>
  <c r="BP4" i="10"/>
  <c r="BQ4" i="10"/>
  <c r="BP5" i="10"/>
  <c r="BQ5" i="10"/>
  <c r="BS6" i="10"/>
  <c r="BP7" i="10"/>
  <c r="BQ7" i="10"/>
  <c r="BP8" i="10"/>
  <c r="BR8" i="10"/>
  <c r="BP9" i="10"/>
  <c r="BQ9" i="10"/>
  <c r="BR9" i="10"/>
  <c r="BP10" i="10"/>
  <c r="BR10" i="10"/>
  <c r="BP11" i="10"/>
  <c r="BR11" i="10"/>
  <c r="BS17" i="10"/>
  <c r="BS18" i="10"/>
  <c r="BS19" i="10"/>
  <c r="BS20" i="10"/>
  <c r="BP30" i="10"/>
  <c r="BQ30" i="10"/>
  <c r="BR30" i="10"/>
  <c r="BP31" i="10"/>
  <c r="BQ31" i="10"/>
  <c r="BR31" i="10"/>
  <c r="BS65" i="10"/>
  <c r="BS66" i="10"/>
  <c r="BS67" i="10"/>
  <c r="BT67" i="10" s="1"/>
  <c r="BP12" i="10"/>
  <c r="BP13" i="10"/>
  <c r="BP14" i="10"/>
  <c r="BP65" i="10"/>
  <c r="BP66" i="10"/>
  <c r="BP67" i="10"/>
  <c r="BQ65" i="10"/>
  <c r="BQ66" i="10"/>
  <c r="BQ67" i="10"/>
  <c r="BU86" i="10"/>
  <c r="BV86" i="10"/>
  <c r="BW86" i="10"/>
  <c r="BX15" i="10"/>
  <c r="BY9" i="10"/>
  <c r="BY85" i="10" s="1"/>
  <c r="BY67" i="10"/>
  <c r="BZ67" i="10"/>
  <c r="CA6" i="10"/>
  <c r="CA9" i="10"/>
  <c r="CA67" i="10"/>
  <c r="CB6" i="10"/>
  <c r="CB12" i="10"/>
  <c r="CB13" i="10"/>
  <c r="CB14" i="10"/>
  <c r="CC15" i="10"/>
  <c r="CC30" i="10"/>
  <c r="CC31" i="10"/>
  <c r="CC67" i="10"/>
  <c r="CD9" i="10"/>
  <c r="CD67" i="10"/>
  <c r="CE9" i="10"/>
  <c r="CE67" i="10"/>
  <c r="CF9" i="10"/>
  <c r="CG15" i="10"/>
  <c r="CG67" i="10"/>
  <c r="CI15" i="10"/>
  <c r="CI85" i="10" s="1"/>
  <c r="CJ15" i="10"/>
  <c r="CJ85" i="10" s="1"/>
  <c r="F86" i="10"/>
  <c r="G86" i="10"/>
  <c r="H86" i="10"/>
  <c r="I86" i="10"/>
  <c r="J86" i="10"/>
  <c r="K86" i="10"/>
  <c r="L86" i="10"/>
  <c r="M16" i="10"/>
  <c r="M17" i="10"/>
  <c r="M18" i="10"/>
  <c r="N18" i="10" s="1"/>
  <c r="M19" i="10"/>
  <c r="N19" i="10" s="1"/>
  <c r="M20" i="10"/>
  <c r="N20" i="10" s="1"/>
  <c r="M21" i="10"/>
  <c r="N21" i="10" s="1"/>
  <c r="M65" i="10"/>
  <c r="N65" i="10" s="1"/>
  <c r="M66" i="10"/>
  <c r="N66" i="10" s="1"/>
  <c r="M67" i="10"/>
  <c r="N67" i="10" s="1"/>
  <c r="N4" i="10"/>
  <c r="N5" i="10"/>
  <c r="N6" i="10"/>
  <c r="N7" i="10"/>
  <c r="N8" i="10"/>
  <c r="N9" i="10"/>
  <c r="N10" i="10"/>
  <c r="N11" i="10"/>
  <c r="N12" i="10"/>
  <c r="N13" i="10"/>
  <c r="N14" i="10"/>
  <c r="N15" i="10"/>
  <c r="N17" i="10"/>
  <c r="N25" i="10"/>
  <c r="N30" i="10"/>
  <c r="N31" i="10"/>
  <c r="O12" i="10"/>
  <c r="O13" i="10"/>
  <c r="O14" i="10"/>
  <c r="O15" i="10"/>
  <c r="O17" i="10"/>
  <c r="O18" i="10"/>
  <c r="O19" i="10"/>
  <c r="O20" i="10"/>
  <c r="P86" i="10"/>
  <c r="Q9" i="10"/>
  <c r="Q25" i="10"/>
  <c r="R86" i="10"/>
  <c r="Q85" i="10" l="1"/>
  <c r="BK28" i="11"/>
  <c r="BJ85" i="10"/>
  <c r="BJ86" i="10" s="1"/>
  <c r="CE85" i="10"/>
  <c r="BK85" i="10"/>
  <c r="BK86" i="10" s="1"/>
  <c r="BN8" i="10"/>
  <c r="AX8" i="10"/>
  <c r="AV85" i="10"/>
  <c r="AV86" i="10" s="1"/>
  <c r="CD85" i="10"/>
  <c r="CD86" i="10" s="1"/>
  <c r="BP85" i="10"/>
  <c r="BN7" i="10"/>
  <c r="BN11" i="10"/>
  <c r="AA85" i="10"/>
  <c r="AA86" i="10" s="1"/>
  <c r="BZ85" i="10"/>
  <c r="BZ86" i="10" s="1"/>
  <c r="BM85" i="10"/>
  <c r="BM86" i="10" s="1"/>
  <c r="BL85" i="10"/>
  <c r="BL86" i="10" s="1"/>
  <c r="BN4" i="10"/>
  <c r="BN31" i="10"/>
  <c r="BN9" i="10"/>
  <c r="AS85" i="10"/>
  <c r="AS86" i="10" s="1"/>
  <c r="AO85" i="10"/>
  <c r="AO86" i="10" s="1"/>
  <c r="O85" i="10"/>
  <c r="N85" i="10"/>
  <c r="N86" i="10" s="1"/>
  <c r="CA85" i="10"/>
  <c r="CA86" i="10" s="1"/>
  <c r="BQ85" i="10"/>
  <c r="BQ86" i="10" s="1"/>
  <c r="BN30" i="10"/>
  <c r="AR85" i="10"/>
  <c r="AR86" i="10" s="1"/>
  <c r="M85" i="10"/>
  <c r="M86" i="10" s="1"/>
  <c r="CF85" i="10"/>
  <c r="CF86" i="10" s="1"/>
  <c r="CB85" i="10"/>
  <c r="CB86" i="10" s="1"/>
  <c r="BR85" i="10"/>
  <c r="BR86" i="10" s="1"/>
  <c r="BN5" i="10"/>
  <c r="BN10" i="10"/>
  <c r="BI85" i="10"/>
  <c r="BI86" i="10" s="1"/>
  <c r="AT85" i="10"/>
  <c r="AT86" i="10" s="1"/>
  <c r="CC6" i="10"/>
  <c r="BO66" i="10"/>
  <c r="BS11" i="10"/>
  <c r="CC9" i="10"/>
  <c r="BO67" i="10"/>
  <c r="BO20" i="10"/>
  <c r="BS5" i="10"/>
  <c r="BT18" i="10"/>
  <c r="BS7" i="10"/>
  <c r="BT17" i="10"/>
  <c r="BS8" i="10"/>
  <c r="BT6" i="10"/>
  <c r="BP86" i="10"/>
  <c r="CI86" i="10"/>
  <c r="CE86" i="10"/>
  <c r="BS31" i="10"/>
  <c r="CJ86" i="10"/>
  <c r="AW86" i="10"/>
  <c r="BO19" i="10"/>
  <c r="X86" i="10"/>
  <c r="BY86" i="10"/>
  <c r="BO18" i="10"/>
  <c r="BT66" i="10"/>
  <c r="AX25" i="10"/>
  <c r="AU86" i="10"/>
  <c r="AB86" i="10"/>
  <c r="Q86" i="10"/>
  <c r="CH15" i="10"/>
  <c r="CK15" i="10" s="1"/>
  <c r="CK85" i="10" s="1"/>
  <c r="O86" i="10"/>
  <c r="BT20" i="10"/>
  <c r="V86" i="10"/>
  <c r="CG9" i="10"/>
  <c r="BT19" i="10"/>
  <c r="BO65" i="10"/>
  <c r="BS30" i="10"/>
  <c r="BO6" i="10"/>
  <c r="BS4" i="10"/>
  <c r="CH67" i="10"/>
  <c r="BS10" i="10"/>
  <c r="BT65" i="10"/>
  <c r="BO17" i="10"/>
  <c r="BS9" i="10"/>
  <c r="BP28" i="11"/>
  <c r="BQ28" i="11" s="1"/>
  <c r="BZ32" i="11"/>
  <c r="BZ31" i="11"/>
  <c r="BL44" i="11"/>
  <c r="BK16" i="11"/>
  <c r="BP17" i="11"/>
  <c r="BQ17" i="11" s="1"/>
  <c r="BK25" i="11"/>
  <c r="BZ16" i="11"/>
  <c r="BZ3" i="11"/>
  <c r="CE3" i="11" s="1"/>
  <c r="CH3" i="11" s="1"/>
  <c r="BQ44" i="11"/>
  <c r="BU44" i="11" s="1"/>
  <c r="BK4" i="11"/>
  <c r="BP3" i="11"/>
  <c r="BK31" i="11"/>
  <c r="BQ43" i="11"/>
  <c r="BU43" i="11" s="1"/>
  <c r="CD4" i="11"/>
  <c r="BK24" i="11"/>
  <c r="AU4" i="11"/>
  <c r="BL14" i="11"/>
  <c r="BQ15" i="11"/>
  <c r="BU15" i="11" s="1"/>
  <c r="BK33" i="11"/>
  <c r="BP22" i="11"/>
  <c r="BQ22" i="11" s="1"/>
  <c r="BU22" i="11" s="1"/>
  <c r="BY4" i="11"/>
  <c r="BZ4" i="11"/>
  <c r="BK23" i="11"/>
  <c r="BK26" i="11"/>
  <c r="BQ26" i="11" s="1"/>
  <c r="BK10" i="11"/>
  <c r="BQ13" i="11"/>
  <c r="BU13" i="11" s="1"/>
  <c r="BQ14" i="11"/>
  <c r="BU14" i="11" s="1"/>
  <c r="AU35" i="11"/>
  <c r="BZ33" i="11"/>
  <c r="BK3" i="11"/>
  <c r="BL3" i="11" s="1"/>
  <c r="BK27" i="11"/>
  <c r="BP27" i="11"/>
  <c r="BQ27" i="11" s="1"/>
  <c r="AT12" i="11"/>
  <c r="BK32" i="11"/>
  <c r="BL28" i="11"/>
  <c r="BL43" i="11"/>
  <c r="BL13" i="11"/>
  <c r="CC85" i="10" l="1"/>
  <c r="BT7" i="10"/>
  <c r="BX7" i="10" s="1"/>
  <c r="CE4" i="11"/>
  <c r="AX85" i="10"/>
  <c r="BT5" i="10"/>
  <c r="BX5" i="10" s="1"/>
  <c r="BS85" i="10"/>
  <c r="BS86" i="10" s="1"/>
  <c r="CG85" i="10"/>
  <c r="CG86" i="10" s="1"/>
  <c r="AX86" i="10"/>
  <c r="BN85" i="10"/>
  <c r="BN86" i="10" s="1"/>
  <c r="BT10" i="10"/>
  <c r="BO8" i="10"/>
  <c r="BO5" i="10"/>
  <c r="BO11" i="10"/>
  <c r="BO7" i="10"/>
  <c r="CH9" i="10"/>
  <c r="CH85" i="10" s="1"/>
  <c r="CH86" i="10" s="1"/>
  <c r="BT31" i="10"/>
  <c r="CK86" i="10"/>
  <c r="BT8" i="10"/>
  <c r="BT4" i="10"/>
  <c r="BT11" i="10"/>
  <c r="BO4" i="10"/>
  <c r="BT30" i="10"/>
  <c r="BO31" i="10"/>
  <c r="BO30" i="10"/>
  <c r="CC86" i="10"/>
  <c r="BO10" i="10"/>
  <c r="BO9" i="10"/>
  <c r="BT9" i="10"/>
  <c r="BL17" i="11"/>
  <c r="BL27" i="11"/>
  <c r="BL22" i="11"/>
  <c r="BL26" i="11"/>
  <c r="BQ3" i="11"/>
  <c r="BU3" i="11" s="1"/>
  <c r="BT85" i="10" l="1"/>
  <c r="BT86" i="10" s="1"/>
  <c r="BO85" i="10"/>
  <c r="BO86" i="10" s="1"/>
  <c r="BX4" i="10"/>
  <c r="BX85" i="10" s="1"/>
  <c r="BX86" i="10" l="1"/>
</calcChain>
</file>

<file path=xl/sharedStrings.xml><?xml version="1.0" encoding="utf-8"?>
<sst xmlns="http://schemas.openxmlformats.org/spreadsheetml/2006/main" count="2998" uniqueCount="727">
  <si>
    <t>Location</t>
  </si>
  <si>
    <t>Land use</t>
  </si>
  <si>
    <t>mean annual temperature4</t>
  </si>
  <si>
    <t>cm</t>
  </si>
  <si>
    <t>m</t>
  </si>
  <si>
    <t>mm</t>
  </si>
  <si>
    <t>China</t>
  </si>
  <si>
    <t>Fujian province, Yong'an county, Tianbaoyan National Nature Reserve</t>
  </si>
  <si>
    <t>Taiwan</t>
  </si>
  <si>
    <t>Feng Huan mountain, Nantou County</t>
  </si>
  <si>
    <t>Fan et al. (2011)</t>
  </si>
  <si>
    <t>Anji county and Longquan city, Zhejiang province</t>
  </si>
  <si>
    <t>Japan</t>
  </si>
  <si>
    <t>Fukushima et al. (2015)</t>
  </si>
  <si>
    <t>Goto et al., 2008</t>
  </si>
  <si>
    <t>Isagi et al. (1997)</t>
  </si>
  <si>
    <t>Sitou Nature Education Area, Nantou County</t>
  </si>
  <si>
    <t>Lin et al., 2017</t>
  </si>
  <si>
    <t>Dingmushan Forest Farm, Chibi city, Hubei province</t>
  </si>
  <si>
    <t>Tang et al. (2015)</t>
  </si>
  <si>
    <t>Wang et al., 2013 (He et al., 2008; Zheng et al., 2008)</t>
  </si>
  <si>
    <t>Wang et al., 2013 (Zhang&amp;Ding, 1997; Pan et al., 2010)</t>
  </si>
  <si>
    <t>Zhuang et al. (2015)</t>
  </si>
  <si>
    <t>Anji county, NW Zhejiang province, E China</t>
  </si>
  <si>
    <t>Fu et al. (2014)</t>
  </si>
  <si>
    <t>Abe and Shibata (2009)</t>
  </si>
  <si>
    <t>Yen and Lee (2011)</t>
  </si>
  <si>
    <t>Huisun Experimental Forest Station</t>
  </si>
  <si>
    <t>Warmthindex</t>
  </si>
  <si>
    <t>Kagoshima Prefecture, Japan</t>
  </si>
  <si>
    <t>Shi-Zhuo, Mountain Ali</t>
  </si>
  <si>
    <t>NA = not available</t>
  </si>
  <si>
    <t>Link</t>
    <phoneticPr fontId="1" type="noConversion"/>
  </si>
  <si>
    <t>http://zlxb.zafu.edu.cn/CN/10.11833/j.issn.2095-0756.2012.01.010</t>
    <phoneticPr fontId="1" type="noConversion"/>
  </si>
  <si>
    <t>available or not</t>
    <phoneticPr fontId="1" type="noConversion"/>
  </si>
  <si>
    <t>available</t>
    <phoneticPr fontId="1" type="noConversion"/>
  </si>
  <si>
    <t>Check data</t>
    <phoneticPr fontId="1" type="noConversion"/>
  </si>
  <si>
    <t>http://ahnydxxb.ahau.edu.cn/ch/reader/view_abstract.aspx?file_no=201106005&amp;flag=1</t>
    <phoneticPr fontId="1" type="noConversion"/>
  </si>
  <si>
    <t>Fan et al. (2012)</t>
    <phoneticPr fontId="1" type="noConversion"/>
  </si>
  <si>
    <t>http://zlxb.zafu.edu.cn/EN/10.11833/j.issn.2095-0756.2012.03.001#1</t>
    <phoneticPr fontId="1" type="noConversion"/>
  </si>
  <si>
    <t>Elevation (asl)</t>
    <phoneticPr fontId="1" type="noConversion"/>
  </si>
  <si>
    <t>Basal area (b.a.)</t>
    <phoneticPr fontId="1" type="noConversion"/>
  </si>
  <si>
    <t>Fan et al. (2013)</t>
    <phoneticPr fontId="1" type="noConversion"/>
  </si>
  <si>
    <t>https://link.springer.com/article/10.1007/s11368-013-0665-7</t>
  </si>
  <si>
    <t>https://www.ncbi.nlm.nih.gov/pmc/articles/PMC1635818/</t>
    <phoneticPr fontId="1" type="noConversion"/>
  </si>
  <si>
    <t>http://www.sisef.it/iforest/contents/?id=ifor1674-008</t>
  </si>
  <si>
    <t>https://www.jstor.org/stable/43595383?read-now=1&amp;seq=1#page_scan_tab_contents</t>
  </si>
  <si>
    <t>Zhou et al. (2011)</t>
    <phoneticPr fontId="1" type="noConversion"/>
  </si>
  <si>
    <t>https://esj-journals.onlinelibrary.wiley.com/doi/full/10.1111/1442-1984.12066</t>
  </si>
  <si>
    <t>https://link.springer.com/article/10.1023/A:1009711814070</t>
  </si>
  <si>
    <t>Katayama et al (2018)</t>
    <phoneticPr fontId="1" type="noConversion"/>
  </si>
  <si>
    <t>https://www.jstage.jst.go.jp/article/jass/24/4/24_243/_article/-char/ja/</t>
    <phoneticPr fontId="1" type="noConversion"/>
  </si>
  <si>
    <t>https://catalog.lib.kyushu-u.ac.jp/opac_detail_md/?lang=0&amp;amode=MD100000&amp;bibid=1913975</t>
    <phoneticPr fontId="1" type="noConversion"/>
  </si>
  <si>
    <t>https://ir.kagoshima-u.ac.jp/?action=pages_view_main&amp;active_action=repository_view_main_item_detail&amp;item_id=12611&amp;item_no=1&amp;page_id=13&amp;block_id=21</t>
  </si>
  <si>
    <t>http://www.airitilibrary.com/Publication/alDetailedMesh?docid=05781345-201406-201503020016-201503020016-181-192</t>
    <phoneticPr fontId="1" type="noConversion"/>
  </si>
  <si>
    <t>https://esj-journals.onlinelibrary.wiley.com/doi/full/10.1007/s11284-017-1497-5</t>
  </si>
  <si>
    <t>https://www.researchgate.net/publication/333507633_The_Structures_Aboveground_Biomass_Carbon_Storage_of_Phyllostachys_pubescens_Stand_in_Huisun_Experimental_Forest_Station_and_Shi-Zhuo</t>
    <phoneticPr fontId="1" type="noConversion"/>
  </si>
  <si>
    <t>http://ir.lib.nchu.edu.tw/bitstream/11455/74254/1/143838-3.pdf</t>
  </si>
  <si>
    <t>https://www.sciencedirect.com/science/article/pii/S0378112710007188</t>
  </si>
  <si>
    <t>BGC</t>
    <phoneticPr fontId="1" type="noConversion"/>
  </si>
  <si>
    <r>
      <t>Mg C ha</t>
    </r>
    <r>
      <rPr>
        <vertAlign val="superscript"/>
        <sz val="10"/>
        <color theme="1"/>
        <rFont val="Times New Roman"/>
        <family val="1"/>
      </rPr>
      <t>-1</t>
    </r>
    <phoneticPr fontId="1" type="noConversion"/>
  </si>
  <si>
    <t>Korea</t>
    <phoneticPr fontId="1" type="noConversion"/>
  </si>
  <si>
    <t>unmanaged</t>
    <phoneticPr fontId="1" type="noConversion"/>
  </si>
  <si>
    <r>
      <t>m</t>
    </r>
    <r>
      <rPr>
        <vertAlign val="superscript"/>
        <sz val="10"/>
        <color theme="1"/>
        <rFont val="Times New Roman"/>
        <family val="1"/>
      </rPr>
      <t>2</t>
    </r>
    <r>
      <rPr>
        <sz val="10"/>
        <color theme="1"/>
        <rFont val="Times New Roman"/>
        <family val="1"/>
      </rPr>
      <t>ha</t>
    </r>
    <r>
      <rPr>
        <vertAlign val="superscript"/>
        <sz val="10"/>
        <color theme="1"/>
        <rFont val="Times New Roman"/>
        <family val="1"/>
      </rPr>
      <t>-1</t>
    </r>
    <phoneticPr fontId="1" type="noConversion"/>
  </si>
  <si>
    <r>
      <t>culm ha</t>
    </r>
    <r>
      <rPr>
        <vertAlign val="superscript"/>
        <sz val="10"/>
        <color theme="1"/>
        <rFont val="Times New Roman"/>
        <family val="1"/>
      </rPr>
      <t>-1</t>
    </r>
    <phoneticPr fontId="1" type="noConversion"/>
  </si>
  <si>
    <t>Hwang et al. (2005)</t>
    <phoneticPr fontId="1" type="noConversion"/>
  </si>
  <si>
    <t>Lee et al. (2012)</t>
    <phoneticPr fontId="1" type="noConversion"/>
  </si>
  <si>
    <t>Park and Ryu (1996)</t>
    <phoneticPr fontId="1" type="noConversion"/>
  </si>
  <si>
    <t>Beginning year</t>
    <phoneticPr fontId="1" type="noConversion"/>
  </si>
  <si>
    <t>Finishing year</t>
    <phoneticPr fontId="1" type="noConversion"/>
  </si>
  <si>
    <t>managed</t>
    <phoneticPr fontId="1" type="noConversion"/>
  </si>
  <si>
    <t>http://kiss.kstudy.com/thesis/thesis-view.asp?key=2459514</t>
    <phoneticPr fontId="1" type="noConversion"/>
  </si>
  <si>
    <r>
      <t>Culm DBH</t>
    </r>
    <r>
      <rPr>
        <vertAlign val="superscript"/>
        <sz val="10"/>
        <color theme="1"/>
        <rFont val="Times New Roman"/>
        <family val="1"/>
      </rPr>
      <t>(3</t>
    </r>
    <phoneticPr fontId="1" type="noConversion"/>
  </si>
  <si>
    <r>
      <t>Culm height</t>
    </r>
    <r>
      <rPr>
        <vertAlign val="superscript"/>
        <sz val="10"/>
        <color theme="1"/>
        <rFont val="Times New Roman"/>
        <family val="1"/>
      </rPr>
      <t>(3</t>
    </r>
    <phoneticPr fontId="1" type="noConversion"/>
  </si>
  <si>
    <t xml:space="preserve">(3 Average or range reported unless otherwise stated </t>
    <phoneticPr fontId="1" type="noConversion"/>
  </si>
  <si>
    <t xml:space="preserve">(2 Average or range reported. Unit of measurement as specified unless otherwise stated </t>
    <phoneticPr fontId="1" type="noConversion"/>
  </si>
  <si>
    <t xml:space="preserve">(1 Components not attached to standing crop (Eg. litter, liana) excluded from AGC </t>
    <phoneticPr fontId="1" type="noConversion"/>
  </si>
  <si>
    <t xml:space="preserve">(4 Midpoint values reported (max+min/2) if a range was given </t>
    <phoneticPr fontId="1" type="noConversion"/>
  </si>
  <si>
    <r>
      <t>Culm density</t>
    </r>
    <r>
      <rPr>
        <vertAlign val="superscript"/>
        <sz val="10"/>
        <color theme="1"/>
        <rFont val="Times New Roman"/>
        <family val="1"/>
      </rPr>
      <t>(2</t>
    </r>
    <phoneticPr fontId="1" type="noConversion"/>
  </si>
  <si>
    <r>
      <t>kg ha</t>
    </r>
    <r>
      <rPr>
        <vertAlign val="superscript"/>
        <sz val="10"/>
        <color theme="1"/>
        <rFont val="Times New Roman"/>
        <family val="1"/>
      </rPr>
      <t>-1</t>
    </r>
    <phoneticPr fontId="1" type="noConversion"/>
  </si>
  <si>
    <t>N (litter)</t>
    <phoneticPr fontId="1" type="noConversion"/>
  </si>
  <si>
    <t>Ca (litter)</t>
    <phoneticPr fontId="1" type="noConversion"/>
  </si>
  <si>
    <t>K (litter)</t>
    <phoneticPr fontId="1" type="noConversion"/>
  </si>
  <si>
    <t>Mg (litter)</t>
    <phoneticPr fontId="1" type="noConversion"/>
  </si>
  <si>
    <t>P (litter)</t>
    <phoneticPr fontId="1" type="noConversion"/>
  </si>
  <si>
    <t>V</t>
    <phoneticPr fontId="1" type="noConversion"/>
  </si>
  <si>
    <r>
      <t>Mg C ha</t>
    </r>
    <r>
      <rPr>
        <vertAlign val="superscript"/>
        <sz val="10"/>
        <color theme="1"/>
        <rFont val="Times New Roman"/>
        <family val="1"/>
      </rPr>
      <t>-1</t>
    </r>
    <r>
      <rPr>
        <sz val="10"/>
        <color theme="1"/>
        <rFont val="Times New Roman"/>
        <family val="1"/>
      </rPr>
      <t xml:space="preserve"> yr</t>
    </r>
    <r>
      <rPr>
        <vertAlign val="superscript"/>
        <sz val="10"/>
        <color theme="1"/>
        <rFont val="Times New Roman"/>
        <family val="1"/>
      </rPr>
      <t>-1</t>
    </r>
    <phoneticPr fontId="1" type="noConversion"/>
  </si>
  <si>
    <t>http://kiss.kstudy.com/thesis/thesis-view.asp?key=74524</t>
  </si>
  <si>
    <r>
      <t>(H</t>
    </r>
    <r>
      <rPr>
        <vertAlign val="subscript"/>
        <sz val="10"/>
        <color theme="1"/>
        <rFont val="Times New Roman"/>
        <family val="1"/>
      </rPr>
      <t>2</t>
    </r>
    <r>
      <rPr>
        <sz val="10"/>
        <color theme="1"/>
        <rFont val="Times New Roman"/>
        <family val="1"/>
      </rPr>
      <t>O 1:5)</t>
    </r>
    <phoneticPr fontId="1" type="noConversion"/>
  </si>
  <si>
    <t>%</t>
    <phoneticPr fontId="1" type="noConversion"/>
  </si>
  <si>
    <t>Ca2+ (soil)</t>
    <phoneticPr fontId="1" type="noConversion"/>
  </si>
  <si>
    <t>K+ (soil)</t>
    <phoneticPr fontId="1" type="noConversion"/>
  </si>
  <si>
    <r>
      <t>Available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(soil)</t>
    </r>
    <phoneticPr fontId="1" type="noConversion"/>
  </si>
  <si>
    <t>Total N (soil)</t>
    <phoneticPr fontId="1" type="noConversion"/>
  </si>
  <si>
    <t>pH (soil)</t>
    <phoneticPr fontId="1" type="noConversion"/>
  </si>
  <si>
    <t>Mg2+ (soil)</t>
    <phoneticPr fontId="1" type="noConversion"/>
  </si>
  <si>
    <r>
      <t>me 100g</t>
    </r>
    <r>
      <rPr>
        <vertAlign val="superscript"/>
        <sz val="10"/>
        <color theme="1"/>
        <rFont val="Times New Roman"/>
        <family val="1"/>
      </rPr>
      <t>-1</t>
    </r>
    <phoneticPr fontId="1" type="noConversion"/>
  </si>
  <si>
    <t>C.E.C (soil)</t>
    <phoneticPr fontId="1" type="noConversion"/>
  </si>
  <si>
    <t>cmole/kg</t>
    <phoneticPr fontId="1" type="noConversion"/>
  </si>
  <si>
    <r>
      <t>g kg</t>
    </r>
    <r>
      <rPr>
        <vertAlign val="superscript"/>
        <sz val="10"/>
        <color theme="1"/>
        <rFont val="Times New Roman"/>
        <family val="1"/>
      </rPr>
      <t>-1</t>
    </r>
    <phoneticPr fontId="1" type="noConversion"/>
  </si>
  <si>
    <r>
      <t>mg kg</t>
    </r>
    <r>
      <rPr>
        <vertAlign val="superscript"/>
        <sz val="10"/>
        <color theme="1"/>
        <rFont val="Times New Roman"/>
        <family val="1"/>
      </rPr>
      <t>-1</t>
    </r>
    <phoneticPr fontId="1" type="noConversion"/>
  </si>
  <si>
    <t>Culms</t>
    <phoneticPr fontId="1" type="noConversion"/>
  </si>
  <si>
    <t>Rhizomes</t>
    <phoneticPr fontId="1" type="noConversion"/>
  </si>
  <si>
    <t>Stumps</t>
    <phoneticPr fontId="1" type="noConversion"/>
  </si>
  <si>
    <t>RhNP</t>
    <phoneticPr fontId="1" type="noConversion"/>
  </si>
  <si>
    <t>StNP</t>
    <phoneticPr fontId="1" type="noConversion"/>
  </si>
  <si>
    <t>References</t>
    <phoneticPr fontId="1" type="noConversion"/>
  </si>
  <si>
    <t>Phyllostachys pubescens controls after 2 years</t>
    <phoneticPr fontId="1" type="noConversion"/>
  </si>
  <si>
    <t>Phyllostachys pubescens selective cutting after 2 years</t>
    <phoneticPr fontId="1" type="noConversion"/>
  </si>
  <si>
    <t>Phyllostachys pubescens clear cutting after 2 years</t>
    <phoneticPr fontId="1" type="noConversion"/>
  </si>
  <si>
    <t>Wang et al. (2010)</t>
    <phoneticPr fontId="1" type="noConversion"/>
  </si>
  <si>
    <t>Relative humidity</t>
    <phoneticPr fontId="1" type="noConversion"/>
  </si>
  <si>
    <t>KCl</t>
    <phoneticPr fontId="1" type="noConversion"/>
  </si>
  <si>
    <t>BNPP</t>
    <phoneticPr fontId="1" type="noConversion"/>
  </si>
  <si>
    <t>SR</t>
    <phoneticPr fontId="1" type="noConversion"/>
  </si>
  <si>
    <t>HR</t>
    <phoneticPr fontId="1" type="noConversion"/>
  </si>
  <si>
    <t>Phyllostachys pubescens in northwest aspect</t>
    <phoneticPr fontId="1" type="noConversion"/>
  </si>
  <si>
    <t>Phyllostachys pubescens in control (northeast aspect)</t>
    <phoneticPr fontId="1" type="noConversion"/>
  </si>
  <si>
    <t>Phyllostachys pubescens managed with fertilising soybean chaff (northeast aspect)</t>
    <phoneticPr fontId="1" type="noConversion"/>
  </si>
  <si>
    <t>Phyllostachys pubescens managed with organic fertilisation (northeast aspect)</t>
    <phoneticPr fontId="1" type="noConversion"/>
  </si>
  <si>
    <t>LAI</t>
    <phoneticPr fontId="1" type="noConversion"/>
  </si>
  <si>
    <t>Leaf area index (leaf area scanner)</t>
    <phoneticPr fontId="1" type="noConversion"/>
  </si>
  <si>
    <t>Relative luminosity</t>
    <phoneticPr fontId="1" type="noConversion"/>
  </si>
  <si>
    <t>(5 weather factors referance from the cloest weather station</t>
    <phoneticPr fontId="1" type="noConversion"/>
  </si>
  <si>
    <t>Sunshine duration</t>
    <phoneticPr fontId="1" type="noConversion"/>
  </si>
  <si>
    <r>
      <t>hr yr</t>
    </r>
    <r>
      <rPr>
        <vertAlign val="superscript"/>
        <sz val="10"/>
        <color theme="1"/>
        <rFont val="Times New Roman"/>
        <family val="1"/>
      </rPr>
      <t>-1</t>
    </r>
    <phoneticPr fontId="1" type="noConversion"/>
  </si>
  <si>
    <t>Wind speed</t>
    <phoneticPr fontId="1" type="noConversion"/>
  </si>
  <si>
    <r>
      <t>m s</t>
    </r>
    <r>
      <rPr>
        <vertAlign val="superscript"/>
        <sz val="10"/>
        <color theme="1"/>
        <rFont val="Times New Roman"/>
        <family val="1"/>
      </rPr>
      <t>-1</t>
    </r>
    <phoneticPr fontId="1" type="noConversion"/>
  </si>
  <si>
    <t>Chen et al., 2011</t>
    <phoneticPr fontId="1" type="noConversion"/>
  </si>
  <si>
    <t>unmanaged between 2012-2015 (managed before 2012)</t>
    <phoneticPr fontId="1" type="noConversion"/>
  </si>
  <si>
    <t>Phyllostachys pubescens at the beginning (unmanaged)</t>
    <phoneticPr fontId="1" type="noConversion"/>
  </si>
  <si>
    <t>(6 In this study, we reveal the soil nutrients and belowground carbon ratio in Huisun Experimental Forest Station</t>
    <phoneticPr fontId="1" type="noConversion"/>
  </si>
  <si>
    <t>Wang et al. (2009); This study</t>
    <phoneticPr fontId="1" type="noConversion"/>
  </si>
  <si>
    <t>Total Net Primary Productivity</t>
    <phoneticPr fontId="1" type="noConversion"/>
  </si>
  <si>
    <t>https://www.researchgate.net/profile/Shunyao_Zhuang/publication/281752141_Carbon_storage_estimation_of_Moso_bamboo_Phyllostachys_pubescens_forest_stands_in_Fujian_China/links/569591e908ae3ad8e33d8918.pdf</t>
    <phoneticPr fontId="1" type="noConversion"/>
  </si>
  <si>
    <t>Fangdang, north part of Fujian province (nearby Wu Yi Mount)</t>
    <phoneticPr fontId="1" type="noConversion"/>
  </si>
  <si>
    <t>9 managed Moso bamboo (Phyllostachys pubescens) plots</t>
    <phoneticPr fontId="1" type="noConversion"/>
  </si>
  <si>
    <t>Wang et al., 2013 (Zhou&amp;Jiang, 2004; Gao, 2004; Wang et al., 2009; Xiao et al., 2010; Zhang, 2008)</t>
    <phoneticPr fontId="1" type="noConversion"/>
  </si>
  <si>
    <t>Wang et al., 2013 (Qi et al., 2009)</t>
    <phoneticPr fontId="1" type="noConversion"/>
  </si>
  <si>
    <t xml:space="preserve">Moso bamboo in managed stand with appling pesticides </t>
    <phoneticPr fontId="1" type="noConversion"/>
  </si>
  <si>
    <t>Moso bamboo in managed stand with hand-weeded</t>
    <phoneticPr fontId="1" type="noConversion"/>
  </si>
  <si>
    <t>Moso bamboo in unmanaged stand</t>
    <phoneticPr fontId="1" type="noConversion"/>
  </si>
  <si>
    <t>Total P (soil)</t>
    <phoneticPr fontId="1" type="noConversion"/>
  </si>
  <si>
    <t>Total K (soil)</t>
    <phoneticPr fontId="1" type="noConversion"/>
  </si>
  <si>
    <t>Li et al., 2006</t>
    <phoneticPr fontId="1" type="noConversion"/>
  </si>
  <si>
    <t>http://html.rhhz.net/linyekexue/html/20131125.htm</t>
    <phoneticPr fontId="1" type="noConversion"/>
  </si>
  <si>
    <t>105 plots for Phyllostachys edulis forest</t>
    <phoneticPr fontId="1" type="noConversion"/>
  </si>
  <si>
    <t>18 plots for Phyllostachys edulis stand.</t>
    <phoneticPr fontId="1" type="noConversion"/>
  </si>
  <si>
    <t>Chen et al. (2012)</t>
    <phoneticPr fontId="1" type="noConversion"/>
  </si>
  <si>
    <t>Phyllostachys pubescens stand, 5 years fertilization. Management: bamboo shoots dug out in march, grass cut once during Jun - Sept.</t>
    <phoneticPr fontId="1" type="noConversion"/>
  </si>
  <si>
    <t>Annual rainfall4</t>
    <phoneticPr fontId="1" type="noConversion"/>
  </si>
  <si>
    <t>https://agupubs.onlinelibrary.wiley.com/doi/full/10.1029/2009JG001234</t>
    <phoneticPr fontId="1" type="noConversion"/>
  </si>
  <si>
    <t>Mount Dagangshan experimental area within Subtropical Forest Experimental Center, Chinese Academy of Forestry, Fengyi county, Jiangxi province (huge cold damaged)</t>
    <phoneticPr fontId="1" type="noConversion"/>
  </si>
  <si>
    <t>fertilised</t>
    <phoneticPr fontId="1" type="noConversion"/>
  </si>
  <si>
    <t>managed</t>
    <phoneticPr fontId="1" type="noConversion"/>
  </si>
  <si>
    <t>Phyllostachys pubescens stand, 13 years fertilization. Management: bamboo shoots dug out in march, grass cut once during Jun - Sept.</t>
    <phoneticPr fontId="1" type="noConversion"/>
  </si>
  <si>
    <t>Phyllostachys pubescens stand, no fertilization. Management: bamboo shoots dug out in march, grass cut once during Jun - Sept.</t>
    <phoneticPr fontId="1" type="noConversion"/>
  </si>
  <si>
    <t>28/73 plots for Moso bamboo (Phyllostachys pubescens)(extensive)</t>
    <phoneticPr fontId="1" type="noConversion"/>
  </si>
  <si>
    <t>19/73 plots for Moso bamboo (Phyllostachys pubescens) (moderate)</t>
    <phoneticPr fontId="1" type="noConversion"/>
  </si>
  <si>
    <t>26/73 plots for Moso bamboo (Phyllostachys pubescens) (intensive)</t>
    <phoneticPr fontId="1" type="noConversion"/>
  </si>
  <si>
    <t>clear cutting</t>
    <phoneticPr fontId="1" type="noConversion"/>
  </si>
  <si>
    <t>weeded and selective cutting</t>
    <phoneticPr fontId="1" type="noConversion"/>
  </si>
  <si>
    <t>shoots dug</t>
    <phoneticPr fontId="1" type="noConversion"/>
  </si>
  <si>
    <t>mixed with other forests</t>
    <phoneticPr fontId="1" type="noConversion"/>
  </si>
  <si>
    <t>(7 managed, fertilised, weeded and selective cutting, shoots dug, clear cutting, and mixed with other forests are dummy variables set for Multiple Linear Regression</t>
    <phoneticPr fontId="1" type="noConversion"/>
  </si>
  <si>
    <t>(8 All research article from Korea provied by http://kiss.kstudy.com/search/sch-result.asp</t>
    <phoneticPr fontId="1" type="noConversion"/>
  </si>
  <si>
    <t>(9 All research article from Japan provied by https://www.jstage.jst.go.jp/result/global/-char/ja?item1=4&amp;word1=%E3%83%A2%E3%82%A6%E3%82%BD%E3%82%A6&amp;cond1=&amp;item2=&amp;word2=&amp;cond2=&amp;item3=&amp;word3=&amp;cond3=&amp;item4=&amp;word4=&amp;count=50&amp;from=0&amp;order=&amp;type=&amp;license=&amp;attribute=&amp;languageType=&amp;option=&amp;yearfrom=&amp;yearto=&amp;category=&amp;cdjournal=&amp;favorite=&amp;translate=&amp;bglobalSearch=false&amp;sortby=1&amp;showRecodsH=50&amp;showRecords=20</t>
    <phoneticPr fontId="1" type="noConversion"/>
  </si>
  <si>
    <t>https://www.jstage.jst.go.jp/article/jjsrt/35/1/35_1_57/_article/-char/ja</t>
    <phoneticPr fontId="1" type="noConversion"/>
  </si>
  <si>
    <t>Huang et al. (1993)</t>
    <phoneticPr fontId="1" type="noConversion"/>
  </si>
  <si>
    <t>http://kns.cnki.net/kcms/detail/detail.aspx?DbCode=CJFD&amp;dbname=CJFD9093&amp;filename=LYKX199305011</t>
    <phoneticPr fontId="1" type="noConversion"/>
  </si>
  <si>
    <t>North subtropical of China</t>
    <phoneticPr fontId="1" type="noConversion"/>
  </si>
  <si>
    <t>Middle subtropical of China</t>
    <phoneticPr fontId="1" type="noConversion"/>
  </si>
  <si>
    <t>South subtropical of China</t>
    <phoneticPr fontId="1" type="noConversion"/>
  </si>
  <si>
    <t>Southenwest mountain subtropical of China</t>
    <phoneticPr fontId="1" type="noConversion"/>
  </si>
  <si>
    <t>4 Phyllostachys pubescens study sites for north subtropical of China (NS)</t>
    <phoneticPr fontId="1" type="noConversion"/>
  </si>
  <si>
    <t>18 Phyllostachys pubescens study sites for middle subtropical of China (MS)</t>
    <phoneticPr fontId="1" type="noConversion"/>
  </si>
  <si>
    <t>6 Phyllostachys pubescens study sites for south subtropical of China (SS)</t>
    <phoneticPr fontId="1" type="noConversion"/>
  </si>
  <si>
    <t>2 Phyllostachys pubescens study sites for southenwest mountain subtropical of China (SM)</t>
    <phoneticPr fontId="1" type="noConversion"/>
  </si>
  <si>
    <t>Moso bamboo in managed stand with high produciton</t>
    <phoneticPr fontId="1" type="noConversion"/>
  </si>
  <si>
    <t>Moso bamboo in managed stand with middle produciton</t>
    <phoneticPr fontId="1" type="noConversion"/>
  </si>
  <si>
    <t>http://www.airitilibrary.com/Publication/alDetailedMesh?DocID=10017488-201011-201101220039-201101220039-59-65</t>
    <phoneticPr fontId="1" type="noConversion"/>
  </si>
  <si>
    <t>Itou et al. (2018)</t>
    <phoneticPr fontId="1" type="noConversion"/>
  </si>
  <si>
    <t>https://www.jstage.jst.go.jp/article/jjfs/100/4/100_124/_article/-char/ja</t>
    <phoneticPr fontId="1" type="noConversion"/>
  </si>
  <si>
    <t>unmanaged before 1988</t>
    <phoneticPr fontId="1" type="noConversion"/>
  </si>
  <si>
    <t>Xiao et al. (2009); Xiao et al. (2010)</t>
    <phoneticPr fontId="1" type="noConversion"/>
  </si>
  <si>
    <t>Japan</t>
    <phoneticPr fontId="1" type="noConversion"/>
  </si>
  <si>
    <t>Kyoto Prefecture, Japan</t>
    <phoneticPr fontId="1" type="noConversion"/>
  </si>
  <si>
    <t>Kochi Prefecture, Japan</t>
    <phoneticPr fontId="1" type="noConversion"/>
  </si>
  <si>
    <t>Fukuoka Prefecture, Japan</t>
    <phoneticPr fontId="1" type="noConversion"/>
  </si>
  <si>
    <t>Gifu Prefecture, Japan</t>
    <phoneticPr fontId="1" type="noConversion"/>
  </si>
  <si>
    <r>
      <t>kg ha</t>
    </r>
    <r>
      <rPr>
        <vertAlign val="superscript"/>
        <sz val="10"/>
        <color theme="1"/>
        <rFont val="Times New Roman"/>
        <family val="1"/>
      </rPr>
      <t xml:space="preserve">-1 </t>
    </r>
    <r>
      <rPr>
        <sz val="10"/>
        <color theme="1"/>
        <rFont val="Times New Roman"/>
        <family val="1"/>
      </rPr>
      <t>yr</t>
    </r>
    <r>
      <rPr>
        <vertAlign val="superscript"/>
        <sz val="10"/>
        <color theme="1"/>
        <rFont val="Times New Roman"/>
        <family val="1"/>
      </rPr>
      <t>-1</t>
    </r>
    <phoneticPr fontId="1" type="noConversion"/>
  </si>
  <si>
    <t>Si (net sink in Plant annually)</t>
    <phoneticPr fontId="1" type="noConversion"/>
  </si>
  <si>
    <t>Si (return to soil)</t>
    <phoneticPr fontId="1" type="noConversion"/>
  </si>
  <si>
    <t>CN-FJP-YAC-TNNR-NF</t>
    <phoneticPr fontId="1" type="noConversion"/>
  </si>
  <si>
    <t>CN-FJP-YAC-TNNR-5YF</t>
    <phoneticPr fontId="1" type="noConversion"/>
  </si>
  <si>
    <t>CN-FJP-YAC-TNNR-13YF</t>
    <phoneticPr fontId="1" type="noConversion"/>
  </si>
  <si>
    <r>
      <t>Pure phyllostachys edulis stand. Weeded once a year, fertilised every 2 yrs. Amount of fertilizers added = 0.25 kg per culm (N:P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:K</t>
    </r>
    <r>
      <rPr>
        <vertAlign val="subscript"/>
        <sz val="10"/>
        <color theme="1"/>
        <rFont val="Times New Roman"/>
        <family val="1"/>
      </rPr>
      <t>2</t>
    </r>
    <r>
      <rPr>
        <sz val="10"/>
        <color theme="1"/>
        <rFont val="Times New Roman"/>
        <family val="1"/>
      </rPr>
      <t>O=9:5:6)</t>
    </r>
    <phoneticPr fontId="1" type="noConversion"/>
  </si>
  <si>
    <t>CN-FJP-YAC-TNNR-2YFEY</t>
    <phoneticPr fontId="1" type="noConversion"/>
  </si>
  <si>
    <t>CN-ZJP-LAC-BV-18P</t>
    <phoneticPr fontId="1" type="noConversion"/>
  </si>
  <si>
    <t>Country</t>
    <phoneticPr fontId="1" type="noConversion"/>
  </si>
  <si>
    <t>CN-ZJP-AJC-105P</t>
    <phoneticPr fontId="1" type="noConversion"/>
  </si>
  <si>
    <t>CN-ZJP-AJC-IN</t>
    <phoneticPr fontId="1" type="noConversion"/>
  </si>
  <si>
    <t>CN-ZJP-AJC-MO</t>
    <phoneticPr fontId="1" type="noConversion"/>
  </si>
  <si>
    <t>CN-ZJP-AJC-EX</t>
    <phoneticPr fontId="1" type="noConversion"/>
  </si>
  <si>
    <t xml:space="preserve">Zhejiang province, Miaoshanwu Nature Reserve </t>
    <phoneticPr fontId="1" type="noConversion"/>
  </si>
  <si>
    <t>CN-ZJP-MNR-HP</t>
    <phoneticPr fontId="1" type="noConversion"/>
  </si>
  <si>
    <t>CN-ZJP-MNR-MP</t>
    <phoneticPr fontId="1" type="noConversion"/>
  </si>
  <si>
    <t>unmanaged Phyllostachys heterocycla var. pubescens stand</t>
    <phoneticPr fontId="1" type="noConversion"/>
  </si>
  <si>
    <t>CN-FJP-WYS</t>
    <phoneticPr fontId="1" type="noConversion"/>
  </si>
  <si>
    <t>CN-HBP-CC-DFF-AP</t>
    <phoneticPr fontId="1" type="noConversion"/>
  </si>
  <si>
    <t>CN-HBP-CC-DFF-HW</t>
    <phoneticPr fontId="1" type="noConversion"/>
  </si>
  <si>
    <t>CN-NS-4P</t>
    <phoneticPr fontId="1" type="noConversion"/>
  </si>
  <si>
    <t>CN-MS-18P</t>
    <phoneticPr fontId="1" type="noConversion"/>
  </si>
  <si>
    <t>CN-SS-6P</t>
    <phoneticPr fontId="1" type="noConversion"/>
  </si>
  <si>
    <t>CN-SM-2P</t>
    <phoneticPr fontId="1" type="noConversion"/>
  </si>
  <si>
    <t>CN-FJP-FD-9P</t>
    <phoneticPr fontId="1" type="noConversion"/>
  </si>
  <si>
    <t>CN-FJP-ON-9P</t>
    <phoneticPr fontId="1" type="noConversion"/>
  </si>
  <si>
    <t>CN-FJP-XQ-9P</t>
    <phoneticPr fontId="1" type="noConversion"/>
  </si>
  <si>
    <t>TW-NTC-OF</t>
    <phoneticPr fontId="1" type="noConversion"/>
  </si>
  <si>
    <t>TW-NTC-SC</t>
    <phoneticPr fontId="1" type="noConversion"/>
  </si>
  <si>
    <t>Board leaves forest mix Phyllostachys pubescens forest (northeast aspect)</t>
    <phoneticPr fontId="1" type="noConversion"/>
  </si>
  <si>
    <t>TW-NTC-BLM</t>
    <phoneticPr fontId="1" type="noConversion"/>
  </si>
  <si>
    <t>Huisun Experimental Forest Station, Nantou County</t>
    <phoneticPr fontId="1" type="noConversion"/>
  </si>
  <si>
    <t>TW-NTC-HEFS-SC</t>
    <phoneticPr fontId="1" type="noConversion"/>
  </si>
  <si>
    <t>TW-NTC-HEFS-CT</t>
    <phoneticPr fontId="1" type="noConversion"/>
  </si>
  <si>
    <t>Huisun Experimental Forest Station, Nantou County</t>
    <phoneticPr fontId="1" type="noConversion"/>
  </si>
  <si>
    <t>TW-NTC-LA</t>
    <phoneticPr fontId="1" type="noConversion"/>
  </si>
  <si>
    <t>TW-NTC-ML</t>
    <phoneticPr fontId="1" type="noConversion"/>
  </si>
  <si>
    <t>TW-NTC-HA</t>
    <phoneticPr fontId="1" type="noConversion"/>
  </si>
  <si>
    <t>Jinyu</t>
    <phoneticPr fontId="1" type="noConversion"/>
  </si>
  <si>
    <t>CN-HBP-CC-DMS</t>
    <phoneticPr fontId="1" type="noConversion"/>
  </si>
  <si>
    <t>JP-GFP-TBK-M</t>
    <phoneticPr fontId="1" type="noConversion"/>
  </si>
  <si>
    <t>JP-GFP-OBS-M</t>
    <phoneticPr fontId="1" type="noConversion"/>
  </si>
  <si>
    <t>JP-KRF</t>
    <phoneticPr fontId="1" type="noConversion"/>
  </si>
  <si>
    <t>KR-JU-M</t>
    <phoneticPr fontId="1" type="noConversion"/>
  </si>
  <si>
    <t>JP-GFP-TBK-UM</t>
    <phoneticPr fontId="1" type="noConversion"/>
  </si>
  <si>
    <t>JP-GFP-OBS-UM</t>
    <phoneticPr fontId="1" type="noConversion"/>
  </si>
  <si>
    <t>JP-KCP-UM</t>
    <phoneticPr fontId="1" type="noConversion"/>
  </si>
  <si>
    <t>JP-KRF-UM</t>
    <phoneticPr fontId="1" type="noConversion"/>
  </si>
  <si>
    <t>JP-KGSMP-KTMC-UM</t>
    <phoneticPr fontId="1" type="noConversion"/>
  </si>
  <si>
    <t>JP-KGSMP-AIRC-UM</t>
    <phoneticPr fontId="1" type="noConversion"/>
  </si>
  <si>
    <t>JP-KGSMP-CRC-UM</t>
    <phoneticPr fontId="1" type="noConversion"/>
  </si>
  <si>
    <t>TW-NTC-FHMNW-UM</t>
    <phoneticPr fontId="1" type="noConversion"/>
  </si>
  <si>
    <t>TW-NTC-FHMC-UM</t>
    <phoneticPr fontId="1" type="noConversion"/>
  </si>
  <si>
    <t>TW-NTC-STNEA</t>
    <phoneticPr fontId="1" type="noConversion"/>
  </si>
  <si>
    <t>TW-CYC-MAL-SZ-UM</t>
    <phoneticPr fontId="1" type="noConversion"/>
  </si>
  <si>
    <t>TW-NTC-HEFS-07-UM</t>
    <phoneticPr fontId="1" type="noConversion"/>
  </si>
  <si>
    <t>TW-NTC-HEFS-09-UM</t>
    <phoneticPr fontId="1" type="noConversion"/>
  </si>
  <si>
    <t>KR-JU-UM</t>
    <phoneticPr fontId="1" type="noConversion"/>
  </si>
  <si>
    <t>KR-SC-UM</t>
    <phoneticPr fontId="1" type="noConversion"/>
  </si>
  <si>
    <t>CN-JXP-FYC-MDASEA</t>
    <phoneticPr fontId="1" type="noConversion"/>
  </si>
  <si>
    <t>CN-HNP-HTC</t>
    <phoneticPr fontId="1" type="noConversion"/>
  </si>
  <si>
    <t>ID</t>
    <phoneticPr fontId="1" type="noConversion"/>
  </si>
  <si>
    <t>Huitong County, Hunan province</t>
    <phoneticPr fontId="1" type="noConversion"/>
  </si>
  <si>
    <t>Fengyi county, Jiangxi province</t>
    <phoneticPr fontId="1" type="noConversion"/>
  </si>
  <si>
    <t>Suncheon</t>
    <phoneticPr fontId="1" type="noConversion"/>
  </si>
  <si>
    <t>http://kiss.kstudy.com/thesis/thesis-view.asp?key=3042038</t>
    <phoneticPr fontId="1" type="noConversion"/>
  </si>
  <si>
    <t>Jinyu, Korea Forest Research Institute</t>
    <phoneticPr fontId="1" type="noConversion"/>
  </si>
  <si>
    <t>Kagoshima Prefecture, Japan</t>
    <phoneticPr fontId="1" type="noConversion"/>
  </si>
  <si>
    <t>Dingmushan Forest Farm, Chibi city, Hubei province</t>
    <phoneticPr fontId="1" type="noConversion"/>
  </si>
  <si>
    <t>Daan, (600-900m) lower altitude of central Taiwan, Nantou County</t>
    <phoneticPr fontId="1" type="noConversion"/>
  </si>
  <si>
    <r>
      <t xml:space="preserve">Daan, (900-1,200m) mid </t>
    </r>
    <r>
      <rPr>
        <b/>
        <sz val="10"/>
        <color theme="1"/>
        <rFont val="Times New Roman"/>
        <family val="1"/>
      </rPr>
      <t>altitude</t>
    </r>
    <r>
      <rPr>
        <sz val="10"/>
        <color theme="1"/>
        <rFont val="Times New Roman"/>
        <family val="1"/>
      </rPr>
      <t xml:space="preserve"> area of central Taiwan, Nantou County</t>
    </r>
    <phoneticPr fontId="1" type="noConversion"/>
  </si>
  <si>
    <t>Daan, (1,200-1,500m) high altitude area of central Taiwan, Nantou County</t>
    <phoneticPr fontId="1" type="noConversion"/>
  </si>
  <si>
    <t>Xiaoqiao, north part of Fujian province (nearby Wu Yi Mount)</t>
    <phoneticPr fontId="1" type="noConversion"/>
  </si>
  <si>
    <t>Ouning, north part of Fujian province (nearby Wu Yi Mount)</t>
    <phoneticPr fontId="1" type="noConversion"/>
  </si>
  <si>
    <t>Wuyishan Biosphere Reserv, Fujian</t>
    <phoneticPr fontId="1" type="noConversion"/>
  </si>
  <si>
    <t>Anji county, NW Zhejiang province, E China</t>
    <phoneticPr fontId="1" type="noConversion"/>
  </si>
  <si>
    <t>Zhejiang province , Lin'an city, Banqiao village</t>
    <phoneticPr fontId="1" type="noConversion"/>
  </si>
  <si>
    <t>Fujian province, Yong'an county, Tianbaoyan National Nature Reserve</t>
    <phoneticPr fontId="1" type="noConversion"/>
  </si>
  <si>
    <t>Wang et al. (2009)</t>
    <phoneticPr fontId="1" type="noConversion"/>
  </si>
  <si>
    <t>Chen et al., 2011</t>
    <phoneticPr fontId="1" type="noConversion"/>
  </si>
  <si>
    <t>Yen and Lee (2011)</t>
    <phoneticPr fontId="1" type="noConversion"/>
  </si>
  <si>
    <t>Unpublished data in this research</t>
    <phoneticPr fontId="1" type="noConversion"/>
  </si>
  <si>
    <t>If the journal article just have biomass, we will give it a carbon ratio of 50% following the instruction from IPCC (IPCC, 2006; IPCC 2019)</t>
    <phoneticPr fontId="1" type="noConversion"/>
  </si>
  <si>
    <t>https://www.jstage.jst.go.jp/article/jass/21/1/21_65/_pdf/-char/ja</t>
    <phoneticPr fontId="1" type="noConversion"/>
  </si>
  <si>
    <t>Snow</t>
    <phoneticPr fontId="1" type="noConversion"/>
  </si>
  <si>
    <t>m</t>
    <phoneticPr fontId="1" type="noConversion"/>
  </si>
  <si>
    <t>JP-GFP-FHM-UM</t>
    <phoneticPr fontId="1" type="noConversion"/>
  </si>
  <si>
    <t>Zhang et al. (2005)</t>
    <phoneticPr fontId="1" type="noConversion"/>
  </si>
  <si>
    <t>Aichi Prefecture, Japan</t>
    <phoneticPr fontId="1" type="noConversion"/>
  </si>
  <si>
    <t>https://esj-journals.onlinelibrary.wiley.com/doi/pdf/10.1007/s11284-014-1150-5</t>
    <phoneticPr fontId="1" type="noConversion"/>
  </si>
  <si>
    <t>Available SiO2 (soil)</t>
    <phoneticPr fontId="1" type="noConversion"/>
  </si>
  <si>
    <t>Water content (soil)</t>
    <phoneticPr fontId="1" type="noConversion"/>
  </si>
  <si>
    <r>
      <t>kg kg</t>
    </r>
    <r>
      <rPr>
        <vertAlign val="superscript"/>
        <sz val="10"/>
        <color theme="1"/>
        <rFont val="Times New Roman"/>
        <family val="1"/>
      </rPr>
      <t>-1</t>
    </r>
    <phoneticPr fontId="1" type="noConversion"/>
  </si>
  <si>
    <t>Si (primary sink in Plant annually)</t>
    <phoneticPr fontId="1" type="noConversion"/>
  </si>
  <si>
    <t>Si (storage in Plant above ground)</t>
    <phoneticPr fontId="1" type="noConversion"/>
  </si>
  <si>
    <t>Si (storage in Plant below ground)</t>
    <phoneticPr fontId="1" type="noConversion"/>
  </si>
  <si>
    <t>Shimane Prefecture, Japan</t>
    <phoneticPr fontId="1" type="noConversion"/>
  </si>
  <si>
    <t>JP-ACP-KPC-UM</t>
    <phoneticPr fontId="1" type="noConversion"/>
  </si>
  <si>
    <t>JP-ACP-ST-UM</t>
    <phoneticPr fontId="1" type="noConversion"/>
  </si>
  <si>
    <t>JP-ACP-NGC-UM</t>
    <phoneticPr fontId="1" type="noConversion"/>
  </si>
  <si>
    <t>Si (storage in soil)</t>
    <phoneticPr fontId="1" type="noConversion"/>
  </si>
  <si>
    <r>
      <t>kg ha</t>
    </r>
    <r>
      <rPr>
        <vertAlign val="superscript"/>
        <sz val="10"/>
        <color theme="1"/>
        <rFont val="Times New Roman"/>
        <family val="1"/>
      </rPr>
      <t xml:space="preserve">-1 </t>
    </r>
    <r>
      <rPr>
        <sz val="10"/>
        <color theme="1"/>
        <rFont val="Times New Roman"/>
        <family val="1"/>
      </rPr>
      <t>yr</t>
    </r>
    <r>
      <rPr>
        <vertAlign val="superscript"/>
        <sz val="10"/>
        <color theme="1"/>
        <rFont val="Times New Roman"/>
        <family val="1"/>
      </rPr>
      <t>-1</t>
    </r>
    <phoneticPr fontId="1" type="noConversion"/>
  </si>
  <si>
    <t>Exist rate</t>
    <phoneticPr fontId="1" type="noConversion"/>
  </si>
  <si>
    <t>Missing rate</t>
    <phoneticPr fontId="1" type="noConversion"/>
  </si>
  <si>
    <t>Leaf area index (Fisheye lens)</t>
    <phoneticPr fontId="1" type="noConversion"/>
  </si>
  <si>
    <t>Leaves C</t>
    <phoneticPr fontId="1" type="noConversion"/>
  </si>
  <si>
    <t>Branches C</t>
    <phoneticPr fontId="1" type="noConversion"/>
  </si>
  <si>
    <t>Culms C</t>
    <phoneticPr fontId="1" type="noConversion"/>
  </si>
  <si>
    <t>Fine roots C</t>
    <phoneticPr fontId="1" type="noConversion"/>
  </si>
  <si>
    <t>Coarse root C</t>
    <phoneticPr fontId="1" type="noConversion"/>
  </si>
  <si>
    <t>Rhizomes C</t>
    <phoneticPr fontId="1" type="noConversion"/>
  </si>
  <si>
    <t>Stump C</t>
    <phoneticPr fontId="1" type="noConversion"/>
  </si>
  <si>
    <t>Soil C (0-10cm)</t>
    <phoneticPr fontId="1" type="noConversion"/>
  </si>
  <si>
    <t>Soil C (10-30cm)</t>
    <phoneticPr fontId="1" type="noConversion"/>
  </si>
  <si>
    <t>Foliages</t>
    <phoneticPr fontId="1" type="noConversion"/>
  </si>
  <si>
    <t>Branches</t>
    <phoneticPr fontId="1" type="noConversion"/>
  </si>
  <si>
    <t>AGC</t>
    <phoneticPr fontId="1" type="noConversion"/>
  </si>
  <si>
    <t>Root_Shoot Ratio</t>
    <phoneticPr fontId="1" type="noConversion"/>
  </si>
  <si>
    <t>Roots</t>
    <phoneticPr fontId="1" type="noConversion"/>
  </si>
  <si>
    <t>TC (AGC+BGC)</t>
    <phoneticPr fontId="1" type="noConversion"/>
  </si>
  <si>
    <t>Litter layer C</t>
    <phoneticPr fontId="1" type="noConversion"/>
  </si>
  <si>
    <t>SC (soil carbon)</t>
    <phoneticPr fontId="1" type="noConversion"/>
  </si>
  <si>
    <t>Undergrowth</t>
    <phoneticPr fontId="1" type="noConversion"/>
  </si>
  <si>
    <t>TEC (Total ecosystem carbon)</t>
    <phoneticPr fontId="1" type="noConversion"/>
  </si>
  <si>
    <t>LNP</t>
    <phoneticPr fontId="1" type="noConversion"/>
  </si>
  <si>
    <t>BNP</t>
    <phoneticPr fontId="1" type="noConversion"/>
  </si>
  <si>
    <t>CNP</t>
    <phoneticPr fontId="1" type="noConversion"/>
  </si>
  <si>
    <t>Litterfall</t>
    <phoneticPr fontId="1" type="noConversion"/>
  </si>
  <si>
    <t>ANPP</t>
    <phoneticPr fontId="1" type="noConversion"/>
  </si>
  <si>
    <t>RoNP</t>
    <phoneticPr fontId="1" type="noConversion"/>
  </si>
  <si>
    <t>Belowground Net Primary Productivity</t>
    <phoneticPr fontId="1" type="noConversion"/>
  </si>
  <si>
    <t>Aboveground Net Primary Productivity</t>
    <phoneticPr fontId="1" type="noConversion"/>
  </si>
  <si>
    <t>TNPP</t>
    <phoneticPr fontId="1" type="noConversion"/>
  </si>
  <si>
    <t>Soil Respiration</t>
    <phoneticPr fontId="1" type="noConversion"/>
  </si>
  <si>
    <t>NEP</t>
    <phoneticPr fontId="1" type="noConversion"/>
  </si>
  <si>
    <t>Net Ecosystem Productivity = TNPP-HR</t>
    <phoneticPr fontId="1" type="noConversion"/>
  </si>
  <si>
    <t>°C</t>
    <phoneticPr fontId="1" type="noConversion"/>
  </si>
  <si>
    <t>https://catalog.lib.kyushu-u.ac.jp/opac_detail_md/?lang=0&amp;amode=MD100000&amp;bibid=1913975</t>
  </si>
  <si>
    <r>
      <t xml:space="preserve">Kumemura et al. (2009), </t>
    </r>
    <r>
      <rPr>
        <sz val="10"/>
        <color rgb="FFFF0000"/>
        <rFont val="Times New Roman"/>
        <family val="1"/>
      </rPr>
      <t>Murakami et al. (2006)</t>
    </r>
  </si>
  <si>
    <t>non-available</t>
  </si>
  <si>
    <t>http://web.kyoto-inet.or.jp/people/j-bamboo/bj-27.html</t>
  </si>
  <si>
    <t>Kyoto Prefecture, Japan</t>
  </si>
  <si>
    <t>http://web.kyoto-inet.or.jp/people/j-bamboo/bj-5.html</t>
  </si>
  <si>
    <t>managed moso bamboo stands with selective cutting in the experimental forest of FFPRI Kansai, Kyoto city</t>
  </si>
  <si>
    <t>3 managed moso bamboo stands in the experimental forest of FFPRI Kansai, Kyoto city</t>
  </si>
  <si>
    <t>http://web.kyoto-inet.or.jp/people/j-bamboo/bj-3.html</t>
  </si>
  <si>
    <t>Sado and Yamada (2007)</t>
  </si>
  <si>
    <t>Yamaguchi Prefecture, Japan</t>
  </si>
  <si>
    <t>https://www.jstage.jst.go.jp/article/jila/68/5/68_5_689/_article/-char/ja</t>
  </si>
  <si>
    <t>https://www.jstage.jst.go.jp/article/jfsc/118/0/118_0_465/_article/-char/ja/</t>
  </si>
  <si>
    <t>Osaka Prefecture, Japan</t>
  </si>
  <si>
    <t>https://www.tandfonline.com/doi/full/10.1080/00380768.2014.942794,  https://www.jstage.jst.go.jp/article/jjfe/57/1/57_KJ00009983906/_pdf/-char/ja</t>
  </si>
  <si>
    <r>
      <t xml:space="preserve">unmanaged Phyllostachys pubescens </t>
    </r>
    <r>
      <rPr>
        <sz val="10"/>
        <color rgb="FFFF0000"/>
        <rFont val="Times New Roman"/>
        <family val="1"/>
      </rPr>
      <t>with Hachiku bamboo (Phyllostachys nigra var. henonis) stand, Tokuyama, Ibigawa cho</t>
    </r>
  </si>
  <si>
    <t>Goto et al. (2008)</t>
  </si>
  <si>
    <t>Fujii and Nakagawa (2010)</t>
  </si>
  <si>
    <t>Kawahara et al. (1987)</t>
  </si>
  <si>
    <t>Watanabe (1985)</t>
  </si>
  <si>
    <r>
      <t xml:space="preserve">unmanaged </t>
    </r>
    <r>
      <rPr>
        <sz val="10"/>
        <color rgb="FFFF0000"/>
        <rFont val="Times New Roman"/>
        <family val="1"/>
      </rPr>
      <t xml:space="preserve">Phyllostachys bambusoides stands and P. nigra var. henonis </t>
    </r>
    <r>
      <rPr>
        <sz val="10"/>
        <color theme="1"/>
        <rFont val="Times New Roman"/>
        <family val="1"/>
      </rPr>
      <t>stand in Obusa</t>
    </r>
    <r>
      <rPr>
        <sz val="10"/>
        <color rgb="FFFF0000"/>
        <rFont val="Times New Roman"/>
        <family val="1"/>
      </rPr>
      <t>, Gifu city</t>
    </r>
  </si>
  <si>
    <r>
      <t xml:space="preserve">managed </t>
    </r>
    <r>
      <rPr>
        <sz val="10"/>
        <color rgb="FFFF0000"/>
        <rFont val="Times New Roman"/>
        <family val="1"/>
      </rPr>
      <t>Phyllostachys bambusoides stands and P. nigra var. henonis</t>
    </r>
    <r>
      <rPr>
        <sz val="10"/>
        <color theme="1"/>
        <rFont val="Times New Roman"/>
        <family val="1"/>
      </rPr>
      <t xml:space="preserve"> in Obusa</t>
    </r>
    <r>
      <rPr>
        <sz val="10"/>
        <color rgb="FFFF0000"/>
        <rFont val="Times New Roman"/>
        <family val="1"/>
      </rPr>
      <t>, Gifu city</t>
    </r>
  </si>
  <si>
    <t xml:space="preserve">* Regarding to biomass/litterfall data by Umemura and Takenaka (2014), Umemura sensei told me row data.  </t>
  </si>
  <si>
    <t>* Regarding to litterfall data by Itou et al. (2017),  I now wait for Itou sennsei's reply.</t>
  </si>
  <si>
    <t>* Regarding to research period by Sado and Yamada. (2007),  I now wait for Sado sennsei's reply.</t>
  </si>
  <si>
    <t>5 unmanaged Moso bamboo (Phyllostachys pubescens) invading to forests in Takanmatsu city</t>
  </si>
  <si>
    <t>https://www.jstage.jst.go.jp/article/jjsk/58/0/58_KJ00006203544/_article/-char/ja/</t>
  </si>
  <si>
    <t>3 unmanaged Phyllostachys pubescens stands in Goryo, Kyoto city</t>
  </si>
  <si>
    <t>unmanaged Moso bamboo forests in Yanai, Yanai city</t>
  </si>
  <si>
    <t>unmanaged Moso bamboo forests in Shin-nanyo, Shunan city</t>
  </si>
  <si>
    <t>unmanaged Moso bamboo forests in Toyota, Shimonoseki city</t>
  </si>
  <si>
    <r>
      <t xml:space="preserve">2 unmanaged Moso bamboo (Phyllostachys pubescens) forest in </t>
    </r>
    <r>
      <rPr>
        <sz val="10"/>
        <color rgb="FFFF0000"/>
        <rFont val="Times New Roman"/>
        <family val="1"/>
      </rPr>
      <t>Aira cho</t>
    </r>
    <r>
      <rPr>
        <sz val="10"/>
        <color theme="1"/>
        <rFont val="Times New Roman"/>
        <family val="1"/>
      </rPr>
      <t xml:space="preserve"> (P3, P6) (5</t>
    </r>
  </si>
  <si>
    <r>
      <t xml:space="preserve">1 unmanaged Moso bamboo (Phyllostachys pubescens) forest in </t>
    </r>
    <r>
      <rPr>
        <sz val="10"/>
        <color rgb="FFFF0000"/>
        <rFont val="Times New Roman"/>
        <family val="1"/>
      </rPr>
      <t>Minami-kyusyu city</t>
    </r>
    <r>
      <rPr>
        <sz val="10"/>
        <color theme="1"/>
        <rFont val="Times New Roman"/>
        <family val="1"/>
      </rPr>
      <t xml:space="preserve"> (P4) (5</t>
    </r>
  </si>
  <si>
    <r>
      <t xml:space="preserve">3 unmanaged Moso bamboo (Phyllostachys pubescens) forests in </t>
    </r>
    <r>
      <rPr>
        <sz val="10"/>
        <color rgb="FFFF0000"/>
        <rFont val="Times New Roman"/>
        <family val="1"/>
      </rPr>
      <t>Sa</t>
    </r>
    <r>
      <rPr>
        <sz val="10"/>
        <color theme="1"/>
        <rFont val="Times New Roman"/>
        <family val="1"/>
      </rPr>
      <t xml:space="preserve">tsuma </t>
    </r>
    <r>
      <rPr>
        <sz val="10"/>
        <color rgb="FFFF0000"/>
        <rFont val="Times New Roman"/>
        <family val="1"/>
      </rPr>
      <t>cho</t>
    </r>
    <r>
      <rPr>
        <sz val="10"/>
        <color theme="1"/>
        <rFont val="Times New Roman"/>
        <family val="1"/>
      </rPr>
      <t xml:space="preserve"> (P1, P2, P5) (5</t>
    </r>
  </si>
  <si>
    <t>* Regarding to Kobayashi and Tada(2010), biomass/litterfall data was picked up from barplots using free software "image-J". Biomass data may include both of moso bamboo and trees due to bamboo-tree mixed stand.</t>
  </si>
  <si>
    <t>Kagawa Prefecture, Japan</t>
  </si>
  <si>
    <t>Kasuya Research forest, Fukuoka Prefecture, Japan</t>
  </si>
  <si>
    <r>
      <rPr>
        <sz val="10"/>
        <color rgb="FFFF0000"/>
        <rFont val="Times New Roman"/>
        <family val="1"/>
      </rPr>
      <t xml:space="preserve">managed </t>
    </r>
    <r>
      <rPr>
        <sz val="10"/>
        <color theme="1"/>
        <rFont val="Times New Roman"/>
        <family val="1"/>
      </rPr>
      <t>Phyllostachys pubescens forest (bamboo shoot harvested forest)</t>
    </r>
  </si>
  <si>
    <r>
      <rPr>
        <sz val="10"/>
        <color rgb="FFFF0000"/>
        <rFont val="Times New Roman"/>
        <family val="1"/>
      </rPr>
      <t>unmanaged</t>
    </r>
    <r>
      <rPr>
        <sz val="10"/>
        <color theme="1"/>
        <rFont val="Times New Roman"/>
        <family val="1"/>
      </rPr>
      <t xml:space="preserve"> Phyllostachys pubescens forest (control)</t>
    </r>
  </si>
  <si>
    <t>Fujii et al. (2005)</t>
  </si>
  <si>
    <t>note</t>
  </si>
  <si>
    <t>peer-reviewed</t>
    <phoneticPr fontId="1" type="noConversion"/>
  </si>
  <si>
    <t>X</t>
    <phoneticPr fontId="1" type="noConversion"/>
  </si>
  <si>
    <t>unmanaged Phyllostachys pubescens stand in Nakayama, Kyoto city</t>
    <phoneticPr fontId="1" type="noConversion"/>
  </si>
  <si>
    <t>JP-GFP-TY-UM</t>
    <phoneticPr fontId="1" type="noConversion"/>
  </si>
  <si>
    <t>JP-FOP-MKC-UM</t>
    <phoneticPr fontId="1" type="noConversion"/>
  </si>
  <si>
    <t>Note</t>
    <phoneticPr fontId="1" type="noConversion"/>
  </si>
  <si>
    <t>5 unmanaged Phyllostachys pubescens stands] in Matsuo, Kyoto city</t>
    <phoneticPr fontId="1" type="noConversion"/>
  </si>
  <si>
    <t>unmanaged Phyllostachys pubescens stand in the experimental forest of FFPRI Kansai, Kyoto city</t>
  </si>
  <si>
    <t>JP-KTP-MO-UM</t>
    <phoneticPr fontId="1" type="noConversion"/>
  </si>
  <si>
    <t>JP-KTP-GR-UM</t>
    <phoneticPr fontId="1" type="noConversion"/>
  </si>
  <si>
    <t>JP-KTP-NY-UM</t>
    <phoneticPr fontId="1" type="noConversion"/>
  </si>
  <si>
    <t>JP-KTP-UM91</t>
    <phoneticPr fontId="1" type="noConversion"/>
  </si>
  <si>
    <t>JP-KTP-M71</t>
    <phoneticPr fontId="1" type="noConversion"/>
  </si>
  <si>
    <t>JP-KTP-M89</t>
    <phoneticPr fontId="1" type="noConversion"/>
  </si>
  <si>
    <t>JP-KTP-CT89</t>
    <phoneticPr fontId="1" type="noConversion"/>
  </si>
  <si>
    <t>non-available</t>
    <phoneticPr fontId="1" type="noConversion"/>
  </si>
  <si>
    <t>Literature is in the Kyoto University Library.</t>
    <phoneticPr fontId="1" type="noConversion"/>
  </si>
  <si>
    <t>managed moso bamboo stands with clear cutting in the experimental forest of FFPRI Kansai, Kyoto city</t>
    <phoneticPr fontId="1" type="noConversion"/>
  </si>
  <si>
    <t>In this research, it indicated that unmanagement bamboo forest will produce hugest bamboo shoots at the beginning of growing shoots season (April)</t>
    <phoneticPr fontId="1" type="noConversion"/>
  </si>
  <si>
    <t>unmanaged moso bamboo stands (controls) in the experimental forest of FFPRI Kansai, Kyoto city</t>
    <phoneticPr fontId="1" type="noConversion"/>
  </si>
  <si>
    <t>unmanaged moso bamboo stands (original condition) in the experimental forest of FFPRI Kansai, Kyoto city</t>
    <phoneticPr fontId="1" type="noConversion"/>
  </si>
  <si>
    <t>JP-KTP-M89</t>
    <phoneticPr fontId="1" type="noConversion"/>
  </si>
  <si>
    <t>JP-KTP-UM84</t>
    <phoneticPr fontId="1" type="noConversion"/>
  </si>
  <si>
    <t>V</t>
    <phoneticPr fontId="1" type="noConversion"/>
  </si>
  <si>
    <t>V</t>
    <phoneticPr fontId="1" type="noConversion"/>
  </si>
  <si>
    <t>V</t>
    <phoneticPr fontId="1" type="noConversion"/>
  </si>
  <si>
    <t>V</t>
    <phoneticPr fontId="1" type="noConversion"/>
  </si>
  <si>
    <t>V</t>
    <phoneticPr fontId="1" type="noConversion"/>
  </si>
  <si>
    <t>It is the controls for trestment effect.</t>
    <phoneticPr fontId="1" type="noConversion"/>
  </si>
  <si>
    <t>We made an assumption that 40% select cutting as the same rate as cut biomass if the treatment is even.</t>
    <phoneticPr fontId="1" type="noConversion"/>
  </si>
  <si>
    <t xml:space="preserve">Literature is in the Kyoto University Library. The density and biomass is the condition at the end of whole experiments </t>
    <phoneticPr fontId="1" type="noConversion"/>
  </si>
  <si>
    <t>unmanaged Phyllostachys pubescens stand in Munakata city</t>
    <phoneticPr fontId="1" type="noConversion"/>
  </si>
  <si>
    <t>managed Phyllostachys pubescens stand in Tsubakibora, Gifu city</t>
  </si>
  <si>
    <t>unmanaged Phyllostachys pubescens stand in Tsubakibora, Gifu city</t>
  </si>
  <si>
    <r>
      <t>abandoned moso bamboo forests (Phyllostachys pubescens)</t>
    </r>
    <r>
      <rPr>
        <sz val="10"/>
        <color rgb="FFFF0000"/>
        <rFont val="Times New Roman"/>
        <family val="1"/>
      </rPr>
      <t xml:space="preserve"> in Matsue city, plot Ab</t>
    </r>
    <phoneticPr fontId="1" type="noConversion"/>
  </si>
  <si>
    <t>JP-SNP-MEC-Ab-UM</t>
    <phoneticPr fontId="1" type="noConversion"/>
  </si>
  <si>
    <t>Ikegami et al. (2014), Ikegami et al.(2015)</t>
  </si>
  <si>
    <t>Shimane Prefecture, Japan</t>
    <phoneticPr fontId="1" type="noConversion"/>
  </si>
  <si>
    <t>(10 If a peer-reviewed article did not mention the weather's information in Japan, we check the nearest weather station's data and input it the data sheet (www.data.jma.go.jp/gmd/risk/obsdl/index.php)</t>
    <phoneticPr fontId="1" type="noConversion"/>
  </si>
  <si>
    <t>They are precious data for Si cycle in bamboo forest. And we use theAb plot (Moso bamboo forest) to record the data. If the 2014 results are different from the 2015 results, the newest results will prevail. And furthermore, they used 2012's weather data from Japan Meteorological Agency, but the stady was between 2004 April and 2005 April. Hence we checked the data from the same website and replaced the records on the original jurnal article</t>
    <phoneticPr fontId="1" type="noConversion"/>
  </si>
  <si>
    <t>V</t>
    <phoneticPr fontId="1" type="noConversion"/>
  </si>
  <si>
    <t>N</t>
    <phoneticPr fontId="1" type="noConversion"/>
  </si>
  <si>
    <t>E</t>
    <phoneticPr fontId="1" type="noConversion"/>
  </si>
  <si>
    <t xml:space="preserve">It is a interisting research and maybe the first research team which used the image analysis of bamboo belowground investigation </t>
    <phoneticPr fontId="1" type="noConversion"/>
  </si>
  <si>
    <t>Zhang et al. (2005)</t>
    <phoneticPr fontId="1" type="noConversion"/>
  </si>
  <si>
    <t>cm</t>
    <phoneticPr fontId="1" type="noConversion"/>
  </si>
  <si>
    <t>JP-OSP-MTO-UM-abe08</t>
    <phoneticPr fontId="1" type="noConversion"/>
  </si>
  <si>
    <t>JP-OSP-MTO-UM-abe05</t>
    <phoneticPr fontId="1" type="noConversion"/>
  </si>
  <si>
    <t>JP-OSP-MTO-UM-abe06</t>
    <phoneticPr fontId="1" type="noConversion"/>
  </si>
  <si>
    <t>JP-OSP-MTO-UM-abe07</t>
    <phoneticPr fontId="1" type="noConversion"/>
  </si>
  <si>
    <t>unmanaged Phyllostachys pubescens Mazel ex Houzeau forest in Mt Tennou in 2005</t>
    <phoneticPr fontId="1" type="noConversion"/>
  </si>
  <si>
    <t>unmanaged Phyllostachys pubescens Mazel ex Houzeau forest in Mt Tennou in 2006</t>
    <phoneticPr fontId="1" type="noConversion"/>
  </si>
  <si>
    <t>unmanaged Phyllostachys pubescens Mazel ex Houzeau forest in Mt Tennou in 2007</t>
    <phoneticPr fontId="1" type="noConversion"/>
  </si>
  <si>
    <t>unmanaged Phyllostachys pubescens Mazel ex Houzeau forest in Mt Tennou in 2008</t>
    <phoneticPr fontId="1" type="noConversion"/>
  </si>
  <si>
    <t>This research is containning the time serise before and after selective cutting treatment, hence we separate the different time in differents data. Abd they used nagaoka kyo weather station's data.</t>
    <phoneticPr fontId="1" type="noConversion"/>
  </si>
  <si>
    <t>V</t>
    <phoneticPr fontId="1" type="noConversion"/>
  </si>
  <si>
    <r>
      <t xml:space="preserve">unmanaged Phyllostachys pubescens Mazel ex Houzeau forest </t>
    </r>
    <r>
      <rPr>
        <sz val="10"/>
        <color rgb="FFFF0000"/>
        <rFont val="Times New Roman"/>
        <family val="1"/>
      </rPr>
      <t>in Mt Tennou (pure bamboo forest)</t>
    </r>
    <phoneticPr fontId="1" type="noConversion"/>
  </si>
  <si>
    <t>JP-OSP-MTO-UMP-fs06</t>
    <phoneticPr fontId="1" type="noConversion"/>
  </si>
  <si>
    <t>X</t>
    <phoneticPr fontId="1" type="noConversion"/>
  </si>
  <si>
    <t>X</t>
    <phoneticPr fontId="1" type="noConversion"/>
  </si>
  <si>
    <t>Suzuki (1976)</t>
    <phoneticPr fontId="1" type="noConversion"/>
  </si>
  <si>
    <r>
      <t xml:space="preserve">I think this poster have a hardcore problem about why the age 1 and age 2 in </t>
    </r>
    <r>
      <rPr>
        <sz val="10"/>
        <color theme="1"/>
        <rFont val="細明體"/>
        <family val="3"/>
        <charset val="136"/>
      </rPr>
      <t>柳井</t>
    </r>
    <r>
      <rPr>
        <sz val="10"/>
        <color theme="1"/>
        <rFont val="Times New Roman"/>
        <family val="1"/>
      </rPr>
      <t xml:space="preserve"> are different but not singnificant different in </t>
    </r>
    <r>
      <rPr>
        <sz val="10"/>
        <color theme="1"/>
        <rFont val="細明體"/>
        <family val="3"/>
        <charset val="136"/>
      </rPr>
      <t xml:space="preserve">新南陽
</t>
    </r>
    <r>
      <rPr>
        <sz val="10"/>
        <color theme="1"/>
        <rFont val="Times New Roman"/>
        <family val="1"/>
      </rPr>
      <t xml:space="preserve">&amp; </t>
    </r>
    <r>
      <rPr>
        <sz val="10"/>
        <color theme="1"/>
        <rFont val="細明體"/>
        <family val="3"/>
        <charset val="136"/>
      </rPr>
      <t xml:space="preserve">豊田
</t>
    </r>
    <r>
      <rPr>
        <sz val="10"/>
        <color theme="1"/>
        <rFont val="Times New Roman"/>
        <family val="1"/>
      </rPr>
      <t xml:space="preserve">. </t>
    </r>
    <r>
      <rPr>
        <sz val="10"/>
        <color theme="1"/>
        <rFont val="細明體"/>
        <family val="3"/>
        <charset val="136"/>
      </rPr>
      <t xml:space="preserve">
</t>
    </r>
    <phoneticPr fontId="1" type="noConversion"/>
  </si>
  <si>
    <t>Validated</t>
    <phoneticPr fontId="1" type="noConversion"/>
  </si>
  <si>
    <t>V</t>
    <phoneticPr fontId="1" type="noConversion"/>
  </si>
  <si>
    <t>V</t>
    <phoneticPr fontId="1" type="noConversion"/>
  </si>
  <si>
    <t>V</t>
    <phoneticPr fontId="1" type="noConversion"/>
  </si>
  <si>
    <t>V</t>
    <phoneticPr fontId="1" type="noConversion"/>
  </si>
  <si>
    <t>V</t>
    <phoneticPr fontId="1" type="noConversion"/>
  </si>
  <si>
    <t>V</t>
    <phoneticPr fontId="1" type="noConversion"/>
  </si>
  <si>
    <t>X</t>
    <phoneticPr fontId="1" type="noConversion"/>
  </si>
  <si>
    <t>X</t>
    <phoneticPr fontId="1" type="noConversion"/>
  </si>
  <si>
    <t>And the discription is too simple and I perhaps need to ask a lot of question about this research. The paper need to write completely and to be peer-reviewed which will be better.</t>
    <phoneticPr fontId="1" type="noConversion"/>
  </si>
  <si>
    <t>* Red color shows newly added or modified part by Kobayashi, and then by Shitephen.</t>
    <phoneticPr fontId="1" type="noConversion"/>
  </si>
  <si>
    <t>* Blue color show the part you can add. Since I do not know how you collect climatic data, I left them blank. If you want to know the detailed site location, please let me know. Blue highlight in AGC show tha parts you can calculate/estimate using a kind of equation with BA.</t>
    <phoneticPr fontId="1" type="noConversion"/>
  </si>
  <si>
    <t>* These two data in below should be removed because of other species (Phyllostachys bambusoides stands and P. nigra var. henonis, not moso bamboo species), although Lin et al. (2017) included these data as moso bamboo stand data.</t>
    <phoneticPr fontId="1" type="noConversion"/>
  </si>
  <si>
    <r>
      <t xml:space="preserve">The article looks like a kind of </t>
    </r>
    <r>
      <rPr>
        <sz val="10"/>
        <color rgb="FFFF0000"/>
        <rFont val="細明體"/>
        <family val="3"/>
        <charset val="136"/>
      </rPr>
      <t>学術雑誌等又は商業誌における解説、総説</t>
    </r>
    <r>
      <rPr>
        <sz val="10"/>
        <color rgb="FFFF0000"/>
        <rFont val="Times New Roman"/>
        <family val="1"/>
      </rPr>
      <t>, perhaps need to wait the data published or directly cooperate with Kobayashi sensei and Tada sensei, then can be used the data as "unpublished data" and invite them as co-authers if they do not reject us</t>
    </r>
    <phoneticPr fontId="1" type="noConversion"/>
  </si>
  <si>
    <t>These data are a part of unpublished raw data, if pussible perhaps we could invited them as a part of co-authers if they do not reject us</t>
    <phoneticPr fontId="1" type="noConversion"/>
  </si>
  <si>
    <t>■</t>
    <phoneticPr fontId="1" type="noConversion"/>
  </si>
  <si>
    <t>Kobayashi and Tada (2010) -&gt; as a kind of unpublished data of Kobayashi and Tada (2020)</t>
    <phoneticPr fontId="1" type="noConversion"/>
  </si>
  <si>
    <t>V</t>
    <phoneticPr fontId="1" type="noConversion"/>
  </si>
  <si>
    <t>V</t>
    <phoneticPr fontId="1" type="noConversion"/>
  </si>
  <si>
    <t>Different species</t>
    <phoneticPr fontId="1" type="noConversion"/>
  </si>
  <si>
    <t>JP-KGP-TMC-UM</t>
    <phoneticPr fontId="1" type="noConversion"/>
  </si>
  <si>
    <t>Umemura sensei's data is really nessesary to our model</t>
    <phoneticPr fontId="1" type="noConversion"/>
  </si>
  <si>
    <t>JP-KGP-TMC-UMIF</t>
    <phoneticPr fontId="1" type="noConversion"/>
  </si>
  <si>
    <t>V</t>
    <phoneticPr fontId="1" type="noConversion"/>
  </si>
  <si>
    <t>https://www.jstage.jst.go.jp/article/jjsk/58/0/58_KJ00006203544/_article/-char/ja/</t>
    <phoneticPr fontId="1" type="noConversion"/>
  </si>
  <si>
    <t>unmanaged Moso bamboo (Phyllostachys pubescens) in Takanmatsu city</t>
    <phoneticPr fontId="1" type="noConversion"/>
  </si>
  <si>
    <t>* By Inoue et al.(2017) https://www.sciencedirect.com/science/article/pii/S0378112718304158#s0050, relationships between culm DBH and culm density of moso bamboo In Japan are summarized(n=414?). Frome these data, we can calculate AGC but it is so many…. It seems 24 study sites</t>
    <phoneticPr fontId="1" type="noConversion"/>
  </si>
  <si>
    <t>* Actually, I know some other researches in relation to biomass of moso bamboo in Japan, but I could not collect these because they have never been published not yet including me haha..</t>
    <phoneticPr fontId="1" type="noConversion"/>
  </si>
  <si>
    <t>* It is better to balance all different regions between Japan, China, Korea, and Taiwan</t>
    <phoneticPr fontId="1" type="noConversion"/>
  </si>
  <si>
    <t>V</t>
    <phoneticPr fontId="1" type="noConversion"/>
  </si>
  <si>
    <t>It is a precious data evenough it seems have not been peer-reviewed. But the auther discribed the process detailed enough compared with other peer-reviewed articles (Literature is in the Kyoto University Library)</t>
    <phoneticPr fontId="1" type="noConversion"/>
  </si>
  <si>
    <t>V</t>
    <phoneticPr fontId="1" type="noConversion"/>
  </si>
  <si>
    <t>unmanaged Moso bamboo forests in Kyoto Gakuen University, Sogabe-cho, Kameoka city</t>
    <phoneticPr fontId="1" type="noConversion"/>
  </si>
  <si>
    <t>JP-KTP-KOC-UM</t>
    <phoneticPr fontId="1" type="noConversion"/>
  </si>
  <si>
    <t>V</t>
    <phoneticPr fontId="1" type="noConversion"/>
  </si>
  <si>
    <t>unmanaged Moso bamboo (Phyllostachys pubescens) in Kanpachi, Toyota city</t>
    <phoneticPr fontId="1" type="noConversion"/>
  </si>
  <si>
    <t>unmanaged Moso bamboo (Phyllostachys pubescens) in Seto, Seto city (nearby nagoya)</t>
    <phoneticPr fontId="1" type="noConversion"/>
  </si>
  <si>
    <t>unmanaged Moso bamboo (Phyllostachys pubescens) in Noguchi, Toyota city</t>
    <phoneticPr fontId="1" type="noConversion"/>
  </si>
  <si>
    <r>
      <t xml:space="preserve">Umemura and Takenaka (2014); </t>
    </r>
    <r>
      <rPr>
        <sz val="10"/>
        <color rgb="FFFF0000"/>
        <rFont val="Times New Roman"/>
        <family val="1"/>
      </rPr>
      <t>Umemura and Takenaka unpublished data</t>
    </r>
    <phoneticPr fontId="1" type="noConversion"/>
  </si>
  <si>
    <r>
      <t xml:space="preserve">unmanaged </t>
    </r>
    <r>
      <rPr>
        <sz val="10"/>
        <color rgb="FFFF0000"/>
        <rFont val="Times New Roman"/>
        <family val="1"/>
      </rPr>
      <t>Moso bamboo forests (0.43ha) in Kouchi city</t>
    </r>
    <phoneticPr fontId="1" type="noConversion"/>
  </si>
  <si>
    <t>Kasuya Research forest, Fukuoka Prefecture, Japan</t>
    <phoneticPr fontId="1" type="noConversion"/>
  </si>
  <si>
    <t>I cannot find Murakami et al. (2006)</t>
    <phoneticPr fontId="1" type="noConversion"/>
  </si>
  <si>
    <t>Kagawa Prefecture, Japan</t>
    <phoneticPr fontId="1" type="noConversion"/>
  </si>
  <si>
    <r>
      <t>unmanaged Moso bamboo (Phyllostachys pubescens) with Hachiku bamboo (Phyllostachys nigra</t>
    </r>
    <r>
      <rPr>
        <sz val="10"/>
        <color rgb="FFFF0000"/>
        <rFont val="Times New Roman"/>
        <family val="1"/>
      </rPr>
      <t xml:space="preserve"> var. henonis</t>
    </r>
    <r>
      <rPr>
        <sz val="10"/>
        <color theme="1"/>
        <rFont val="Times New Roman"/>
        <family val="1"/>
      </rPr>
      <t xml:space="preserve">) </t>
    </r>
    <r>
      <rPr>
        <sz val="10"/>
        <color rgb="FFFF0000"/>
        <rFont val="Times New Roman"/>
        <family val="1"/>
      </rPr>
      <t>in Fujihashi mura</t>
    </r>
    <phoneticPr fontId="1" type="noConversion"/>
  </si>
  <si>
    <t>V</t>
    <phoneticPr fontId="1" type="noConversion"/>
  </si>
  <si>
    <t>V</t>
    <phoneticPr fontId="1" type="noConversion"/>
  </si>
  <si>
    <t>V</t>
    <phoneticPr fontId="1" type="noConversion"/>
  </si>
  <si>
    <t>V</t>
    <phoneticPr fontId="1" type="noConversion"/>
  </si>
  <si>
    <t>V</t>
    <phoneticPr fontId="1" type="noConversion"/>
  </si>
  <si>
    <t>If the journal article just have biomass, we will give it a carbon ratio of 50% following the instruction from IPCC (IPCC, 2006; IPCC 2019); and if environmental factor is not recoreded, we used the data recorded from weather stations</t>
    <phoneticPr fontId="1" type="noConversion"/>
  </si>
  <si>
    <t>Shi-Zhuo, Mountain Ali, Chiayi County</t>
    <phoneticPr fontId="1" type="noConversion"/>
  </si>
  <si>
    <r>
      <t>Huisun Experimental Forest Station</t>
    </r>
    <r>
      <rPr>
        <sz val="10"/>
        <color rgb="FFFF0000"/>
        <rFont val="Times New Roman"/>
        <family val="1"/>
      </rPr>
      <t>, Nantou County</t>
    </r>
    <phoneticPr fontId="1" type="noConversion"/>
  </si>
  <si>
    <r>
      <t>Huisun Experimental Forest Station</t>
    </r>
    <r>
      <rPr>
        <sz val="10"/>
        <color rgb="FFFF0000"/>
        <rFont val="Times New Roman"/>
        <family val="1"/>
      </rPr>
      <t>, Nantou County</t>
    </r>
    <phoneticPr fontId="1" type="noConversion"/>
  </si>
  <si>
    <t>Chen et al., (2016)</t>
    <phoneticPr fontId="1" type="noConversion"/>
  </si>
  <si>
    <t>Considering</t>
    <phoneticPr fontId="1" type="noConversion"/>
  </si>
  <si>
    <t>Separate Lin et al., 2017 (because they did the below ground production and add Chen et al., 2016 (abendonded treatment, Lu et al., 2003 (litter fall)</t>
    <phoneticPr fontId="1" type="noConversion"/>
  </si>
  <si>
    <t>Lu et al., (2003)</t>
    <phoneticPr fontId="1" type="noConversion"/>
  </si>
  <si>
    <t>Basal area (b.a.)</t>
  </si>
  <si>
    <t>m2ha-1</t>
  </si>
  <si>
    <t>AGC</t>
  </si>
  <si>
    <t>Mg C ha-1</t>
  </si>
  <si>
    <t>Country</t>
  </si>
  <si>
    <t>ID</t>
  </si>
  <si>
    <t>Fangdang, north part of Fujian province (nearby Wu Yi Mount)</t>
  </si>
  <si>
    <t>9 managed Moso bamboo (Phyllostachys pubescens) plots</t>
  </si>
  <si>
    <t>CN-FJP-FD-9P</t>
  </si>
  <si>
    <t>Ouning, north part of Fujian province (nearby Wu Yi Mount)</t>
  </si>
  <si>
    <t>CN-FJP-ON-9P</t>
  </si>
  <si>
    <t>Wuyishan Biosphere Reserv, Fujian</t>
  </si>
  <si>
    <t>unmanaged Phyllostachys heterocycla var. pubescens stand</t>
  </si>
  <si>
    <t>CN-FJP-WYS</t>
  </si>
  <si>
    <t>Xiaoqiao, north part of Fujian province (nearby Wu Yi Mount)</t>
  </si>
  <si>
    <t>CN-FJP-XQ-9P</t>
  </si>
  <si>
    <t>Phyllostachys pubescens stand, 13 years fertilization. Management: bamboo shoots dug out in march, grass cut once during Jun - Sept.</t>
  </si>
  <si>
    <t>CN-FJP-YAC-TNNR-13YF</t>
  </si>
  <si>
    <t>Pure phyllostachys edulis stand. Weeded once a year, fertilised every 2 yrs. Amount of fertilizers added = 0.25 kg per culm (N:P2O5:K2O=9:5:6)</t>
  </si>
  <si>
    <t>CN-FJP-YAC-TNNR-2YFEY</t>
  </si>
  <si>
    <t>Phyllostachys pubescens stand, 5 years fertilization. Management: bamboo shoots dug out in march, grass cut once during Jun - Sept.</t>
  </si>
  <si>
    <t>CN-FJP-YAC-TNNR-5YF</t>
  </si>
  <si>
    <t>Phyllostachys pubescens stand, no fertilization. Management: bamboo shoots dug out in march, grass cut once during Jun - Sept.</t>
  </si>
  <si>
    <t>CN-FJP-YAC-TNNR-NF</t>
  </si>
  <si>
    <t xml:space="preserve">Moso bamboo in managed stand with appling pesticides </t>
  </si>
  <si>
    <t>CN-HBP-CC-DFF-AP</t>
  </si>
  <si>
    <t>Moso bamboo in managed stand with hand-weeded</t>
  </si>
  <si>
    <t>CN-HBP-CC-DFF-HW</t>
  </si>
  <si>
    <t>Moso bamboo in unmanaged stand</t>
  </si>
  <si>
    <t>CN-HBP-CC-DMS</t>
  </si>
  <si>
    <t>Huitong County, Hunan province</t>
  </si>
  <si>
    <t>unmanaged before 1988</t>
  </si>
  <si>
    <t>CN-HNP-HTC</t>
  </si>
  <si>
    <t>Fengyi county, Jiangxi province</t>
  </si>
  <si>
    <t>Mount Dagangshan experimental area within Subtropical Forest Experimental Center, Chinese Academy of Forestry, Fengyi county, Jiangxi province (huge cold damaged)</t>
  </si>
  <si>
    <t>CN-JXP-FYC-MDASEA</t>
  </si>
  <si>
    <t>Middle subtropical of China</t>
  </si>
  <si>
    <t>18 Phyllostachys pubescens study sites for middle subtropical of China (MS)</t>
  </si>
  <si>
    <t>CN-MS-18P</t>
  </si>
  <si>
    <t>North subtropical of China</t>
  </si>
  <si>
    <t>4 Phyllostachys pubescens study sites for north subtropical of China (NS)</t>
  </si>
  <si>
    <t>CN-NS-4P</t>
  </si>
  <si>
    <t>Southenwest mountain subtropical of China</t>
  </si>
  <si>
    <t>2 Phyllostachys pubescens study sites for southenwest mountain subtropical of China (SM)</t>
  </si>
  <si>
    <t>CN-SM-2P</t>
  </si>
  <si>
    <t>South subtropical of China</t>
  </si>
  <si>
    <t>6 Phyllostachys pubescens study sites for south subtropical of China (SS)</t>
  </si>
  <si>
    <t>CN-SS-6P</t>
  </si>
  <si>
    <t>105 plots for Phyllostachys edulis forest</t>
  </si>
  <si>
    <t>CN-ZJP-AJC-105P</t>
  </si>
  <si>
    <t>28/73 plots for Moso bamboo (Phyllostachys pubescens)(extensive)</t>
  </si>
  <si>
    <t>CN-ZJP-AJC-EX</t>
  </si>
  <si>
    <t>26/73 plots for Moso bamboo (Phyllostachys pubescens) (intensive)</t>
  </si>
  <si>
    <t>CN-ZJP-AJC-IN</t>
  </si>
  <si>
    <t>19/73 plots for Moso bamboo (Phyllostachys pubescens) (moderate)</t>
  </si>
  <si>
    <t>CN-ZJP-AJC-MO</t>
  </si>
  <si>
    <t>Zhejiang province , Lin'an city, Banqiao village</t>
  </si>
  <si>
    <t>18 plots for Phyllostachys edulis stand.</t>
  </si>
  <si>
    <t>CN-ZJP-LAC-BV-18P</t>
  </si>
  <si>
    <t xml:space="preserve">Zhejiang province, Miaoshanwu Nature Reserve </t>
  </si>
  <si>
    <t>Moso bamboo in managed stand with high produciton</t>
  </si>
  <si>
    <t>CN-ZJP-MNR-HP</t>
  </si>
  <si>
    <t>Moso bamboo in managed stand with middle produciton</t>
  </si>
  <si>
    <t>CN-ZJP-MNR-MP</t>
  </si>
  <si>
    <t>JP-KTP-UM91</t>
  </si>
  <si>
    <t>JP-KTP-M71</t>
  </si>
  <si>
    <t>5 unmanaged Phyllostachys pubescens stands] in Matsuo, Kyoto city</t>
  </si>
  <si>
    <t>JP-KTP-MO-UM</t>
  </si>
  <si>
    <t>JP-KTP-GR-UM</t>
  </si>
  <si>
    <t>unmanaged Phyllostachys pubescens stand in Nakayama, Kyoto city</t>
  </si>
  <si>
    <t>JP-KTP-NY-UM</t>
  </si>
  <si>
    <t>managed moso bamboo stands with clear cutting in the experimental forest of FFPRI Kansai, Kyoto city</t>
  </si>
  <si>
    <t>JP-KTP-CT89</t>
  </si>
  <si>
    <t>JP-KTP-M89</t>
  </si>
  <si>
    <t>unmanaged moso bamboo stands (controls) in the experimental forest of FFPRI Kansai, Kyoto city</t>
  </si>
  <si>
    <t>unmanaged moso bamboo stands (original condition) in the experimental forest of FFPRI Kansai, Kyoto city</t>
  </si>
  <si>
    <t>JP-KTP-UM84</t>
  </si>
  <si>
    <t>Fukuoka Prefecture, Japan</t>
  </si>
  <si>
    <t>unmanaged Phyllostachys pubescens stand in Munakata city</t>
  </si>
  <si>
    <t>JP-FOP-MKC-UM</t>
  </si>
  <si>
    <t>Gifu Prefecture, Japan</t>
  </si>
  <si>
    <t>JP-GFP-TBK-M</t>
  </si>
  <si>
    <t>JP-GFP-TBK-UM</t>
  </si>
  <si>
    <t>unmanaged Phyllostachys pubescens with Hachiku bamboo (Phyllostachys nigra var. henonis) stand, Tokuyama, Ibigawa cho</t>
  </si>
  <si>
    <t>JP-GFP-TY-UM</t>
  </si>
  <si>
    <t>Shimane Prefecture, Japan</t>
  </si>
  <si>
    <t>abandoned moso bamboo forests (Phyllostachys pubescens) in Matsue city, plot Ab</t>
  </si>
  <si>
    <t>JP-SNP-MEC-Ab-UM</t>
  </si>
  <si>
    <t>unmanaged Moso bamboo (Phyllostachys pubescens) with Hachiku bamboo (Phyllostachys nigra var. henonis) in Fujihashi mura</t>
  </si>
  <si>
    <t>JP-GFP-FHM-UM</t>
  </si>
  <si>
    <t>unmanaged Phyllostachys pubescens Mazel ex Houzeau forest in Mt Tennou in 2005</t>
  </si>
  <si>
    <t>JP-OSP-MTO-UM-abe05</t>
  </si>
  <si>
    <t>unmanaged Phyllostachys pubescens Mazel ex Houzeau forest in Mt Tennou in 2006</t>
  </si>
  <si>
    <t>JP-OSP-MTO-UM-abe06</t>
  </si>
  <si>
    <t>unmanaged Phyllostachys pubescens Mazel ex Houzeau forest in Mt Tennou in 2007</t>
  </si>
  <si>
    <t>JP-OSP-MTO-UM-abe07</t>
  </si>
  <si>
    <t>unmanaged Phyllostachys pubescens Mazel ex Houzeau forest in Mt Tennou in 2008</t>
  </si>
  <si>
    <t>JP-OSP-MTO-UM-abe08</t>
  </si>
  <si>
    <t>unmanaged Phyllostachys pubescens Mazel ex Houzeau forest in Mt Tennou (pure bamboo forest)</t>
  </si>
  <si>
    <t>JP-OSP-MTO-UMP-fs06</t>
  </si>
  <si>
    <t>Aichi Prefecture, Japan</t>
  </si>
  <si>
    <t>unmanaged Moso bamboo (Phyllostachys pubescens) in Kanpachi, Toyota city</t>
  </si>
  <si>
    <t>JP-ACP-KPC-UM</t>
  </si>
  <si>
    <t>unmanaged Moso bamboo (Phyllostachys pubescens) in Seto, Seto city (nearby nagoya)</t>
  </si>
  <si>
    <t>JP-ACP-ST-UM</t>
  </si>
  <si>
    <t>unmanaged Moso bamboo (Phyllostachys pubescens) in Noguchi, Toyota city</t>
  </si>
  <si>
    <t>JP-ACP-NGC-UM</t>
  </si>
  <si>
    <t>unmanaged Moso bamboo (Phyllostachys pubescens) in Takanmatsu city</t>
  </si>
  <si>
    <t>JP-KGP-TMC-UM</t>
  </si>
  <si>
    <t>JP-KGP-TMC-UMIF</t>
  </si>
  <si>
    <t>2 unmanaged Moso bamboo (Phyllostachys pubescens) forest in Aira cho (P3, P6) (5</t>
  </si>
  <si>
    <t>JP-KGSMP-AIRC-UM</t>
  </si>
  <si>
    <t>1 unmanaged Moso bamboo (Phyllostachys pubescens) forest in Minami-kyusyu city (P4) (5</t>
  </si>
  <si>
    <t>JP-KGSMP-CRC-UM</t>
  </si>
  <si>
    <t>3 unmanaged Moso bamboo (Phyllostachys pubescens) forests in Satsuma cho (P1, P2, P5) (5</t>
  </si>
  <si>
    <t>JP-KGSMP-KTMC-UM</t>
  </si>
  <si>
    <t>unmanaged Moso bamboo forests in Kyoto Gakuen University, Sogabe-cho, Kameoka city</t>
  </si>
  <si>
    <t>JP-KTP-KOC-UM</t>
  </si>
  <si>
    <t>Kochi Prefecture, Japan</t>
  </si>
  <si>
    <t>unmanaged Moso bamboo forests (0.43ha) in Kouchi city</t>
  </si>
  <si>
    <t>JP-KCP-UM</t>
  </si>
  <si>
    <t>managed Phyllostachys pubescens forest (bamboo shoot harvested forest)</t>
  </si>
  <si>
    <t>JP-KRF</t>
  </si>
  <si>
    <t>unmanaged Phyllostachys pubescens forest (control)</t>
  </si>
  <si>
    <t>JP-KRF-UM</t>
  </si>
  <si>
    <t>Korea</t>
  </si>
  <si>
    <t>Jinyu</t>
  </si>
  <si>
    <t>managed</t>
  </si>
  <si>
    <t>KR-JU-M</t>
  </si>
  <si>
    <t>Jinyu, Korea Forest Research Institute</t>
  </si>
  <si>
    <t>unmanaged</t>
  </si>
  <si>
    <t>KR-JU-UM</t>
  </si>
  <si>
    <t>Suncheon</t>
  </si>
  <si>
    <t>KR-SC-UM</t>
  </si>
  <si>
    <t>Phyllostachys pubescens at the beginning (unmanaged)</t>
  </si>
  <si>
    <t>TW-CYC-MAL-SZ-UM</t>
  </si>
  <si>
    <t>Board leaves forest mix Phyllostachys pubescens forest (northeast aspect)</t>
  </si>
  <si>
    <t>TW-NTC-BLM</t>
  </si>
  <si>
    <t>Phyllostachys pubescens in control (northeast aspect)</t>
  </si>
  <si>
    <t>TW-NTC-FHMC-UM</t>
  </si>
  <si>
    <t>Phyllostachys pubescens in northwest aspect</t>
  </si>
  <si>
    <t>TW-NTC-FHMNW-UM</t>
  </si>
  <si>
    <t>Daan, (1,200-1,500m) high altitude area of central Taiwan, Nantou County</t>
  </si>
  <si>
    <t>TW-NTC-HA</t>
  </si>
  <si>
    <t>TW-NTC-HEFS-07-UM</t>
  </si>
  <si>
    <t>Phyllostachys pubescens controls after 2 years</t>
  </si>
  <si>
    <t>TW-NTC-HEFS-09-UM</t>
  </si>
  <si>
    <t>Huisun Experimental Forest Station, Nantou County</t>
  </si>
  <si>
    <t>Phyllostachys pubescens clear cutting after 2 years</t>
  </si>
  <si>
    <t>TW-NTC-HEFS-CT</t>
  </si>
  <si>
    <t>Phyllostachys pubescens selective cutting after 2 years</t>
  </si>
  <si>
    <t>TW-NTC-HEFS-SC</t>
  </si>
  <si>
    <t>Daan, (600-900m) lower altitude of central Taiwan, Nantou County</t>
  </si>
  <si>
    <t>TW-NTC-LA</t>
  </si>
  <si>
    <t>Daan, (900-1,200m) mid altitude area of central Taiwan, Nantou County</t>
  </si>
  <si>
    <t>TW-NTC-ML</t>
  </si>
  <si>
    <t>Phyllostachys pubescens managed with organic fertilisation (northeast aspect)</t>
  </si>
  <si>
    <t>TW-NTC-OF</t>
  </si>
  <si>
    <t>Phyllostachys pubescens managed with fertilising soybean chaff (northeast aspect)</t>
  </si>
  <si>
    <t>TW-NTC-SC</t>
  </si>
  <si>
    <t>unmanaged between 2012-2015 (managed before 2012)</t>
  </si>
  <si>
    <t>TW-NTC-STNEA</t>
  </si>
  <si>
    <t>Mean</t>
    <phoneticPr fontId="1" type="noConversion"/>
  </si>
  <si>
    <t>standard_dev</t>
    <phoneticPr fontId="1" type="noConversion"/>
  </si>
  <si>
    <t>STANDARDIZE(x, mean, standard_dev)</t>
  </si>
  <si>
    <t>STANDARDIZE 函數語法具有下列引數：</t>
  </si>
  <si>
    <t>X    必要。 這是要標準化的值。</t>
  </si>
  <si>
    <t>Mean    必要。 這是分配的算術平均值。</t>
  </si>
  <si>
    <t>Standard_dev    必要。 這是分配的標準差。</t>
  </si>
  <si>
    <t>AGC standardised</t>
    <phoneticPr fontId="1" type="noConversion"/>
  </si>
  <si>
    <t>BA standardised</t>
    <phoneticPr fontId="1" type="noConversion"/>
  </si>
  <si>
    <t>Con1</t>
    <phoneticPr fontId="1" type="noConversion"/>
  </si>
  <si>
    <t>Con2</t>
    <phoneticPr fontId="1" type="noConversion"/>
  </si>
  <si>
    <t>Con3</t>
    <phoneticPr fontId="1" type="noConversion"/>
  </si>
  <si>
    <t>Deleted</t>
    <phoneticPr fontId="1" type="noConversion"/>
  </si>
  <si>
    <t>estimated value</t>
    <phoneticPr fontId="1" type="noConversion"/>
  </si>
  <si>
    <t>Digging test</t>
    <phoneticPr fontId="1" type="noConversion"/>
  </si>
  <si>
    <t>estimating AGC</t>
    <phoneticPr fontId="1" type="noConversion"/>
  </si>
  <si>
    <t>estimating BA</t>
    <phoneticPr fontId="1" type="noConversion"/>
  </si>
  <si>
    <t>DBMERV=The difference between the model's estimated and real values.</t>
    <phoneticPr fontId="1" type="noConversion"/>
  </si>
  <si>
    <t>模型估計與實際值的差異百分比</t>
    <phoneticPr fontId="1" type="noConversion"/>
  </si>
  <si>
    <t>DBMERV BA inner stability</t>
    <phoneticPr fontId="1" type="noConversion"/>
  </si>
  <si>
    <t>DBMERV AGC inner stability</t>
    <phoneticPr fontId="1" type="noConversion"/>
  </si>
  <si>
    <t>This study (2020)</t>
    <phoneticPr fontId="1" type="noConversion"/>
  </si>
  <si>
    <t>JP-KTP-M2019</t>
  </si>
  <si>
    <t>JP-KTP-M2019</t>
    <phoneticPr fontId="1" type="noConversion"/>
  </si>
  <si>
    <t>Rough managed moso bamboo stands in the experimental forest of FFPRI Kansai, Kyoto city</t>
  </si>
  <si>
    <t>Rough managed moso bamboo stands in the experimental forest of FFPRI Kansai, Kyoto city</t>
    <phoneticPr fontId="1" type="noConversion"/>
  </si>
  <si>
    <t>X</t>
    <phoneticPr fontId="1" type="noConversion"/>
  </si>
  <si>
    <t>V</t>
    <phoneticPr fontId="1" type="noConversion"/>
  </si>
  <si>
    <t>V</t>
    <phoneticPr fontId="1" type="noConversion"/>
  </si>
  <si>
    <t>https://advances.sciencemag.org/content/6/12/eaaw5790</t>
    <phoneticPr fontId="1" type="noConversion"/>
  </si>
  <si>
    <t>Song et al. (2020)</t>
    <phoneticPr fontId="1" type="noConversion"/>
  </si>
  <si>
    <t xml:space="preserve">Zhejiang province, Miaoshanwu Nature Reserve </t>
    <phoneticPr fontId="1" type="noConversion"/>
  </si>
  <si>
    <t>3 plots for Moso bamboo control</t>
    <phoneticPr fontId="1" type="noConversion"/>
  </si>
  <si>
    <t>3 plots for Moso bamboo low N treatment</t>
    <phoneticPr fontId="1" type="noConversion"/>
  </si>
  <si>
    <t>3 plots for Moso bamboo midle N treatment</t>
    <phoneticPr fontId="1" type="noConversion"/>
  </si>
  <si>
    <t>3 plots for Moso bamboo high N treatment</t>
    <phoneticPr fontId="1" type="noConversion"/>
  </si>
  <si>
    <t>Song et al. (2021)</t>
  </si>
  <si>
    <t>https://advances.sciencemag.org/content/6/12/eaaw5791</t>
  </si>
  <si>
    <t>Song et al. (2022)</t>
  </si>
  <si>
    <t>https://advances.sciencemag.org/content/6/12/eaaw5792</t>
  </si>
  <si>
    <t>Song et al. (2023)</t>
  </si>
  <si>
    <t>https://advances.sciencemag.org/content/6/12/eaaw5793</t>
  </si>
  <si>
    <t>CN-ZJP-LAC-QST-CON</t>
    <phoneticPr fontId="1" type="noConversion"/>
  </si>
  <si>
    <t>Zhejiang province, Lin'an City, Qingshan Town</t>
    <phoneticPr fontId="1" type="noConversion"/>
  </si>
  <si>
    <t>CN-ZJP-LAC-QST-LN</t>
    <phoneticPr fontId="1" type="noConversion"/>
  </si>
  <si>
    <t>CN-ZJP-LAC-QST-MN</t>
    <phoneticPr fontId="1" type="noConversion"/>
  </si>
  <si>
    <t>CN-ZJP-LAC-QST-HN</t>
    <phoneticPr fontId="1" type="noConversion"/>
  </si>
  <si>
    <t>V</t>
    <phoneticPr fontId="1" type="noConversion"/>
  </si>
  <si>
    <t>https://www.researchgate.net/publication/306133854_The_trend_of_growth_characteristics_of_moso_bamboo_Phyllostachys_pubescens_forests_under_an_unmanaged_condition_in_central_Taiwan</t>
    <phoneticPr fontId="1" type="noConversion"/>
  </si>
  <si>
    <t>Chen et al., 2016</t>
    <phoneticPr fontId="1" type="noConversion"/>
  </si>
  <si>
    <t>Sanjiaolun, Nantou County, central Taiwan</t>
    <phoneticPr fontId="1" type="noConversion"/>
  </si>
  <si>
    <t>TW-NTC-SJL-M</t>
    <phoneticPr fontId="1" type="noConversion"/>
  </si>
  <si>
    <t>TW-NTC-SJL-UM</t>
    <phoneticPr fontId="1" type="noConversion"/>
  </si>
  <si>
    <t>Phyllostachys pubescens unmanaged between 2008-2014 (managed before 2008). The moso bamboo forest of the study site was planted 30 yr ago.</t>
    <phoneticPr fontId="1" type="noConversion"/>
  </si>
  <si>
    <t>Phyllostachys pubescens managed before 2008. The moso bamboo forest of the study site was planted 30 yr ago.</t>
    <phoneticPr fontId="1" type="noConversion"/>
  </si>
  <si>
    <t>Phyllostachys pubescens unmanaged between 2012-2015 (managed before 2012)</t>
    <phoneticPr fontId="1" type="noConversion"/>
  </si>
  <si>
    <t>Phyllostachys pubescens managed before 2012</t>
    <phoneticPr fontId="1" type="noConversion"/>
  </si>
  <si>
    <t>TW-NTC-STNEA-UM</t>
    <phoneticPr fontId="1" type="noConversion"/>
  </si>
  <si>
    <t>TW-NTC-STNEA-M</t>
    <phoneticPr fontId="1" type="noConversion"/>
  </si>
  <si>
    <t>Wang et al. (2009); This study</t>
    <phoneticPr fontId="1" type="noConversion"/>
  </si>
  <si>
    <t>V</t>
  </si>
  <si>
    <t>This study</t>
    <phoneticPr fontId="1" type="noConversion"/>
  </si>
  <si>
    <t>X</t>
    <phoneticPr fontId="1" type="noConversion"/>
  </si>
  <si>
    <r>
      <t>Available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(soil)</t>
    </r>
    <phoneticPr fontId="1" type="noConversion"/>
  </si>
  <si>
    <t>Total P (soil)</t>
    <phoneticPr fontId="1" type="noConversion"/>
  </si>
  <si>
    <t>Total K (soil)</t>
    <phoneticPr fontId="1" type="noConversion"/>
  </si>
  <si>
    <t>Sand</t>
    <phoneticPr fontId="1" type="noConversion"/>
  </si>
  <si>
    <t>(%)</t>
    <phoneticPr fontId="1" type="noConversion"/>
  </si>
  <si>
    <t>Silt</t>
    <phoneticPr fontId="1" type="noConversion"/>
  </si>
  <si>
    <t>Clay</t>
    <phoneticPr fontId="1" type="noConversion"/>
  </si>
  <si>
    <t>Soil C (0-10cm)</t>
    <phoneticPr fontId="1" type="noConversion"/>
  </si>
  <si>
    <t>Shi-Zhuo, Mountain Ali</t>
    <phoneticPr fontId="1" type="noConversion"/>
  </si>
  <si>
    <t>Huisun Experimental Forest Station</t>
    <phoneticPr fontId="1" type="noConversion"/>
  </si>
  <si>
    <t>JP-KTP-UM89</t>
    <phoneticPr fontId="1" type="noConversion"/>
  </si>
  <si>
    <t>（as the same as MAPE）</t>
    <phoneticPr fontId="1" type="noConversion"/>
  </si>
  <si>
    <t>Heterotrophic Respiration</t>
    <phoneticPr fontId="1" type="noConversion"/>
  </si>
  <si>
    <r>
      <t>g kg</t>
    </r>
    <r>
      <rPr>
        <vertAlign val="superscript"/>
        <sz val="10"/>
        <color theme="1"/>
        <rFont val="Times New Roman"/>
        <family val="1"/>
      </rPr>
      <t>-1</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</si>
</sst>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Red]\(0.00\)"/>
    <numFmt numFmtId="165" formatCode="0_);[Red]\(0\)"/>
  </numFmts>
  <fonts count="16">
    <font>
      <sz val="12"/>
      <color theme="1"/>
      <name val="Calibri"/>
      <family val="2"/>
      <charset val="136"/>
      <scheme val="minor"/>
    </font>
    <font>
      <sz val="9"/>
      <name val="Calibri"/>
      <family val="2"/>
      <charset val="136"/>
      <scheme val="minor"/>
    </font>
    <font>
      <sz val="10"/>
      <color theme="1"/>
      <name val="Times New Roman"/>
      <family val="1"/>
    </font>
    <font>
      <u/>
      <sz val="12"/>
      <color theme="10"/>
      <name val="Calibri"/>
      <family val="2"/>
      <charset val="136"/>
      <scheme val="minor"/>
    </font>
    <font>
      <vertAlign val="superscript"/>
      <sz val="10"/>
      <color theme="1"/>
      <name val="Times New Roman"/>
      <family val="1"/>
    </font>
    <font>
      <sz val="12"/>
      <color theme="1"/>
      <name val="Times New Roman"/>
      <family val="1"/>
    </font>
    <font>
      <vertAlign val="subscript"/>
      <sz val="10"/>
      <color theme="1"/>
      <name val="Times New Roman"/>
      <family val="1"/>
    </font>
    <font>
      <b/>
      <sz val="10"/>
      <color theme="1"/>
      <name val="Times New Roman"/>
      <family val="1"/>
    </font>
    <font>
      <sz val="10"/>
      <color rgb="FFFF0000"/>
      <name val="Times New Roman"/>
      <family val="1"/>
    </font>
    <font>
      <sz val="12"/>
      <color rgb="FFFF0000"/>
      <name val="Calibri"/>
      <family val="2"/>
      <charset val="136"/>
      <scheme val="minor"/>
    </font>
    <font>
      <u/>
      <sz val="10"/>
      <color theme="10"/>
      <name val="Times New Roman"/>
      <family val="1"/>
    </font>
    <font>
      <u/>
      <sz val="10"/>
      <color theme="1"/>
      <name val="Times New Roman"/>
      <family val="1"/>
    </font>
    <font>
      <u/>
      <sz val="10"/>
      <color rgb="FFFF0000"/>
      <name val="Times New Roman"/>
      <family val="1"/>
    </font>
    <font>
      <sz val="10"/>
      <color rgb="FFFF0000"/>
      <name val="細明體"/>
      <family val="3"/>
      <charset val="136"/>
    </font>
    <font>
      <sz val="10"/>
      <color theme="1"/>
      <name val="細明體"/>
      <family val="3"/>
      <charset val="136"/>
    </font>
    <font>
      <sz val="10"/>
      <color rgb="FFFF0000"/>
      <name val="新細明體"/>
      <family val="1"/>
      <charset val="136"/>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7"/>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79">
    <xf numFmtId="0" fontId="0" fillId="0" borderId="0" xfId="0">
      <alignment vertical="center"/>
    </xf>
    <xf numFmtId="0" fontId="2" fillId="0" borderId="0" xfId="0" applyFont="1">
      <alignment vertical="center"/>
    </xf>
    <xf numFmtId="0" fontId="2" fillId="0" borderId="1" xfId="0" applyFont="1" applyBorder="1">
      <alignment vertical="center"/>
    </xf>
    <xf numFmtId="164" fontId="2" fillId="0" borderId="1" xfId="0" applyNumberFormat="1" applyFont="1" applyBorder="1">
      <alignment vertical="center"/>
    </xf>
    <xf numFmtId="164" fontId="2" fillId="2" borderId="1" xfId="0" applyNumberFormat="1" applyFont="1" applyFill="1" applyBorder="1">
      <alignment vertical="center"/>
    </xf>
    <xf numFmtId="164" fontId="2" fillId="0" borderId="0" xfId="0" applyNumberFormat="1" applyFont="1">
      <alignment vertical="center"/>
    </xf>
    <xf numFmtId="0" fontId="2" fillId="0" borderId="1" xfId="0" applyFont="1" applyFill="1" applyBorder="1">
      <alignment vertical="center"/>
    </xf>
    <xf numFmtId="0" fontId="0" fillId="0" borderId="1" xfId="0" applyBorder="1">
      <alignment vertical="center"/>
    </xf>
    <xf numFmtId="0" fontId="3" fillId="0" borderId="1" xfId="1" applyBorder="1">
      <alignment vertical="center"/>
    </xf>
    <xf numFmtId="0" fontId="5" fillId="0" borderId="0" xfId="0" applyFont="1" applyAlignment="1">
      <alignment horizontal="center" vertical="center"/>
    </xf>
    <xf numFmtId="0" fontId="2" fillId="0" borderId="1" xfId="0" applyFont="1" applyFill="1" applyBorder="1" applyAlignment="1">
      <alignment horizontal="center" vertical="center"/>
    </xf>
    <xf numFmtId="0" fontId="5" fillId="0" borderId="1" xfId="0" applyFont="1" applyBorder="1" applyAlignment="1">
      <alignment horizontal="center" vertical="center"/>
    </xf>
    <xf numFmtId="164" fontId="2" fillId="0" borderId="1" xfId="0" applyNumberFormat="1" applyFont="1" applyFill="1" applyBorder="1">
      <alignment vertical="center"/>
    </xf>
    <xf numFmtId="164" fontId="2" fillId="0" borderId="0" xfId="0" applyNumberFormat="1" applyFont="1" applyFill="1">
      <alignment vertical="center"/>
    </xf>
    <xf numFmtId="0" fontId="2" fillId="0" borderId="1" xfId="0" applyFont="1" applyBorder="1" applyAlignment="1">
      <alignment vertical="center" wrapText="1"/>
    </xf>
    <xf numFmtId="164" fontId="2" fillId="3" borderId="1" xfId="0" applyNumberFormat="1" applyFont="1" applyFill="1" applyBorder="1">
      <alignment vertical="center"/>
    </xf>
    <xf numFmtId="0" fontId="2" fillId="2" borderId="1" xfId="0" applyFont="1" applyFill="1" applyBorder="1">
      <alignment vertical="center"/>
    </xf>
    <xf numFmtId="165" fontId="2" fillId="0" borderId="1" xfId="0" applyNumberFormat="1" applyFont="1" applyBorder="1">
      <alignment vertical="center"/>
    </xf>
    <xf numFmtId="0" fontId="0" fillId="0" borderId="1" xfId="0" applyFill="1" applyBorder="1">
      <alignment vertical="center"/>
    </xf>
    <xf numFmtId="0" fontId="2" fillId="2" borderId="0" xfId="0" applyFont="1" applyFill="1">
      <alignment vertical="center"/>
    </xf>
    <xf numFmtId="0" fontId="2" fillId="4" borderId="0" xfId="0" applyFont="1" applyFill="1">
      <alignment vertical="center"/>
    </xf>
    <xf numFmtId="0" fontId="3" fillId="0" borderId="1" xfId="1" applyFill="1" applyBorder="1">
      <alignment vertical="center"/>
    </xf>
    <xf numFmtId="0" fontId="0" fillId="0" borderId="0" xfId="0" applyFill="1">
      <alignment vertical="center"/>
    </xf>
    <xf numFmtId="165" fontId="2" fillId="0" borderId="1" xfId="0" applyNumberFormat="1" applyFont="1" applyFill="1" applyBorder="1" applyAlignment="1">
      <alignment horizontal="right" vertical="center"/>
    </xf>
    <xf numFmtId="10" fontId="2" fillId="0" borderId="0" xfId="0" applyNumberFormat="1" applyFont="1" applyBorder="1">
      <alignment vertical="center"/>
    </xf>
    <xf numFmtId="10" fontId="2" fillId="0" borderId="0" xfId="0" applyNumberFormat="1" applyFont="1" applyBorder="1" applyAlignment="1">
      <alignment vertical="center" wrapText="1"/>
    </xf>
    <xf numFmtId="10" fontId="0" fillId="0" borderId="0" xfId="0" applyNumberFormat="1" applyBorder="1">
      <alignment vertical="center"/>
    </xf>
    <xf numFmtId="10" fontId="3" fillId="0" borderId="0" xfId="1" applyNumberFormat="1" applyBorder="1">
      <alignment vertical="center"/>
    </xf>
    <xf numFmtId="10" fontId="5" fillId="0" borderId="0" xfId="0" applyNumberFormat="1" applyFont="1" applyBorder="1" applyAlignment="1">
      <alignment horizontal="center" vertical="center"/>
    </xf>
    <xf numFmtId="10" fontId="0" fillId="0" borderId="0" xfId="0" applyNumberFormat="1">
      <alignment vertical="center"/>
    </xf>
    <xf numFmtId="10" fontId="2" fillId="0" borderId="0" xfId="0" applyNumberFormat="1" applyFont="1">
      <alignment vertical="center"/>
    </xf>
    <xf numFmtId="10" fontId="2" fillId="2" borderId="0" xfId="0" applyNumberFormat="1" applyFont="1" applyFill="1">
      <alignment vertical="center"/>
    </xf>
    <xf numFmtId="10" fontId="2" fillId="5" borderId="0" xfId="0" applyNumberFormat="1" applyFont="1" applyFill="1">
      <alignment vertical="center"/>
    </xf>
    <xf numFmtId="164" fontId="2" fillId="0" borderId="0" xfId="0" applyNumberFormat="1" applyFont="1" applyFill="1" applyBorder="1">
      <alignment vertical="center"/>
    </xf>
    <xf numFmtId="164" fontId="2" fillId="2" borderId="0" xfId="0" applyNumberFormat="1" applyFont="1" applyFill="1" applyBorder="1">
      <alignment vertical="center"/>
    </xf>
    <xf numFmtId="0" fontId="8" fillId="0" borderId="1" xfId="0" applyFont="1" applyFill="1" applyBorder="1">
      <alignment vertical="center"/>
    </xf>
    <xf numFmtId="0" fontId="8" fillId="0" borderId="1" xfId="0" applyFont="1" applyBorder="1">
      <alignment vertical="center"/>
    </xf>
    <xf numFmtId="164" fontId="8" fillId="0" borderId="1" xfId="0" applyNumberFormat="1" applyFont="1" applyFill="1" applyBorder="1">
      <alignment vertical="center"/>
    </xf>
    <xf numFmtId="164" fontId="8" fillId="0" borderId="1" xfId="0" applyNumberFormat="1" applyFont="1" applyBorder="1">
      <alignment vertical="center"/>
    </xf>
    <xf numFmtId="164" fontId="8" fillId="2" borderId="1" xfId="0" applyNumberFormat="1" applyFont="1" applyFill="1" applyBorder="1">
      <alignment vertical="center"/>
    </xf>
    <xf numFmtId="165" fontId="8" fillId="0" borderId="1" xfId="0" applyNumberFormat="1" applyFont="1" applyFill="1" applyBorder="1" applyAlignment="1">
      <alignment horizontal="right" vertical="center"/>
    </xf>
    <xf numFmtId="0" fontId="9" fillId="0" borderId="0" xfId="0" applyFont="1">
      <alignment vertical="center"/>
    </xf>
    <xf numFmtId="0" fontId="2" fillId="0" borderId="0" xfId="0" applyFont="1" applyBorder="1">
      <alignment vertical="center"/>
    </xf>
    <xf numFmtId="164" fontId="2" fillId="0" borderId="0" xfId="0" applyNumberFormat="1" applyFont="1" applyBorder="1">
      <alignment vertical="center"/>
    </xf>
    <xf numFmtId="0" fontId="9" fillId="0" borderId="1" xfId="0" applyFont="1" applyFill="1" applyBorder="1">
      <alignment vertical="center"/>
    </xf>
    <xf numFmtId="0" fontId="9" fillId="0" borderId="0" xfId="0" applyFont="1" applyFill="1">
      <alignment vertical="center"/>
    </xf>
    <xf numFmtId="0" fontId="10" fillId="0" borderId="1" xfId="1" applyFont="1" applyBorder="1">
      <alignment vertical="center"/>
    </xf>
    <xf numFmtId="0" fontId="2" fillId="0" borderId="1" xfId="0" applyFont="1" applyBorder="1" applyAlignment="1">
      <alignment horizontal="center" vertical="center"/>
    </xf>
    <xf numFmtId="0" fontId="0" fillId="0" borderId="1" xfId="0" applyFont="1" applyBorder="1">
      <alignment vertical="center"/>
    </xf>
    <xf numFmtId="0" fontId="0" fillId="0" borderId="0" xfId="0" applyFont="1">
      <alignment vertical="center"/>
    </xf>
    <xf numFmtId="0" fontId="5" fillId="0" borderId="0" xfId="0" applyFont="1">
      <alignment vertical="center"/>
    </xf>
    <xf numFmtId="0" fontId="2" fillId="0" borderId="0" xfId="0" applyFont="1" applyBorder="1" applyAlignment="1">
      <alignment horizontal="center" vertical="center"/>
    </xf>
    <xf numFmtId="0" fontId="2" fillId="0" borderId="2" xfId="0" applyFont="1" applyFill="1" applyBorder="1" applyAlignment="1">
      <alignment horizontal="center" vertical="center"/>
    </xf>
    <xf numFmtId="0" fontId="11" fillId="0" borderId="1" xfId="1" applyFont="1" applyBorder="1">
      <alignment vertical="center"/>
    </xf>
    <xf numFmtId="0" fontId="10" fillId="0" borderId="1" xfId="1" applyFont="1" applyFill="1" applyBorder="1">
      <alignment vertical="center"/>
    </xf>
    <xf numFmtId="0" fontId="12" fillId="0" borderId="1" xfId="1" applyFont="1" applyFill="1" applyBorder="1">
      <alignment vertical="center"/>
    </xf>
    <xf numFmtId="0" fontId="8" fillId="0" borderId="1" xfId="0" applyFont="1" applyFill="1" applyBorder="1" applyAlignment="1">
      <alignment horizontal="center" vertical="center"/>
    </xf>
    <xf numFmtId="0" fontId="8" fillId="0" borderId="1" xfId="0" applyFont="1" applyBorder="1" applyAlignment="1">
      <alignment horizontal="center" vertical="center"/>
    </xf>
    <xf numFmtId="0" fontId="0" fillId="2" borderId="1" xfId="0" applyFont="1" applyFill="1" applyBorder="1">
      <alignment vertical="center"/>
    </xf>
    <xf numFmtId="0" fontId="2" fillId="0" borderId="2" xfId="0" applyFont="1" applyFill="1" applyBorder="1">
      <alignment vertical="center"/>
    </xf>
    <xf numFmtId="0" fontId="12" fillId="0" borderId="1" xfId="1" applyFont="1" applyBorder="1">
      <alignment vertical="center"/>
    </xf>
    <xf numFmtId="165" fontId="8" fillId="0" borderId="1" xfId="0" applyNumberFormat="1" applyFont="1" applyBorder="1">
      <alignment vertical="center"/>
    </xf>
    <xf numFmtId="0" fontId="8" fillId="0" borderId="0" xfId="0" applyFont="1">
      <alignment vertical="center"/>
    </xf>
    <xf numFmtId="0" fontId="2" fillId="0" borderId="1" xfId="0" applyFont="1" applyBorder="1" applyAlignment="1">
      <alignment vertical="center"/>
    </xf>
    <xf numFmtId="0" fontId="15" fillId="0" borderId="1" xfId="0" applyFont="1" applyFill="1" applyBorder="1" applyAlignment="1">
      <alignment horizontal="center" vertical="center"/>
    </xf>
    <xf numFmtId="0" fontId="2" fillId="0" borderId="0" xfId="0" applyFont="1" applyFill="1" applyBorder="1">
      <alignment vertical="center"/>
    </xf>
    <xf numFmtId="164" fontId="2" fillId="2" borderId="1" xfId="0" applyNumberFormat="1" applyFont="1" applyFill="1" applyBorder="1" applyAlignment="1">
      <alignment horizontal="right" vertical="center"/>
    </xf>
    <xf numFmtId="0" fontId="2" fillId="0" borderId="0" xfId="0" applyFont="1" applyBorder="1" applyAlignment="1">
      <alignment vertical="center" wrapText="1"/>
    </xf>
    <xf numFmtId="0" fontId="0" fillId="0" borderId="0" xfId="0" applyBorder="1">
      <alignment vertical="center"/>
    </xf>
    <xf numFmtId="0" fontId="3" fillId="0" borderId="0" xfId="1" applyBorder="1">
      <alignment vertical="center"/>
    </xf>
    <xf numFmtId="0" fontId="5" fillId="0" borderId="0" xfId="0" applyFont="1" applyBorder="1" applyAlignment="1">
      <alignment horizontal="center" vertical="center"/>
    </xf>
    <xf numFmtId="0" fontId="8" fillId="0" borderId="1" xfId="0" applyFont="1" applyBorder="1" applyAlignment="1">
      <alignment vertical="center" wrapText="1"/>
    </xf>
    <xf numFmtId="0" fontId="8" fillId="0" borderId="0" xfId="0" applyFont="1" applyBorder="1">
      <alignment vertical="center"/>
    </xf>
    <xf numFmtId="164" fontId="2" fillId="4" borderId="1" xfId="0" applyNumberFormat="1" applyFont="1" applyFill="1" applyBorder="1">
      <alignment vertical="center"/>
    </xf>
    <xf numFmtId="164" fontId="8" fillId="4" borderId="1" xfId="0" applyNumberFormat="1" applyFont="1" applyFill="1" applyBorder="1">
      <alignment vertical="center"/>
    </xf>
    <xf numFmtId="0" fontId="0" fillId="6" borderId="0" xfId="0" applyFill="1">
      <alignment vertical="center"/>
    </xf>
    <xf numFmtId="165" fontId="2" fillId="0" borderId="1" xfId="0" applyNumberFormat="1" applyFont="1" applyFill="1" applyBorder="1">
      <alignment vertical="center"/>
    </xf>
    <xf numFmtId="0" fontId="5" fillId="0" borderId="1" xfId="0" applyFont="1" applyFill="1" applyBorder="1" applyAlignment="1">
      <alignment horizontal="center" vertical="center"/>
    </xf>
    <xf numFmtId="164" fontId="8" fillId="2" borderId="0" xfId="0" applyNumberFormat="1" applyFont="1" applyFill="1" applyBorder="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BA_AGB!$F$1</c:f>
              <c:strCache>
                <c:ptCount val="1"/>
                <c:pt idx="0">
                  <c:v>AGC</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1075218722659672"/>
                  <c:y val="-1.43055555555555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BA_AGB!$E$3:$E$76</c:f>
              <c:numCache>
                <c:formatCode>General</c:formatCode>
                <c:ptCount val="74"/>
                <c:pt idx="4">
                  <c:v>29.028353818281531</c:v>
                </c:pt>
                <c:pt idx="5">
                  <c:v>28.775114943214181</c:v>
                </c:pt>
                <c:pt idx="6">
                  <c:v>32.044207367504043</c:v>
                </c:pt>
                <c:pt idx="7">
                  <c:v>20.648117715718918</c:v>
                </c:pt>
                <c:pt idx="12">
                  <c:v>21.264655273985909</c:v>
                </c:pt>
                <c:pt idx="17">
                  <c:v>28.151358986776938</c:v>
                </c:pt>
                <c:pt idx="18">
                  <c:v>20.305945253512977</c:v>
                </c:pt>
                <c:pt idx="19">
                  <c:v>26.433530194037907</c:v>
                </c:pt>
                <c:pt idx="20">
                  <c:v>21.848080052984994</c:v>
                </c:pt>
                <c:pt idx="21">
                  <c:v>21.805031242491747</c:v>
                </c:pt>
                <c:pt idx="24">
                  <c:v>71.204118953796325</c:v>
                </c:pt>
                <c:pt idx="25">
                  <c:v>38.442668646540483</c:v>
                </c:pt>
                <c:pt idx="26">
                  <c:v>66.08</c:v>
                </c:pt>
                <c:pt idx="27">
                  <c:v>60.666666666666664</c:v>
                </c:pt>
                <c:pt idx="28">
                  <c:v>57.6</c:v>
                </c:pt>
                <c:pt idx="32">
                  <c:v>53.9</c:v>
                </c:pt>
                <c:pt idx="33">
                  <c:v>70.993173583070003</c:v>
                </c:pt>
                <c:pt idx="34">
                  <c:v>17.110495892217592</c:v>
                </c:pt>
                <c:pt idx="35">
                  <c:v>36.226490286707303</c:v>
                </c:pt>
                <c:pt idx="36">
                  <c:v>16.597917561848696</c:v>
                </c:pt>
                <c:pt idx="37">
                  <c:v>46.4</c:v>
                </c:pt>
                <c:pt idx="38">
                  <c:v>11.189347722437693</c:v>
                </c:pt>
                <c:pt idx="39">
                  <c:v>103.41267510803563</c:v>
                </c:pt>
                <c:pt idx="40">
                  <c:v>100.99010318518286</c:v>
                </c:pt>
                <c:pt idx="41">
                  <c:v>103.02629818749874</c:v>
                </c:pt>
                <c:pt idx="42">
                  <c:v>104.33799836625894</c:v>
                </c:pt>
                <c:pt idx="43">
                  <c:v>88.3</c:v>
                </c:pt>
                <c:pt idx="44">
                  <c:v>14.047505886820614</c:v>
                </c:pt>
                <c:pt idx="45">
                  <c:v>19.228431995561689</c:v>
                </c:pt>
                <c:pt idx="46">
                  <c:v>47.191245550339858</c:v>
                </c:pt>
                <c:pt idx="49">
                  <c:v>79.900000000000006</c:v>
                </c:pt>
                <c:pt idx="50">
                  <c:v>45.7</c:v>
                </c:pt>
                <c:pt idx="51">
                  <c:v>65.333333333333329</c:v>
                </c:pt>
                <c:pt idx="52">
                  <c:v>27.143360527015815</c:v>
                </c:pt>
                <c:pt idx="53">
                  <c:v>97.133646619281379</c:v>
                </c:pt>
                <c:pt idx="54">
                  <c:v>74.5</c:v>
                </c:pt>
                <c:pt idx="55">
                  <c:v>86.2</c:v>
                </c:pt>
                <c:pt idx="56">
                  <c:v>33.183258542906927</c:v>
                </c:pt>
                <c:pt idx="57">
                  <c:v>18.974473499427123</c:v>
                </c:pt>
                <c:pt idx="58">
                  <c:v>40.5</c:v>
                </c:pt>
                <c:pt idx="59">
                  <c:v>73.633578526263037</c:v>
                </c:pt>
                <c:pt idx="60">
                  <c:v>28.99718843375976</c:v>
                </c:pt>
                <c:pt idx="61">
                  <c:v>36.94905659703295</c:v>
                </c:pt>
                <c:pt idx="62">
                  <c:v>23.439887744146176</c:v>
                </c:pt>
                <c:pt idx="63">
                  <c:v>41.525491584537221</c:v>
                </c:pt>
                <c:pt idx="64">
                  <c:v>28.810126226192569</c:v>
                </c:pt>
                <c:pt idx="65">
                  <c:v>31.350445534820999</c:v>
                </c:pt>
                <c:pt idx="66">
                  <c:v>10.073805870259802</c:v>
                </c:pt>
                <c:pt idx="67">
                  <c:v>29.070313715161038</c:v>
                </c:pt>
                <c:pt idx="68">
                  <c:v>41.876287192360493</c:v>
                </c:pt>
                <c:pt idx="69">
                  <c:v>44.41658755718521</c:v>
                </c:pt>
                <c:pt idx="70">
                  <c:v>32.144624449685232</c:v>
                </c:pt>
                <c:pt idx="71">
                  <c:v>37.286756601543445</c:v>
                </c:pt>
                <c:pt idx="72">
                  <c:v>33.25061664559437</c:v>
                </c:pt>
                <c:pt idx="73">
                  <c:v>69.7</c:v>
                </c:pt>
              </c:numCache>
            </c:numRef>
          </c:xVal>
          <c:yVal>
            <c:numRef>
              <c:f>BA_AGB!$F$3:$F$76</c:f>
              <c:numCache>
                <c:formatCode>General</c:formatCode>
                <c:ptCount val="74"/>
                <c:pt idx="0">
                  <c:v>35.275750000000002</c:v>
                </c:pt>
                <c:pt idx="1">
                  <c:v>38.702750000000002</c:v>
                </c:pt>
                <c:pt idx="2">
                  <c:v>35.799999999999997</c:v>
                </c:pt>
                <c:pt idx="3">
                  <c:v>43.731499999999997</c:v>
                </c:pt>
                <c:pt idx="4">
                  <c:v>36.363150000000005</c:v>
                </c:pt>
                <c:pt idx="5">
                  <c:v>52.552999999999997</c:v>
                </c:pt>
                <c:pt idx="6">
                  <c:v>40.903100000000002</c:v>
                </c:pt>
                <c:pt idx="7">
                  <c:v>24.491849999999999</c:v>
                </c:pt>
                <c:pt idx="8">
                  <c:v>20.0305</c:v>
                </c:pt>
                <c:pt idx="9">
                  <c:v>17.106999999999999</c:v>
                </c:pt>
                <c:pt idx="10">
                  <c:v>14.288500000000001</c:v>
                </c:pt>
                <c:pt idx="12">
                  <c:v>21.759872780280947</c:v>
                </c:pt>
                <c:pt idx="13">
                  <c:v>52.88</c:v>
                </c:pt>
                <c:pt idx="14">
                  <c:v>48.27</c:v>
                </c:pt>
                <c:pt idx="15">
                  <c:v>22.39</c:v>
                </c:pt>
                <c:pt idx="16">
                  <c:v>32.36</c:v>
                </c:pt>
                <c:pt idx="17">
                  <c:v>23.718</c:v>
                </c:pt>
                <c:pt idx="18">
                  <c:v>18.899999999999999</c:v>
                </c:pt>
                <c:pt idx="19">
                  <c:v>24.75</c:v>
                </c:pt>
                <c:pt idx="20">
                  <c:v>20.76</c:v>
                </c:pt>
                <c:pt idx="21">
                  <c:v>20.353999999999999</c:v>
                </c:pt>
                <c:pt idx="22">
                  <c:v>58.127000000000002</c:v>
                </c:pt>
                <c:pt idx="23">
                  <c:v>26.544499999999999</c:v>
                </c:pt>
                <c:pt idx="24">
                  <c:v>65.68180000000001</c:v>
                </c:pt>
                <c:pt idx="25">
                  <c:v>25.5</c:v>
                </c:pt>
                <c:pt idx="29">
                  <c:v>40.15</c:v>
                </c:pt>
                <c:pt idx="30">
                  <c:v>52.47</c:v>
                </c:pt>
                <c:pt idx="31">
                  <c:v>87.2</c:v>
                </c:pt>
                <c:pt idx="32">
                  <c:v>47.55</c:v>
                </c:pt>
                <c:pt idx="33">
                  <c:v>87.083333333333329</c:v>
                </c:pt>
                <c:pt idx="34">
                  <c:v>22.6</c:v>
                </c:pt>
                <c:pt idx="35">
                  <c:v>39.700000000000003</c:v>
                </c:pt>
                <c:pt idx="36">
                  <c:v>20.5</c:v>
                </c:pt>
                <c:pt idx="37">
                  <c:v>43.930000000000007</c:v>
                </c:pt>
                <c:pt idx="38">
                  <c:v>11.654999999999999</c:v>
                </c:pt>
                <c:pt idx="39">
                  <c:v>108.60000000000001</c:v>
                </c:pt>
                <c:pt idx="40">
                  <c:v>108.64999999999999</c:v>
                </c:pt>
                <c:pt idx="41">
                  <c:v>109.9</c:v>
                </c:pt>
                <c:pt idx="42">
                  <c:v>112.02500000000001</c:v>
                </c:pt>
                <c:pt idx="43">
                  <c:v>84.9</c:v>
                </c:pt>
                <c:pt idx="44">
                  <c:v>15.704999999999998</c:v>
                </c:pt>
                <c:pt idx="45">
                  <c:v>21.814999999999998</c:v>
                </c:pt>
                <c:pt idx="46">
                  <c:v>53.58</c:v>
                </c:pt>
                <c:pt idx="47">
                  <c:v>84.2</c:v>
                </c:pt>
                <c:pt idx="48">
                  <c:v>92.3</c:v>
                </c:pt>
                <c:pt idx="49">
                  <c:v>66.657499999999999</c:v>
                </c:pt>
                <c:pt idx="50">
                  <c:v>41.41</c:v>
                </c:pt>
                <c:pt idx="51">
                  <c:v>55.196666666666665</c:v>
                </c:pt>
                <c:pt idx="52">
                  <c:v>62.64</c:v>
                </c:pt>
                <c:pt idx="53">
                  <c:v>92.5</c:v>
                </c:pt>
                <c:pt idx="54">
                  <c:v>92.825000000000003</c:v>
                </c:pt>
                <c:pt idx="55">
                  <c:v>110.675</c:v>
                </c:pt>
                <c:pt idx="56">
                  <c:v>34.825000000000003</c:v>
                </c:pt>
                <c:pt idx="57">
                  <c:v>28.885000000000002</c:v>
                </c:pt>
                <c:pt idx="58">
                  <c:v>35.880000000000003</c:v>
                </c:pt>
                <c:pt idx="59">
                  <c:v>81.133659999999992</c:v>
                </c:pt>
                <c:pt idx="60">
                  <c:v>36.950000000000003</c:v>
                </c:pt>
                <c:pt idx="61">
                  <c:v>45.95</c:v>
                </c:pt>
                <c:pt idx="62">
                  <c:v>21.65</c:v>
                </c:pt>
                <c:pt idx="63">
                  <c:v>39.649852999999993</c:v>
                </c:pt>
                <c:pt idx="64">
                  <c:v>26.253070000000001</c:v>
                </c:pt>
                <c:pt idx="65">
                  <c:v>29.5</c:v>
                </c:pt>
                <c:pt idx="66">
                  <c:v>8</c:v>
                </c:pt>
                <c:pt idx="67">
                  <c:v>28.4</c:v>
                </c:pt>
                <c:pt idx="68">
                  <c:v>43.869530999999995</c:v>
                </c:pt>
                <c:pt idx="69">
                  <c:v>37.198925000000003</c:v>
                </c:pt>
                <c:pt idx="70">
                  <c:v>36.75</c:v>
                </c:pt>
                <c:pt idx="71">
                  <c:v>41.95</c:v>
                </c:pt>
                <c:pt idx="72">
                  <c:v>42.04</c:v>
                </c:pt>
                <c:pt idx="73">
                  <c:v>68.400000000000006</c:v>
                </c:pt>
              </c:numCache>
            </c:numRef>
          </c:yVal>
          <c:smooth val="0"/>
          <c:extLst>
            <c:ext xmlns:c16="http://schemas.microsoft.com/office/drawing/2014/chart" uri="{C3380CC4-5D6E-409C-BE32-E72D297353CC}">
              <c16:uniqueId val="{00000000-829B-485B-95FB-A62FE5647D7A}"/>
            </c:ext>
          </c:extLst>
        </c:ser>
        <c:dLbls>
          <c:showLegendKey val="0"/>
          <c:showVal val="0"/>
          <c:showCatName val="0"/>
          <c:showSerName val="0"/>
          <c:showPercent val="0"/>
          <c:showBubbleSize val="0"/>
        </c:dLbls>
        <c:axId val="1931643487"/>
        <c:axId val="1931644735"/>
      </c:scatterChart>
      <c:valAx>
        <c:axId val="1931643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644735"/>
        <c:crosses val="autoZero"/>
        <c:crossBetween val="midCat"/>
      </c:valAx>
      <c:valAx>
        <c:axId val="193164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6434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variable'!$CI$2</c:f>
              <c:strCache>
                <c:ptCount val="1"/>
                <c:pt idx="0">
                  <c:v>SR</c:v>
                </c:pt>
              </c:strCache>
            </c:strRef>
          </c:tx>
          <c:spPr>
            <a:ln w="25400" cap="rnd">
              <a:noFill/>
              <a:round/>
            </a:ln>
            <a:effectLst/>
          </c:spPr>
          <c:marker>
            <c:symbol val="circle"/>
            <c:size val="5"/>
            <c:spPr>
              <a:solidFill>
                <a:schemeClr val="tx1"/>
              </a:solidFill>
              <a:ln w="9525">
                <a:noFill/>
              </a:ln>
              <a:effectLst/>
            </c:spPr>
          </c:marker>
          <c:trendline>
            <c:spPr>
              <a:ln w="19050" cap="rnd">
                <a:solidFill>
                  <a:sysClr val="windowText" lastClr="000000"/>
                </a:solidFill>
                <a:prstDash val="sysDot"/>
              </a:ln>
              <a:effectLst/>
            </c:spPr>
            <c:trendlineType val="exp"/>
            <c:dispRSqr val="1"/>
            <c:dispEq val="1"/>
            <c:trendlineLbl>
              <c:layout>
                <c:manualLayout>
                  <c:x val="4.948338321853659E-2"/>
                  <c:y val="-5.69224395188846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variable'!$CI$4:$CI$84</c:f>
              <c:numCache>
                <c:formatCode>0.00_);[Red]\(0.00\)</c:formatCode>
                <c:ptCount val="81"/>
                <c:pt idx="11">
                  <c:v>9.256636363636364</c:v>
                </c:pt>
                <c:pt idx="54">
                  <c:v>14.263636363636362</c:v>
                </c:pt>
                <c:pt idx="79">
                  <c:v>11.21</c:v>
                </c:pt>
                <c:pt idx="80">
                  <c:v>11.41</c:v>
                </c:pt>
              </c:numCache>
            </c:numRef>
          </c:xVal>
          <c:yVal>
            <c:numRef>
              <c:f>'Rawdata for dummy variable'!$CG$4:$CG$84</c:f>
              <c:numCache>
                <c:formatCode>0.00_);[Red]\(0.00\)</c:formatCode>
                <c:ptCount val="81"/>
                <c:pt idx="5">
                  <c:v>6.53803</c:v>
                </c:pt>
                <c:pt idx="11">
                  <c:v>0.96</c:v>
                </c:pt>
                <c:pt idx="22">
                  <c:v>3.11</c:v>
                </c:pt>
                <c:pt idx="23">
                  <c:v>4.0199999999999996</c:v>
                </c:pt>
                <c:pt idx="24">
                  <c:v>4.34</c:v>
                </c:pt>
                <c:pt idx="25">
                  <c:v>4.33</c:v>
                </c:pt>
                <c:pt idx="48">
                  <c:v>3.3333333333333339</c:v>
                </c:pt>
                <c:pt idx="54">
                  <c:v>11</c:v>
                </c:pt>
                <c:pt idx="63">
                  <c:v>1.6465000000000001</c:v>
                </c:pt>
                <c:pt idx="79">
                  <c:v>1.3900000000000001</c:v>
                </c:pt>
                <c:pt idx="80">
                  <c:v>1.1099999999999999</c:v>
                </c:pt>
              </c:numCache>
            </c:numRef>
          </c:yVal>
          <c:smooth val="0"/>
          <c:extLst>
            <c:ext xmlns:c16="http://schemas.microsoft.com/office/drawing/2014/chart" uri="{C3380CC4-5D6E-409C-BE32-E72D297353CC}">
              <c16:uniqueId val="{00000000-BE1B-4C83-93A7-40249B256CE2}"/>
            </c:ext>
          </c:extLst>
        </c:ser>
        <c:dLbls>
          <c:showLegendKey val="0"/>
          <c:showVal val="0"/>
          <c:showCatName val="0"/>
          <c:showSerName val="0"/>
          <c:showPercent val="0"/>
          <c:showBubbleSize val="0"/>
        </c:dLbls>
        <c:axId val="2124795144"/>
        <c:axId val="-2137472456"/>
      </c:scatterChart>
      <c:valAx>
        <c:axId val="2124795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SR (Mg C ha</a:t>
                </a:r>
                <a:r>
                  <a:rPr lang="en-US" altLang="zh-TW" sz="1000" b="0" i="0" baseline="30000">
                    <a:effectLst/>
                  </a:rPr>
                  <a:t>-1</a:t>
                </a:r>
                <a:r>
                  <a:rPr lang="en-US" altLang="zh-TW" sz="1000" b="0" i="0" baseline="0">
                    <a:effectLst/>
                  </a:rPr>
                  <a:t> yr</a:t>
                </a:r>
                <a:r>
                  <a:rPr lang="en-US" altLang="zh-TW" sz="1000" b="0" i="0" baseline="30000">
                    <a:effectLst/>
                  </a:rPr>
                  <a:t>-1</a:t>
                </a:r>
                <a:r>
                  <a:rPr lang="en-US" altLang="zh-TW" sz="1000" b="0" i="0" baseline="0">
                    <a:effectLst/>
                  </a:rPr>
                  <a:t>)</a:t>
                </a:r>
                <a:endParaRPr lang="zh-TW" altLang="zh-TW" sz="1000">
                  <a:effectLst/>
                </a:endParaRPr>
              </a:p>
            </c:rich>
          </c:tx>
          <c:layout>
            <c:manualLayout>
              <c:xMode val="edge"/>
              <c:yMode val="edge"/>
              <c:x val="0.39489712566417001"/>
              <c:y val="0.87868037328667303"/>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BNPP (Mg C ha</a:t>
                </a:r>
                <a:r>
                  <a:rPr lang="en-GB" altLang="zh-TW" sz="1000" b="0" i="0" u="none" strike="noStrike" baseline="30000">
                    <a:effectLst/>
                  </a:rPr>
                  <a:t>-1 </a:t>
                </a:r>
                <a:r>
                  <a:rPr lang="en-GB" altLang="zh-TW" sz="1000" b="0" i="0" u="none" strike="noStrike" baseline="0">
                    <a:effectLst/>
                  </a:rPr>
                  <a:t>yr</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variable'!$AW$2</c:f>
              <c:strCache>
                <c:ptCount val="1"/>
                <c:pt idx="0">
                  <c:v>Culm height(3</c:v>
                </c:pt>
              </c:strCache>
            </c:strRef>
          </c:tx>
          <c:spPr>
            <a:ln w="25400" cap="rnd">
              <a:noFill/>
              <a:round/>
            </a:ln>
            <a:effectLst/>
          </c:spPr>
          <c:marker>
            <c:symbol val="circle"/>
            <c:size val="5"/>
            <c:spPr>
              <a:solidFill>
                <a:schemeClr val="tx1"/>
              </a:solidFill>
              <a:ln w="9525">
                <a:noFill/>
              </a:ln>
              <a:effectLst/>
            </c:spPr>
          </c:marker>
          <c:trendline>
            <c:spPr>
              <a:ln w="19050" cap="rnd">
                <a:solidFill>
                  <a:sysClr val="windowText" lastClr="000000"/>
                </a:solidFill>
                <a:prstDash val="sysDot"/>
              </a:ln>
              <a:effectLst/>
            </c:spPr>
            <c:trendlineType val="linear"/>
            <c:dispRSqr val="1"/>
            <c:dispEq val="1"/>
            <c:trendlineLbl>
              <c:layout>
                <c:manualLayout>
                  <c:x val="-0.17893265644261008"/>
                  <c:y val="-2.115841654288900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variable'!$AW$4:$AW$84</c:f>
              <c:numCache>
                <c:formatCode>0.00_);[Red]\(0.00\)</c:formatCode>
                <c:ptCount val="81"/>
                <c:pt idx="8">
                  <c:v>13.1</c:v>
                </c:pt>
                <c:pt idx="9">
                  <c:v>12.3</c:v>
                </c:pt>
                <c:pt idx="10">
                  <c:v>11.1</c:v>
                </c:pt>
                <c:pt idx="31">
                  <c:v>15.621379341616034</c:v>
                </c:pt>
                <c:pt idx="39">
                  <c:v>18</c:v>
                </c:pt>
                <c:pt idx="40">
                  <c:v>13.5</c:v>
                </c:pt>
                <c:pt idx="41">
                  <c:v>16.933333333333334</c:v>
                </c:pt>
                <c:pt idx="46">
                  <c:v>12.1</c:v>
                </c:pt>
                <c:pt idx="48">
                  <c:v>12.833333333333334</c:v>
                </c:pt>
                <c:pt idx="53">
                  <c:v>13.6</c:v>
                </c:pt>
                <c:pt idx="55">
                  <c:v>18.436493298905692</c:v>
                </c:pt>
                <c:pt idx="56">
                  <c:v>18.404192293209491</c:v>
                </c:pt>
                <c:pt idx="57">
                  <c:v>18.404094430099594</c:v>
                </c:pt>
                <c:pt idx="58">
                  <c:v>18.451361445783132</c:v>
                </c:pt>
                <c:pt idx="60">
                  <c:v>9.5</c:v>
                </c:pt>
                <c:pt idx="61">
                  <c:v>12</c:v>
                </c:pt>
                <c:pt idx="62">
                  <c:v>13.2</c:v>
                </c:pt>
                <c:pt idx="63">
                  <c:v>11.9</c:v>
                </c:pt>
                <c:pt idx="64">
                  <c:v>21.4</c:v>
                </c:pt>
                <c:pt idx="65">
                  <c:v>13.4</c:v>
                </c:pt>
                <c:pt idx="66">
                  <c:v>13.6</c:v>
                </c:pt>
                <c:pt idx="67">
                  <c:v>12.3</c:v>
                </c:pt>
                <c:pt idx="69">
                  <c:v>10.3</c:v>
                </c:pt>
                <c:pt idx="70">
                  <c:v>9.5</c:v>
                </c:pt>
                <c:pt idx="71">
                  <c:v>8</c:v>
                </c:pt>
                <c:pt idx="72">
                  <c:v>9.5</c:v>
                </c:pt>
                <c:pt idx="75">
                  <c:v>12.6</c:v>
                </c:pt>
                <c:pt idx="76">
                  <c:v>13.2</c:v>
                </c:pt>
                <c:pt idx="79">
                  <c:v>12</c:v>
                </c:pt>
              </c:numCache>
            </c:numRef>
          </c:xVal>
          <c:yVal>
            <c:numRef>
              <c:f>'Rawdata for dummy variable'!$BS$4:$BS$84</c:f>
              <c:numCache>
                <c:formatCode>0.00_);[Red]\(0.00\)</c:formatCode>
                <c:ptCount val="81"/>
                <c:pt idx="0">
                  <c:v>12.074249999999999</c:v>
                </c:pt>
                <c:pt idx="1">
                  <c:v>13.247250000000001</c:v>
                </c:pt>
                <c:pt idx="2">
                  <c:v>30.6</c:v>
                </c:pt>
                <c:pt idx="3">
                  <c:v>14.968500000000001</c:v>
                </c:pt>
                <c:pt idx="4">
                  <c:v>9.3247</c:v>
                </c:pt>
                <c:pt idx="5">
                  <c:v>19.154000000000003</c:v>
                </c:pt>
                <c:pt idx="6">
                  <c:v>9.7708499999999994</c:v>
                </c:pt>
                <c:pt idx="7">
                  <c:v>5.8566500000000001</c:v>
                </c:pt>
                <c:pt idx="10">
                  <c:v>3.9095</c:v>
                </c:pt>
                <c:pt idx="13">
                  <c:v>33.5</c:v>
                </c:pt>
                <c:pt idx="14">
                  <c:v>23.574999999999999</c:v>
                </c:pt>
                <c:pt idx="15">
                  <c:v>10.645</c:v>
                </c:pt>
                <c:pt idx="16">
                  <c:v>18.635000000000002</c:v>
                </c:pt>
                <c:pt idx="22">
                  <c:v>19</c:v>
                </c:pt>
                <c:pt idx="23">
                  <c:v>24</c:v>
                </c:pt>
                <c:pt idx="24">
                  <c:v>26.1</c:v>
                </c:pt>
                <c:pt idx="25">
                  <c:v>26</c:v>
                </c:pt>
                <c:pt idx="26">
                  <c:v>33.064999999999998</c:v>
                </c:pt>
                <c:pt idx="27">
                  <c:v>33.515499999999996</c:v>
                </c:pt>
                <c:pt idx="28">
                  <c:v>18.004999999999999</c:v>
                </c:pt>
                <c:pt idx="29">
                  <c:v>33.849999999999994</c:v>
                </c:pt>
                <c:pt idx="30">
                  <c:v>28.76</c:v>
                </c:pt>
                <c:pt idx="32">
                  <c:v>17.594999999999999</c:v>
                </c:pt>
                <c:pt idx="33">
                  <c:v>34.1</c:v>
                </c:pt>
                <c:pt idx="34">
                  <c:v>45.4</c:v>
                </c:pt>
                <c:pt idx="35">
                  <c:v>44.699999999999996</c:v>
                </c:pt>
                <c:pt idx="47">
                  <c:v>24.6</c:v>
                </c:pt>
                <c:pt idx="54">
                  <c:v>18.669499999999999</c:v>
                </c:pt>
                <c:pt idx="59">
                  <c:v>55.9</c:v>
                </c:pt>
                <c:pt idx="61">
                  <c:v>10.6</c:v>
                </c:pt>
                <c:pt idx="62">
                  <c:v>26.675000000000001</c:v>
                </c:pt>
                <c:pt idx="63">
                  <c:v>15.922499999999999</c:v>
                </c:pt>
                <c:pt idx="65">
                  <c:v>45.7</c:v>
                </c:pt>
                <c:pt idx="66">
                  <c:v>47</c:v>
                </c:pt>
                <c:pt idx="67">
                  <c:v>42.800000000000004</c:v>
                </c:pt>
                <c:pt idx="69">
                  <c:v>3.5</c:v>
                </c:pt>
                <c:pt idx="75">
                  <c:v>45.55</c:v>
                </c:pt>
                <c:pt idx="76">
                  <c:v>46.6</c:v>
                </c:pt>
                <c:pt idx="80">
                  <c:v>33.69</c:v>
                </c:pt>
              </c:numCache>
            </c:numRef>
          </c:yVal>
          <c:smooth val="0"/>
          <c:extLst>
            <c:ext xmlns:c16="http://schemas.microsoft.com/office/drawing/2014/chart" uri="{C3380CC4-5D6E-409C-BE32-E72D297353CC}">
              <c16:uniqueId val="{00000000-74FF-4271-AE3B-37FFFA73AD20}"/>
            </c:ext>
          </c:extLst>
        </c:ser>
        <c:dLbls>
          <c:showLegendKey val="0"/>
          <c:showVal val="0"/>
          <c:showCatName val="0"/>
          <c:showSerName val="0"/>
          <c:showPercent val="0"/>
          <c:showBubbleSize val="0"/>
        </c:dLbls>
        <c:axId val="2124795144"/>
        <c:axId val="-2137472456"/>
      </c:scatterChart>
      <c:valAx>
        <c:axId val="2124795144"/>
        <c:scaling>
          <c:orientation val="minMax"/>
          <c:max val="15"/>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Average Culm High (m)</a:t>
                </a:r>
                <a:endParaRPr lang="zh-TW" altLang="zh-TW" sz="1000">
                  <a:effectLst/>
                </a:endParaRPr>
              </a:p>
            </c:rich>
          </c:tx>
          <c:layout>
            <c:manualLayout>
              <c:xMode val="edge"/>
              <c:yMode val="edge"/>
              <c:x val="0.42683598994220406"/>
              <c:y val="0.89676213296942164"/>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max val="8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BGC (Mg C ha</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variable'!$CJ$2</c:f>
              <c:strCache>
                <c:ptCount val="1"/>
                <c:pt idx="0">
                  <c:v>HR</c:v>
                </c:pt>
              </c:strCache>
            </c:strRef>
          </c:tx>
          <c:spPr>
            <a:ln w="25400" cap="rnd">
              <a:noFill/>
              <a:round/>
            </a:ln>
            <a:effectLst/>
          </c:spPr>
          <c:marker>
            <c:symbol val="circle"/>
            <c:size val="5"/>
            <c:spPr>
              <a:solidFill>
                <a:schemeClr val="tx1"/>
              </a:solidFill>
              <a:ln w="9525">
                <a:noFill/>
              </a:ln>
              <a:effectLst/>
            </c:spPr>
          </c:marker>
          <c:trendline>
            <c:spPr>
              <a:ln w="19050" cap="rnd">
                <a:solidFill>
                  <a:sysClr val="windowText" lastClr="000000"/>
                </a:solidFill>
                <a:prstDash val="sysDot"/>
              </a:ln>
              <a:effectLst/>
            </c:spPr>
            <c:trendlineType val="linear"/>
            <c:dispRSqr val="1"/>
            <c:dispEq val="1"/>
            <c:trendlineLbl>
              <c:layout>
                <c:manualLayout>
                  <c:x val="4.9269829001542871E-2"/>
                  <c:y val="-0.373723826496997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variable'!$CJ$4:$CJ$84</c:f>
              <c:numCache>
                <c:formatCode>0.00_);[Red]\(0.00\)</c:formatCode>
                <c:ptCount val="81"/>
                <c:pt idx="11">
                  <c:v>5.5063636363636368</c:v>
                </c:pt>
                <c:pt idx="22">
                  <c:v>0.51</c:v>
                </c:pt>
                <c:pt idx="23">
                  <c:v>1.0900000000000001</c:v>
                </c:pt>
                <c:pt idx="24">
                  <c:v>1.37</c:v>
                </c:pt>
                <c:pt idx="25">
                  <c:v>1.29</c:v>
                </c:pt>
                <c:pt idx="54">
                  <c:v>13.299999999999999</c:v>
                </c:pt>
                <c:pt idx="79">
                  <c:v>4.4800000000000004</c:v>
                </c:pt>
                <c:pt idx="80">
                  <c:v>4.55</c:v>
                </c:pt>
              </c:numCache>
            </c:numRef>
          </c:xVal>
          <c:yVal>
            <c:numRef>
              <c:f>'Rawdata for dummy variable'!$CB$4:$CB$84</c:f>
              <c:numCache>
                <c:formatCode>0.00_);[Red]\(0.00\)</c:formatCode>
                <c:ptCount val="81"/>
                <c:pt idx="0">
                  <c:v>1.63</c:v>
                </c:pt>
                <c:pt idx="1">
                  <c:v>1.58</c:v>
                </c:pt>
                <c:pt idx="2">
                  <c:v>0.8982</c:v>
                </c:pt>
                <c:pt idx="3">
                  <c:v>1.71</c:v>
                </c:pt>
                <c:pt idx="8">
                  <c:v>1.9245000000000001</c:v>
                </c:pt>
                <c:pt idx="9">
                  <c:v>1.2304999999999999</c:v>
                </c:pt>
                <c:pt idx="10">
                  <c:v>2.0089999999999999</c:v>
                </c:pt>
                <c:pt idx="11">
                  <c:v>1.1100000000000001</c:v>
                </c:pt>
                <c:pt idx="28">
                  <c:v>3.5950000000000002</c:v>
                </c:pt>
                <c:pt idx="29">
                  <c:v>1.5149999999999999</c:v>
                </c:pt>
                <c:pt idx="30">
                  <c:v>2.63</c:v>
                </c:pt>
                <c:pt idx="33">
                  <c:v>2.8</c:v>
                </c:pt>
                <c:pt idx="34">
                  <c:v>4.7</c:v>
                </c:pt>
                <c:pt idx="35">
                  <c:v>10.5</c:v>
                </c:pt>
                <c:pt idx="36">
                  <c:v>2.1</c:v>
                </c:pt>
                <c:pt idx="37">
                  <c:v>3.49</c:v>
                </c:pt>
                <c:pt idx="38">
                  <c:v>3.976</c:v>
                </c:pt>
                <c:pt idx="44">
                  <c:v>3.1054999999999997</c:v>
                </c:pt>
                <c:pt idx="48">
                  <c:v>5.2</c:v>
                </c:pt>
                <c:pt idx="49">
                  <c:v>3.2167499999999993</c:v>
                </c:pt>
                <c:pt idx="50">
                  <c:v>7.35</c:v>
                </c:pt>
                <c:pt idx="54">
                  <c:v>3.3</c:v>
                </c:pt>
                <c:pt idx="60">
                  <c:v>3.7250000000000001</c:v>
                </c:pt>
                <c:pt idx="79">
                  <c:v>1.99</c:v>
                </c:pt>
                <c:pt idx="80">
                  <c:v>2.1800000000000002</c:v>
                </c:pt>
              </c:numCache>
            </c:numRef>
          </c:yVal>
          <c:smooth val="0"/>
          <c:extLst>
            <c:ext xmlns:c16="http://schemas.microsoft.com/office/drawing/2014/chart" uri="{C3380CC4-5D6E-409C-BE32-E72D297353CC}">
              <c16:uniqueId val="{00000000-E2AE-44CD-92EF-18D1C9C458BA}"/>
            </c:ext>
          </c:extLst>
        </c:ser>
        <c:dLbls>
          <c:showLegendKey val="0"/>
          <c:showVal val="0"/>
          <c:showCatName val="0"/>
          <c:showSerName val="0"/>
          <c:showPercent val="0"/>
          <c:showBubbleSize val="0"/>
        </c:dLbls>
        <c:axId val="2124795144"/>
        <c:axId val="-2137472456"/>
      </c:scatterChart>
      <c:valAx>
        <c:axId val="2124795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Heterotrophic Respiration, HR (Mg C ha</a:t>
                </a:r>
                <a:r>
                  <a:rPr lang="en-US" altLang="zh-TW" sz="1000" b="0" i="0" baseline="30000">
                    <a:effectLst/>
                  </a:rPr>
                  <a:t>-1</a:t>
                </a:r>
                <a:r>
                  <a:rPr lang="en-US" altLang="zh-TW" sz="1000" b="0" i="0" baseline="0">
                    <a:effectLst/>
                  </a:rPr>
                  <a:t> yr</a:t>
                </a:r>
                <a:r>
                  <a:rPr lang="en-US" altLang="zh-TW" sz="1000" b="0" i="0" baseline="30000">
                    <a:effectLst/>
                  </a:rPr>
                  <a:t>-1</a:t>
                </a:r>
                <a:r>
                  <a:rPr lang="en-US" altLang="zh-TW" sz="1000" b="0" i="0" baseline="0">
                    <a:effectLst/>
                  </a:rPr>
                  <a:t>)</a:t>
                </a:r>
                <a:endParaRPr lang="zh-TW" altLang="zh-TW" sz="1000">
                  <a:effectLst/>
                </a:endParaRPr>
              </a:p>
            </c:rich>
          </c:tx>
          <c:layout>
            <c:manualLayout>
              <c:xMode val="edge"/>
              <c:yMode val="edge"/>
              <c:x val="0.26448029621793179"/>
              <c:y val="0.88772129150200074"/>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Litterfall (Mg C ha</a:t>
                </a:r>
                <a:r>
                  <a:rPr lang="en-GB" altLang="zh-TW" sz="1000" b="0" i="0" u="none" strike="noStrike" baseline="30000">
                    <a:effectLst/>
                  </a:rPr>
                  <a:t>-1 </a:t>
                </a:r>
                <a:r>
                  <a:rPr lang="en-GB" altLang="zh-TW" sz="1000" b="0" i="0" u="none" strike="noStrike" baseline="0">
                    <a:effectLst/>
                  </a:rPr>
                  <a:t>yr</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variable'!$BK$2</c:f>
              <c:strCache>
                <c:ptCount val="1"/>
                <c:pt idx="0">
                  <c:v>Foliages</c:v>
                </c:pt>
              </c:strCache>
            </c:strRef>
          </c:tx>
          <c:spPr>
            <a:ln w="25400" cap="rnd">
              <a:noFill/>
              <a:round/>
            </a:ln>
            <a:effectLst/>
          </c:spPr>
          <c:marker>
            <c:symbol val="circle"/>
            <c:size val="5"/>
            <c:spPr>
              <a:solidFill>
                <a:schemeClr val="tx1"/>
              </a:solidFill>
              <a:ln w="9525">
                <a:noFill/>
              </a:ln>
              <a:effectLst/>
            </c:spPr>
          </c:marker>
          <c:trendline>
            <c:spPr>
              <a:ln w="19050" cap="rnd">
                <a:solidFill>
                  <a:sysClr val="windowText" lastClr="000000"/>
                </a:solidFill>
                <a:prstDash val="sysDot"/>
              </a:ln>
              <a:effectLst/>
            </c:spPr>
            <c:trendlineType val="linear"/>
            <c:dispRSqr val="1"/>
            <c:dispEq val="1"/>
            <c:trendlineLbl>
              <c:layout>
                <c:manualLayout>
                  <c:x val="4.9269829001542871E-2"/>
                  <c:y val="-0.373723826496997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variable'!$BK$4:$BK$84</c:f>
              <c:numCache>
                <c:formatCode>0.00_);[Red]\(0.00\)</c:formatCode>
                <c:ptCount val="81"/>
                <c:pt idx="4">
                  <c:v>2.4125000000000001</c:v>
                </c:pt>
                <c:pt idx="5">
                  <c:v>3.2685</c:v>
                </c:pt>
                <c:pt idx="6">
                  <c:v>2.5648</c:v>
                </c:pt>
                <c:pt idx="7">
                  <c:v>1.52125</c:v>
                </c:pt>
                <c:pt idx="26">
                  <c:v>2.157</c:v>
                </c:pt>
                <c:pt idx="27">
                  <c:v>1.4430000000000003</c:v>
                </c:pt>
                <c:pt idx="28">
                  <c:v>0.64500000000000002</c:v>
                </c:pt>
                <c:pt idx="29">
                  <c:v>2.0299999999999998</c:v>
                </c:pt>
                <c:pt idx="30">
                  <c:v>0.84499999999999997</c:v>
                </c:pt>
                <c:pt idx="44">
                  <c:v>11.4</c:v>
                </c:pt>
                <c:pt idx="47">
                  <c:v>1.7</c:v>
                </c:pt>
                <c:pt idx="48">
                  <c:v>1.55</c:v>
                </c:pt>
                <c:pt idx="49">
                  <c:v>14.2</c:v>
                </c:pt>
                <c:pt idx="50">
                  <c:v>18.8</c:v>
                </c:pt>
                <c:pt idx="53" formatCode="General">
                  <c:v>2.65</c:v>
                </c:pt>
                <c:pt idx="54">
                  <c:v>2.7258000000000004</c:v>
                </c:pt>
                <c:pt idx="55">
                  <c:v>2.9</c:v>
                </c:pt>
                <c:pt idx="56">
                  <c:v>2.95</c:v>
                </c:pt>
                <c:pt idx="57">
                  <c:v>2.95</c:v>
                </c:pt>
                <c:pt idx="58">
                  <c:v>3.05</c:v>
                </c:pt>
                <c:pt idx="59">
                  <c:v>2.1</c:v>
                </c:pt>
                <c:pt idx="60">
                  <c:v>2.2799999999999998</c:v>
                </c:pt>
                <c:pt idx="61">
                  <c:v>8.1449999999999996</c:v>
                </c:pt>
                <c:pt idx="62">
                  <c:v>4.0049999999999999</c:v>
                </c:pt>
                <c:pt idx="63">
                  <c:v>1.9245000000000001</c:v>
                </c:pt>
                <c:pt idx="64">
                  <c:v>2.0094800000000004</c:v>
                </c:pt>
                <c:pt idx="65">
                  <c:v>1.6</c:v>
                </c:pt>
                <c:pt idx="66">
                  <c:v>1.9</c:v>
                </c:pt>
                <c:pt idx="67">
                  <c:v>0.65</c:v>
                </c:pt>
                <c:pt idx="68">
                  <c:v>1.4495359999999999</c:v>
                </c:pt>
                <c:pt idx="69">
                  <c:v>1.63584</c:v>
                </c:pt>
                <c:pt idx="73">
                  <c:v>1.65856</c:v>
                </c:pt>
                <c:pt idx="74">
                  <c:v>1.3132159999999999</c:v>
                </c:pt>
                <c:pt idx="75">
                  <c:v>1.4</c:v>
                </c:pt>
                <c:pt idx="76">
                  <c:v>1.6</c:v>
                </c:pt>
                <c:pt idx="79">
                  <c:v>2.06</c:v>
                </c:pt>
                <c:pt idx="80">
                  <c:v>3.13</c:v>
                </c:pt>
              </c:numCache>
            </c:numRef>
          </c:xVal>
          <c:yVal>
            <c:numRef>
              <c:f>'Rawdata for dummy variable'!$CC$4:$CC$84</c:f>
              <c:numCache>
                <c:formatCode>0.00_);[Red]\(0.00\)</c:formatCode>
                <c:ptCount val="81"/>
                <c:pt idx="2">
                  <c:v>8.9622499999999992</c:v>
                </c:pt>
                <c:pt idx="5">
                  <c:v>23.355025000000001</c:v>
                </c:pt>
                <c:pt idx="11">
                  <c:v>9.3999999999999986</c:v>
                </c:pt>
                <c:pt idx="22">
                  <c:v>4.17</c:v>
                </c:pt>
                <c:pt idx="23">
                  <c:v>5.08</c:v>
                </c:pt>
                <c:pt idx="24">
                  <c:v>5.46</c:v>
                </c:pt>
                <c:pt idx="25">
                  <c:v>5.76</c:v>
                </c:pt>
                <c:pt idx="26">
                  <c:v>5.5383499999999994</c:v>
                </c:pt>
                <c:pt idx="27">
                  <c:v>2.8555625</c:v>
                </c:pt>
                <c:pt idx="39">
                  <c:v>5.8574999999999999</c:v>
                </c:pt>
                <c:pt idx="40">
                  <c:v>6.07</c:v>
                </c:pt>
                <c:pt idx="41">
                  <c:v>0.54666666666666663</c:v>
                </c:pt>
                <c:pt idx="44">
                  <c:v>8.0299999999999994</c:v>
                </c:pt>
                <c:pt idx="48">
                  <c:v>25.5</c:v>
                </c:pt>
                <c:pt idx="49">
                  <c:v>7.8599999999999994</c:v>
                </c:pt>
                <c:pt idx="50">
                  <c:v>9.11</c:v>
                </c:pt>
                <c:pt idx="54">
                  <c:v>11.8</c:v>
                </c:pt>
                <c:pt idx="57">
                  <c:v>1.2500000000000142</c:v>
                </c:pt>
                <c:pt idx="58">
                  <c:v>2.125</c:v>
                </c:pt>
                <c:pt idx="60">
                  <c:v>9.370000000000001</c:v>
                </c:pt>
                <c:pt idx="63">
                  <c:v>4.0854999999999997</c:v>
                </c:pt>
                <c:pt idx="65">
                  <c:v>4.1500000000000004</c:v>
                </c:pt>
                <c:pt idx="66">
                  <c:v>5.6</c:v>
                </c:pt>
                <c:pt idx="67">
                  <c:v>3.75</c:v>
                </c:pt>
                <c:pt idx="69">
                  <c:v>4</c:v>
                </c:pt>
                <c:pt idx="70">
                  <c:v>2.9</c:v>
                </c:pt>
                <c:pt idx="71">
                  <c:v>4</c:v>
                </c:pt>
                <c:pt idx="72">
                  <c:v>4.0999999999999996</c:v>
                </c:pt>
                <c:pt idx="75">
                  <c:v>4.6500000000000004</c:v>
                </c:pt>
                <c:pt idx="76">
                  <c:v>3.45</c:v>
                </c:pt>
                <c:pt idx="78">
                  <c:v>2.2166666666666672</c:v>
                </c:pt>
                <c:pt idx="79">
                  <c:v>7.1099999999999994</c:v>
                </c:pt>
                <c:pt idx="80">
                  <c:v>7.76</c:v>
                </c:pt>
              </c:numCache>
            </c:numRef>
          </c:yVal>
          <c:smooth val="0"/>
          <c:extLst>
            <c:ext xmlns:c16="http://schemas.microsoft.com/office/drawing/2014/chart" uri="{C3380CC4-5D6E-409C-BE32-E72D297353CC}">
              <c16:uniqueId val="{00000000-C426-4A00-A242-DA0A54A79D90}"/>
            </c:ext>
          </c:extLst>
        </c:ser>
        <c:dLbls>
          <c:showLegendKey val="0"/>
          <c:showVal val="0"/>
          <c:showCatName val="0"/>
          <c:showSerName val="0"/>
          <c:showPercent val="0"/>
          <c:showBubbleSize val="0"/>
        </c:dLbls>
        <c:axId val="2124795144"/>
        <c:axId val="-2137472456"/>
      </c:scatterChart>
      <c:valAx>
        <c:axId val="2124795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Leave biomass (Mg C ha</a:t>
                </a:r>
                <a:r>
                  <a:rPr lang="en-US" altLang="zh-TW" sz="1000" b="0" i="0" baseline="30000">
                    <a:effectLst/>
                  </a:rPr>
                  <a:t>-1</a:t>
                </a:r>
                <a:r>
                  <a:rPr lang="en-US" altLang="zh-TW" sz="1000" b="0" i="0" baseline="0">
                    <a:effectLst/>
                  </a:rPr>
                  <a:t>)</a:t>
                </a:r>
                <a:endParaRPr lang="zh-TW" altLang="zh-TW" sz="1000">
                  <a:effectLst/>
                </a:endParaRPr>
              </a:p>
            </c:rich>
          </c:tx>
          <c:layout>
            <c:manualLayout>
              <c:xMode val="edge"/>
              <c:yMode val="edge"/>
              <c:x val="0.26448029621793179"/>
              <c:y val="0.88772129150200074"/>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ANPP (Mg C ha</a:t>
                </a:r>
                <a:r>
                  <a:rPr lang="en-GB" altLang="zh-TW" sz="1000" b="0" i="0" u="none" strike="noStrike" baseline="30000">
                    <a:effectLst/>
                  </a:rPr>
                  <a:t>-1 </a:t>
                </a:r>
                <a:r>
                  <a:rPr lang="en-GB" altLang="zh-TW" sz="1000" b="0" i="0" u="none" strike="noStrike" baseline="0">
                    <a:effectLst/>
                  </a:rPr>
                  <a:t>yr</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variable'!$AZ$2</c:f>
              <c:strCache>
                <c:ptCount val="1"/>
                <c:pt idx="0">
                  <c:v>Leaf area index (Fisheye lens)</c:v>
                </c:pt>
              </c:strCache>
            </c:strRef>
          </c:tx>
          <c:spPr>
            <a:ln w="25400" cap="rnd">
              <a:noFill/>
              <a:round/>
            </a:ln>
            <a:effectLst/>
          </c:spPr>
          <c:marker>
            <c:symbol val="circle"/>
            <c:size val="5"/>
            <c:spPr>
              <a:solidFill>
                <a:schemeClr val="tx1"/>
              </a:solidFill>
              <a:ln w="9525">
                <a:noFill/>
              </a:ln>
              <a:effectLst/>
            </c:spPr>
          </c:marker>
          <c:trendline>
            <c:spPr>
              <a:ln w="19050" cap="rnd">
                <a:solidFill>
                  <a:sysClr val="windowText" lastClr="000000"/>
                </a:solidFill>
                <a:prstDash val="sysDot"/>
              </a:ln>
              <a:effectLst/>
            </c:spPr>
            <c:trendlineType val="linear"/>
            <c:dispRSqr val="1"/>
            <c:dispEq val="1"/>
            <c:trendlineLbl>
              <c:layout>
                <c:manualLayout>
                  <c:x val="4.9269829001542871E-2"/>
                  <c:y val="-0.373723826496997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variable'!$AZ$4:$AZ$84</c:f>
              <c:numCache>
                <c:formatCode>0.00_);[Red]\(0.00\)</c:formatCode>
                <c:ptCount val="81"/>
                <c:pt idx="36">
                  <c:v>6.9</c:v>
                </c:pt>
                <c:pt idx="53">
                  <c:v>11.9</c:v>
                </c:pt>
                <c:pt idx="65">
                  <c:v>6.1</c:v>
                </c:pt>
                <c:pt idx="66">
                  <c:v>5.4</c:v>
                </c:pt>
                <c:pt idx="67">
                  <c:v>4.9000000000000004</c:v>
                </c:pt>
              </c:numCache>
            </c:numRef>
          </c:xVal>
          <c:yVal>
            <c:numRef>
              <c:f>'Rawdata for dummy variable'!$CC$4:$CC$84</c:f>
              <c:numCache>
                <c:formatCode>0.00_);[Red]\(0.00\)</c:formatCode>
                <c:ptCount val="81"/>
                <c:pt idx="2">
                  <c:v>8.9622499999999992</c:v>
                </c:pt>
                <c:pt idx="5">
                  <c:v>23.355025000000001</c:v>
                </c:pt>
                <c:pt idx="11">
                  <c:v>9.3999999999999986</c:v>
                </c:pt>
                <c:pt idx="22">
                  <c:v>4.17</c:v>
                </c:pt>
                <c:pt idx="23">
                  <c:v>5.08</c:v>
                </c:pt>
                <c:pt idx="24">
                  <c:v>5.46</c:v>
                </c:pt>
                <c:pt idx="25">
                  <c:v>5.76</c:v>
                </c:pt>
                <c:pt idx="26">
                  <c:v>5.5383499999999994</c:v>
                </c:pt>
                <c:pt idx="27">
                  <c:v>2.8555625</c:v>
                </c:pt>
                <c:pt idx="39">
                  <c:v>5.8574999999999999</c:v>
                </c:pt>
                <c:pt idx="40">
                  <c:v>6.07</c:v>
                </c:pt>
                <c:pt idx="41">
                  <c:v>0.54666666666666663</c:v>
                </c:pt>
                <c:pt idx="44">
                  <c:v>8.0299999999999994</c:v>
                </c:pt>
                <c:pt idx="48">
                  <c:v>25.5</c:v>
                </c:pt>
                <c:pt idx="49">
                  <c:v>7.8599999999999994</c:v>
                </c:pt>
                <c:pt idx="50">
                  <c:v>9.11</c:v>
                </c:pt>
                <c:pt idx="54">
                  <c:v>11.8</c:v>
                </c:pt>
                <c:pt idx="57">
                  <c:v>1.2500000000000142</c:v>
                </c:pt>
                <c:pt idx="58">
                  <c:v>2.125</c:v>
                </c:pt>
                <c:pt idx="60">
                  <c:v>9.370000000000001</c:v>
                </c:pt>
                <c:pt idx="63">
                  <c:v>4.0854999999999997</c:v>
                </c:pt>
                <c:pt idx="65">
                  <c:v>4.1500000000000004</c:v>
                </c:pt>
                <c:pt idx="66">
                  <c:v>5.6</c:v>
                </c:pt>
                <c:pt idx="67">
                  <c:v>3.75</c:v>
                </c:pt>
                <c:pt idx="69">
                  <c:v>4</c:v>
                </c:pt>
                <c:pt idx="70">
                  <c:v>2.9</c:v>
                </c:pt>
                <c:pt idx="71">
                  <c:v>4</c:v>
                </c:pt>
                <c:pt idx="72">
                  <c:v>4.0999999999999996</c:v>
                </c:pt>
                <c:pt idx="75">
                  <c:v>4.6500000000000004</c:v>
                </c:pt>
                <c:pt idx="76">
                  <c:v>3.45</c:v>
                </c:pt>
                <c:pt idx="78">
                  <c:v>2.2166666666666672</c:v>
                </c:pt>
                <c:pt idx="79">
                  <c:v>7.1099999999999994</c:v>
                </c:pt>
                <c:pt idx="80">
                  <c:v>7.76</c:v>
                </c:pt>
              </c:numCache>
            </c:numRef>
          </c:yVal>
          <c:smooth val="0"/>
          <c:extLst>
            <c:ext xmlns:c16="http://schemas.microsoft.com/office/drawing/2014/chart" uri="{C3380CC4-5D6E-409C-BE32-E72D297353CC}">
              <c16:uniqueId val="{00000000-2665-4316-9810-17771352F306}"/>
            </c:ext>
          </c:extLst>
        </c:ser>
        <c:dLbls>
          <c:showLegendKey val="0"/>
          <c:showVal val="0"/>
          <c:showCatName val="0"/>
          <c:showSerName val="0"/>
          <c:showPercent val="0"/>
          <c:showBubbleSize val="0"/>
        </c:dLbls>
        <c:axId val="2124795144"/>
        <c:axId val="-2137472456"/>
      </c:scatterChart>
      <c:valAx>
        <c:axId val="2124795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LAI</a:t>
                </a:r>
                <a:endParaRPr lang="zh-TW" altLang="zh-TW" sz="1000">
                  <a:effectLst/>
                </a:endParaRPr>
              </a:p>
            </c:rich>
          </c:tx>
          <c:layout>
            <c:manualLayout>
              <c:xMode val="edge"/>
              <c:yMode val="edge"/>
              <c:x val="0.45345671358009382"/>
              <c:y val="0.88772132292647377"/>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ANPP (Mg C ha</a:t>
                </a:r>
                <a:r>
                  <a:rPr lang="en-GB" altLang="zh-TW" sz="1000" b="0" i="0" u="none" strike="noStrike" baseline="30000">
                    <a:effectLst/>
                  </a:rPr>
                  <a:t>-1 </a:t>
                </a:r>
                <a:r>
                  <a:rPr lang="en-GB" altLang="zh-TW" sz="1000" b="0" i="0" u="none" strike="noStrike" baseline="0">
                    <a:effectLst/>
                  </a:rPr>
                  <a:t>yr</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variable'!$X$2</c:f>
              <c:strCache>
                <c:ptCount val="1"/>
                <c:pt idx="0">
                  <c:v>Total N (soil)</c:v>
                </c:pt>
              </c:strCache>
            </c:strRef>
          </c:tx>
          <c:spPr>
            <a:ln w="25400" cap="rnd">
              <a:noFill/>
              <a:round/>
            </a:ln>
            <a:effectLst/>
          </c:spPr>
          <c:marker>
            <c:symbol val="circle"/>
            <c:size val="5"/>
            <c:spPr>
              <a:solidFill>
                <a:schemeClr val="tx1"/>
              </a:solidFill>
              <a:ln w="9525">
                <a:noFill/>
              </a:ln>
              <a:effectLst/>
            </c:spPr>
          </c:marker>
          <c:trendline>
            <c:spPr>
              <a:ln w="19050" cap="rnd">
                <a:solidFill>
                  <a:sysClr val="windowText" lastClr="000000"/>
                </a:solidFill>
                <a:prstDash val="sysDot"/>
              </a:ln>
              <a:effectLst/>
            </c:spPr>
            <c:trendlineType val="linear"/>
            <c:dispRSqr val="1"/>
            <c:dispEq val="1"/>
            <c:trendlineLbl>
              <c:layout>
                <c:manualLayout>
                  <c:x val="4.9269829001542871E-2"/>
                  <c:y val="-0.373723826496997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variable'!$X$4:$X$84</c:f>
              <c:numCache>
                <c:formatCode>0.00_);[Red]\(0.00\)</c:formatCode>
                <c:ptCount val="81"/>
                <c:pt idx="8">
                  <c:v>2.0299999999999998</c:v>
                </c:pt>
                <c:pt idx="9">
                  <c:v>1.1200000000000001</c:v>
                </c:pt>
                <c:pt idx="10">
                  <c:v>1.33</c:v>
                </c:pt>
                <c:pt idx="11">
                  <c:v>1.33</c:v>
                </c:pt>
                <c:pt idx="61">
                  <c:v>0.97</c:v>
                </c:pt>
                <c:pt idx="62">
                  <c:v>0.97</c:v>
                </c:pt>
                <c:pt idx="63">
                  <c:v>0.34200000000000003</c:v>
                </c:pt>
                <c:pt idx="64">
                  <c:v>0.62000000000000011</c:v>
                </c:pt>
                <c:pt idx="69">
                  <c:v>0.47500000000000003</c:v>
                </c:pt>
              </c:numCache>
            </c:numRef>
          </c:xVal>
          <c:yVal>
            <c:numRef>
              <c:f>'Rawdata for dummy variable'!$CC$4:$CC$84</c:f>
              <c:numCache>
                <c:formatCode>0.00_);[Red]\(0.00\)</c:formatCode>
                <c:ptCount val="81"/>
                <c:pt idx="2">
                  <c:v>8.9622499999999992</c:v>
                </c:pt>
                <c:pt idx="5">
                  <c:v>23.355025000000001</c:v>
                </c:pt>
                <c:pt idx="11">
                  <c:v>9.3999999999999986</c:v>
                </c:pt>
                <c:pt idx="22">
                  <c:v>4.17</c:v>
                </c:pt>
                <c:pt idx="23">
                  <c:v>5.08</c:v>
                </c:pt>
                <c:pt idx="24">
                  <c:v>5.46</c:v>
                </c:pt>
                <c:pt idx="25">
                  <c:v>5.76</c:v>
                </c:pt>
                <c:pt idx="26">
                  <c:v>5.5383499999999994</c:v>
                </c:pt>
                <c:pt idx="27">
                  <c:v>2.8555625</c:v>
                </c:pt>
                <c:pt idx="39">
                  <c:v>5.8574999999999999</c:v>
                </c:pt>
                <c:pt idx="40">
                  <c:v>6.07</c:v>
                </c:pt>
                <c:pt idx="41">
                  <c:v>0.54666666666666663</c:v>
                </c:pt>
                <c:pt idx="44">
                  <c:v>8.0299999999999994</c:v>
                </c:pt>
                <c:pt idx="48">
                  <c:v>25.5</c:v>
                </c:pt>
                <c:pt idx="49">
                  <c:v>7.8599999999999994</c:v>
                </c:pt>
                <c:pt idx="50">
                  <c:v>9.11</c:v>
                </c:pt>
                <c:pt idx="54">
                  <c:v>11.8</c:v>
                </c:pt>
                <c:pt idx="57">
                  <c:v>1.2500000000000142</c:v>
                </c:pt>
                <c:pt idx="58">
                  <c:v>2.125</c:v>
                </c:pt>
                <c:pt idx="60">
                  <c:v>9.370000000000001</c:v>
                </c:pt>
                <c:pt idx="63">
                  <c:v>4.0854999999999997</c:v>
                </c:pt>
                <c:pt idx="65">
                  <c:v>4.1500000000000004</c:v>
                </c:pt>
                <c:pt idx="66">
                  <c:v>5.6</c:v>
                </c:pt>
                <c:pt idx="67">
                  <c:v>3.75</c:v>
                </c:pt>
                <c:pt idx="69">
                  <c:v>4</c:v>
                </c:pt>
                <c:pt idx="70">
                  <c:v>2.9</c:v>
                </c:pt>
                <c:pt idx="71">
                  <c:v>4</c:v>
                </c:pt>
                <c:pt idx="72">
                  <c:v>4.0999999999999996</c:v>
                </c:pt>
                <c:pt idx="75">
                  <c:v>4.6500000000000004</c:v>
                </c:pt>
                <c:pt idx="76">
                  <c:v>3.45</c:v>
                </c:pt>
                <c:pt idx="78">
                  <c:v>2.2166666666666672</c:v>
                </c:pt>
                <c:pt idx="79">
                  <c:v>7.1099999999999994</c:v>
                </c:pt>
                <c:pt idx="80">
                  <c:v>7.76</c:v>
                </c:pt>
              </c:numCache>
            </c:numRef>
          </c:yVal>
          <c:smooth val="0"/>
          <c:extLst>
            <c:ext xmlns:c16="http://schemas.microsoft.com/office/drawing/2014/chart" uri="{C3380CC4-5D6E-409C-BE32-E72D297353CC}">
              <c16:uniqueId val="{00000000-E3C5-4CDD-9443-84A06AAC3390}"/>
            </c:ext>
          </c:extLst>
        </c:ser>
        <c:dLbls>
          <c:showLegendKey val="0"/>
          <c:showVal val="0"/>
          <c:showCatName val="0"/>
          <c:showSerName val="0"/>
          <c:showPercent val="0"/>
          <c:showBubbleSize val="0"/>
        </c:dLbls>
        <c:axId val="2124795144"/>
        <c:axId val="-2137472456"/>
      </c:scatterChart>
      <c:valAx>
        <c:axId val="2124795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Total N in Soil (g kg</a:t>
                </a:r>
                <a:r>
                  <a:rPr lang="en-US" altLang="zh-TW" sz="1000" b="0" i="0" baseline="30000">
                    <a:effectLst/>
                  </a:rPr>
                  <a:t>-1</a:t>
                </a:r>
                <a:r>
                  <a:rPr lang="en-US" altLang="zh-TW" sz="1000" b="0" i="0" baseline="0">
                    <a:effectLst/>
                  </a:rPr>
                  <a:t>)</a:t>
                </a:r>
                <a:endParaRPr lang="zh-TW" altLang="zh-TW" sz="1000">
                  <a:effectLst/>
                </a:endParaRPr>
              </a:p>
            </c:rich>
          </c:tx>
          <c:layout>
            <c:manualLayout>
              <c:xMode val="edge"/>
              <c:yMode val="edge"/>
              <c:x val="0.32303480870865298"/>
              <c:y val="0.89224171223571125"/>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ANPP (Mg C ha</a:t>
                </a:r>
                <a:r>
                  <a:rPr lang="en-GB" altLang="zh-TW" sz="1000" b="0" i="0" u="none" strike="noStrike" baseline="30000">
                    <a:effectLst/>
                  </a:rPr>
                  <a:t>-1 </a:t>
                </a:r>
                <a:r>
                  <a:rPr lang="en-GB" altLang="zh-TW" sz="1000" b="0" i="0" u="none" strike="noStrike" baseline="0">
                    <a:effectLst/>
                  </a:rPr>
                  <a:t>yr</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BA_AGB!$L$1</c:f>
              <c:strCache>
                <c:ptCount val="1"/>
                <c:pt idx="0">
                  <c:v>AGC standardised</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4308295475760781"/>
                  <c:y val="-5.5595783418290277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BA_AGB!$K$3:$K$75</c:f>
              <c:numCache>
                <c:formatCode>General</c:formatCode>
                <c:ptCount val="73"/>
                <c:pt idx="4">
                  <c:v>5.4056905657116891E-2</c:v>
                </c:pt>
                <c:pt idx="5">
                  <c:v>4.8504179567501512E-2</c:v>
                </c:pt>
                <c:pt idx="6">
                  <c:v>0.12018501762560226</c:v>
                </c:pt>
                <c:pt idx="7">
                  <c:v>-0.12969511753229451</c:v>
                </c:pt>
                <c:pt idx="12">
                  <c:v>-0.11617640250836149</c:v>
                </c:pt>
                <c:pt idx="17">
                  <c:v>3.4827187944706905E-2</c:v>
                </c:pt>
                <c:pt idx="18">
                  <c:v>-0.13719787538309269</c:v>
                </c:pt>
                <c:pt idx="19">
                  <c:v>-2.8393541784077709E-3</c:v>
                </c:pt>
                <c:pt idx="20">
                  <c:v>-0.10338374580897154</c:v>
                </c:pt>
                <c:pt idx="21">
                  <c:v>-0.10432766981388265</c:v>
                </c:pt>
                <c:pt idx="24">
                  <c:v>0.9788377923009226</c:v>
                </c:pt>
                <c:pt idx="25">
                  <c:v>0.26048299860522234</c:v>
                </c:pt>
                <c:pt idx="26">
                  <c:v>0.86648210049226815</c:v>
                </c:pt>
                <c:pt idx="27">
                  <c:v>0.74778485377692727</c:v>
                </c:pt>
                <c:pt idx="28">
                  <c:v>0.68054257115493633</c:v>
                </c:pt>
                <c:pt idx="32">
                  <c:v>0.59941329538275134</c:v>
                </c:pt>
                <c:pt idx="33">
                  <c:v>0.97421242874564651</c:v>
                </c:pt>
                <c:pt idx="34">
                  <c:v>-0.20726395442325091</c:v>
                </c:pt>
                <c:pt idx="35">
                  <c:v>0.21188922960109952</c:v>
                </c:pt>
                <c:pt idx="36">
                  <c:v>-0.21850317299604666</c:v>
                </c:pt>
                <c:pt idx="37">
                  <c:v>0.43496206070940352</c:v>
                </c:pt>
                <c:pt idx="38">
                  <c:v>-0.33709597138380265</c:v>
                </c:pt>
                <c:pt idx="39">
                  <c:v>1.6850693691823238</c:v>
                </c:pt>
                <c:pt idx="40">
                  <c:v>1.6319500433425738</c:v>
                </c:pt>
                <c:pt idx="41">
                  <c:v>1.6765973476314466</c:v>
                </c:pt>
                <c:pt idx="42">
                  <c:v>1.7053587761538955</c:v>
                </c:pt>
                <c:pt idx="43">
                  <c:v>1.353696291751173</c:v>
                </c:pt>
                <c:pt idx="44">
                  <c:v>-0.2744256195138719</c:v>
                </c:pt>
                <c:pt idx="45">
                  <c:v>-0.16082432680269149</c:v>
                </c:pt>
                <c:pt idx="46">
                  <c:v>0.45231156840049452</c:v>
                </c:pt>
                <c:pt idx="49">
                  <c:v>1.1695109089170237</c:v>
                </c:pt>
                <c:pt idx="50">
                  <c:v>0.4196132788065578</c:v>
                </c:pt>
                <c:pt idx="51">
                  <c:v>0.85011006646256582</c:v>
                </c:pt>
                <c:pt idx="52">
                  <c:v>1.272497577716698E-2</c:v>
                </c:pt>
                <c:pt idx="53">
                  <c:v>1.5473901708456888</c:v>
                </c:pt>
                <c:pt idx="54">
                  <c:v>1.0511060199522133</c:v>
                </c:pt>
                <c:pt idx="55">
                  <c:v>1.3076499460426358</c:v>
                </c:pt>
                <c:pt idx="56">
                  <c:v>0.14516080057908656</c:v>
                </c:pt>
                <c:pt idx="57">
                  <c:v>-0.16639283190204027</c:v>
                </c:pt>
                <c:pt idx="58">
                  <c:v>0.3055937560997033</c:v>
                </c:pt>
                <c:pt idx="59">
                  <c:v>1.0321081424717407</c:v>
                </c:pt>
                <c:pt idx="60">
                  <c:v>5.337354752862692E-2</c:v>
                </c:pt>
                <c:pt idx="61">
                  <c:v>0.22773281918328855</c:v>
                </c:pt>
                <c:pt idx="62">
                  <c:v>-6.848044711910653E-2</c:v>
                </c:pt>
                <c:pt idx="63">
                  <c:v>0.3280795370629398</c:v>
                </c:pt>
                <c:pt idx="64">
                  <c:v>4.9271866062607368E-2</c:v>
                </c:pt>
                <c:pt idx="65">
                  <c:v>0.10497301896507276</c:v>
                </c:pt>
                <c:pt idx="66">
                  <c:v>-0.36155626937319557</c:v>
                </c:pt>
                <c:pt idx="67">
                  <c:v>5.4976953236930415E-2</c:v>
                </c:pt>
                <c:pt idx="68">
                  <c:v>0.33577137317287642</c:v>
                </c:pt>
                <c:pt idx="69">
                  <c:v>0.39147211069775384</c:v>
                </c:pt>
                <c:pt idx="70">
                  <c:v>0.12238684604520111</c:v>
                </c:pt>
                <c:pt idx="71">
                  <c:v>0.23513751020874804</c:v>
                </c:pt>
                <c:pt idx="72">
                  <c:v>0.14663775033271378</c:v>
                </c:pt>
              </c:numCache>
            </c:numRef>
          </c:xVal>
          <c:yVal>
            <c:numRef>
              <c:f>BA_AGB!$L$3:$L$75</c:f>
              <c:numCache>
                <c:formatCode>General</c:formatCode>
                <c:ptCount val="73"/>
                <c:pt idx="0">
                  <c:v>0.16669183018410974</c:v>
                </c:pt>
                <c:pt idx="1">
                  <c:v>0.23994191950991864</c:v>
                </c:pt>
                <c:pt idx="2">
                  <c:v>0.17789736252407323</c:v>
                </c:pt>
                <c:pt idx="3">
                  <c:v>0.34742846362931201</c:v>
                </c:pt>
                <c:pt idx="4">
                  <c:v>0.1899343592570262</c:v>
                </c:pt>
                <c:pt idx="5">
                  <c:v>0.53598278606515193</c:v>
                </c:pt>
                <c:pt idx="6">
                  <c:v>0.28697309372878166</c:v>
                </c:pt>
                <c:pt idx="7">
                  <c:v>-6.3807626565406103E-2</c:v>
                </c:pt>
                <c:pt idx="8">
                  <c:v>-0.15916633272639166</c:v>
                </c:pt>
                <c:pt idx="9">
                  <c:v>-0.22165440863651784</c:v>
                </c:pt>
                <c:pt idx="10">
                  <c:v>-0.28189817191775279</c:v>
                </c:pt>
                <c:pt idx="12">
                  <c:v>-0.12220201681358109</c:v>
                </c:pt>
                <c:pt idx="13">
                  <c:v>0.54297221682369867</c:v>
                </c:pt>
                <c:pt idx="14">
                  <c:v>0.44443620521238297</c:v>
                </c:pt>
                <c:pt idx="15">
                  <c:v>-0.10873342179430934</c:v>
                </c:pt>
                <c:pt idx="16">
                  <c:v>0.10436940592040168</c:v>
                </c:pt>
                <c:pt idx="17">
                  <c:v>-8.0348210640333789E-2</c:v>
                </c:pt>
                <c:pt idx="18">
                  <c:v>-0.18333009869745295</c:v>
                </c:pt>
                <c:pt idx="19">
                  <c:v>-5.8289823659232312E-2</c:v>
                </c:pt>
                <c:pt idx="20">
                  <c:v>-0.14357370355709556</c:v>
                </c:pt>
                <c:pt idx="21">
                  <c:v>-0.15225171238880802</c:v>
                </c:pt>
                <c:pt idx="22">
                  <c:v>0.65512372505028738</c:v>
                </c:pt>
                <c:pt idx="23">
                  <c:v>-1.9933452111183282E-2</c:v>
                </c:pt>
                <c:pt idx="24">
                  <c:v>0.81660308741930454</c:v>
                </c:pt>
                <c:pt idx="25">
                  <c:v>-4.2259019167152745E-2</c:v>
                </c:pt>
                <c:pt idx="29">
                  <c:v>0.27087602857813475</c:v>
                </c:pt>
                <c:pt idx="30">
                  <c:v>0.53420871036802842</c:v>
                </c:pt>
                <c:pt idx="31">
                  <c:v>1.2765418303812597</c:v>
                </c:pt>
                <c:pt idx="32">
                  <c:v>0.42904663289998646</c:v>
                </c:pt>
                <c:pt idx="33">
                  <c:v>1.2740481496824916</c:v>
                </c:pt>
                <c:pt idx="34">
                  <c:v>-0.10424479653652703</c:v>
                </c:pt>
                <c:pt idx="35">
                  <c:v>0.26125754588288713</c:v>
                </c:pt>
                <c:pt idx="36">
                  <c:v>-0.14913104911434985</c:v>
                </c:pt>
                <c:pt idx="37">
                  <c:v>0.35167128321821595</c:v>
                </c:pt>
                <c:pt idx="38">
                  <c:v>-0.33818767009094158</c:v>
                </c:pt>
                <c:pt idx="39">
                  <c:v>1.7339541185552636</c:v>
                </c:pt>
                <c:pt idx="40">
                  <c:v>1.7350228388547351</c:v>
                </c:pt>
                <c:pt idx="41">
                  <c:v>1.7617408463415347</c:v>
                </c:pt>
                <c:pt idx="42">
                  <c:v>1.8071614590690934</c:v>
                </c:pt>
                <c:pt idx="43">
                  <c:v>1.2273806966055492</c:v>
                </c:pt>
                <c:pt idx="44">
                  <c:v>-0.25162132583371194</c:v>
                </c:pt>
                <c:pt idx="45">
                  <c:v>-0.12102370523823706</c:v>
                </c:pt>
                <c:pt idx="46">
                  <c:v>0.55793430101630614</c:v>
                </c:pt>
                <c:pt idx="47">
                  <c:v>1.2124186124129415</c:v>
                </c:pt>
                <c:pt idx="48">
                  <c:v>1.3855513009274008</c:v>
                </c:pt>
                <c:pt idx="49">
                  <c:v>0.83745809534320037</c:v>
                </c:pt>
                <c:pt idx="50">
                  <c:v>0.29780778012482839</c:v>
                </c:pt>
                <c:pt idx="51">
                  <c:v>0.59248959069923324</c:v>
                </c:pt>
                <c:pt idx="52">
                  <c:v>0.75158641928062753</c:v>
                </c:pt>
                <c:pt idx="53">
                  <c:v>1.3898261821252886</c:v>
                </c:pt>
                <c:pt idx="54">
                  <c:v>1.3967728640718564</c:v>
                </c:pt>
                <c:pt idx="55">
                  <c:v>1.7783060109833499</c:v>
                </c:pt>
                <c:pt idx="56">
                  <c:v>0.15705731668436992</c:v>
                </c:pt>
                <c:pt idx="57">
                  <c:v>3.0093345107099736E-2</c:v>
                </c:pt>
                <c:pt idx="58">
                  <c:v>0.17960731500322852</c:v>
                </c:pt>
                <c:pt idx="59">
                  <c:v>1.1468774163512836</c:v>
                </c:pt>
                <c:pt idx="60">
                  <c:v>0.20247792941192871</c:v>
                </c:pt>
                <c:pt idx="61">
                  <c:v>0.39484758331688352</c:v>
                </c:pt>
                <c:pt idx="62">
                  <c:v>-0.12455048222649455</c:v>
                </c:pt>
                <c:pt idx="63">
                  <c:v>0.26018568354573451</c:v>
                </c:pt>
                <c:pt idx="64">
                  <c:v>-2.6162595248685576E-2</c:v>
                </c:pt>
                <c:pt idx="65">
                  <c:v>4.3238604790604943E-2</c:v>
                </c:pt>
                <c:pt idx="66">
                  <c:v>-0.41631112398234266</c:v>
                </c:pt>
                <c:pt idx="67">
                  <c:v>1.9726758202221552E-2</c:v>
                </c:pt>
                <c:pt idx="68">
                  <c:v>0.35037879426244029</c:v>
                </c:pt>
                <c:pt idx="69">
                  <c:v>0.20779855342284992</c:v>
                </c:pt>
                <c:pt idx="70">
                  <c:v>0.19820304821404075</c:v>
                </c:pt>
                <c:pt idx="71">
                  <c:v>0.30934995935912579</c:v>
                </c:pt>
                <c:pt idx="72">
                  <c:v>0.31127365589817529</c:v>
                </c:pt>
              </c:numCache>
            </c:numRef>
          </c:yVal>
          <c:smooth val="0"/>
          <c:extLst>
            <c:ext xmlns:c16="http://schemas.microsoft.com/office/drawing/2014/chart" uri="{C3380CC4-5D6E-409C-BE32-E72D297353CC}">
              <c16:uniqueId val="{00000000-63BE-4FC3-A6CE-AD4CE68D3B29}"/>
            </c:ext>
          </c:extLst>
        </c:ser>
        <c:dLbls>
          <c:showLegendKey val="0"/>
          <c:showVal val="0"/>
          <c:showCatName val="0"/>
          <c:showSerName val="0"/>
          <c:showPercent val="0"/>
          <c:showBubbleSize val="0"/>
        </c:dLbls>
        <c:axId val="1787111791"/>
        <c:axId val="1787110127"/>
      </c:scatterChart>
      <c:valAx>
        <c:axId val="1787111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10127"/>
        <c:crosses val="autoZero"/>
        <c:crossBetween val="midCat"/>
      </c:valAx>
      <c:valAx>
        <c:axId val="178711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11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'Rawdata for dummy variable'!$AX$2</c:f>
              <c:strCache>
                <c:ptCount val="1"/>
                <c:pt idx="0">
                  <c:v>Basal area (b.a.)</c:v>
                </c:pt>
              </c:strCache>
            </c:strRef>
          </c:tx>
          <c:spPr>
            <a:ln w="25400" cap="rnd">
              <a:noFill/>
              <a:round/>
            </a:ln>
            <a:effectLst/>
          </c:spPr>
          <c:marker>
            <c:symbol val="circle"/>
            <c:size val="5"/>
            <c:spPr>
              <a:solidFill>
                <a:schemeClr val="tx1"/>
              </a:solidFill>
              <a:ln w="9525">
                <a:noFill/>
              </a:ln>
              <a:effectLst/>
            </c:spPr>
          </c:marker>
          <c:trendline>
            <c:spPr>
              <a:ln w="19050" cap="rnd">
                <a:solidFill>
                  <a:schemeClr val="tx1"/>
                </a:solidFill>
                <a:prstDash val="sysDot"/>
              </a:ln>
              <a:effectLst/>
            </c:spPr>
            <c:trendlineType val="linear"/>
            <c:intercept val="1"/>
            <c:dispRSqr val="1"/>
            <c:dispEq val="1"/>
            <c:trendlineLbl>
              <c:layout>
                <c:manualLayout>
                  <c:x val="-0.14389102417606769"/>
                  <c:y val="-1.8518518518518517E-2"/>
                </c:manualLayout>
              </c:layout>
              <c:numFmt formatCode="General" sourceLinked="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variable'!$AX$4:$AX$84</c:f>
              <c:numCache>
                <c:formatCode>0.00_);[Red]\(0.00\)</c:formatCode>
                <c:ptCount val="81"/>
                <c:pt idx="4">
                  <c:v>29.028353818281531</c:v>
                </c:pt>
                <c:pt idx="5">
                  <c:v>28.775114943214181</c:v>
                </c:pt>
                <c:pt idx="6">
                  <c:v>32.044207367504043</c:v>
                </c:pt>
                <c:pt idx="7">
                  <c:v>20.648117715718918</c:v>
                </c:pt>
                <c:pt idx="12">
                  <c:v>21.264655273985909</c:v>
                </c:pt>
                <c:pt idx="17">
                  <c:v>28.151358986776938</c:v>
                </c:pt>
                <c:pt idx="18">
                  <c:v>20.305945253512977</c:v>
                </c:pt>
                <c:pt idx="19">
                  <c:v>26.433530194037907</c:v>
                </c:pt>
                <c:pt idx="20">
                  <c:v>21.848080052984994</c:v>
                </c:pt>
                <c:pt idx="21">
                  <c:v>21.805031242491747</c:v>
                </c:pt>
                <c:pt idx="28">
                  <c:v>14.047505886820614</c:v>
                </c:pt>
                <c:pt idx="29">
                  <c:v>47.191245550339858</c:v>
                </c:pt>
                <c:pt idx="30">
                  <c:v>19.228431995561689</c:v>
                </c:pt>
                <c:pt idx="31">
                  <c:v>70.993173583070003</c:v>
                </c:pt>
                <c:pt idx="32">
                  <c:v>11.189347722437693</c:v>
                </c:pt>
                <c:pt idx="33">
                  <c:v>17.110495892217592</c:v>
                </c:pt>
                <c:pt idx="34">
                  <c:v>36.226490286707303</c:v>
                </c:pt>
                <c:pt idx="35">
                  <c:v>16.597917561848696</c:v>
                </c:pt>
                <c:pt idx="36">
                  <c:v>97.133646619281379</c:v>
                </c:pt>
                <c:pt idx="39">
                  <c:v>79.900000000000006</c:v>
                </c:pt>
                <c:pt idx="40">
                  <c:v>45.7</c:v>
                </c:pt>
                <c:pt idx="41">
                  <c:v>65.333333333333329</c:v>
                </c:pt>
                <c:pt idx="42">
                  <c:v>74.5</c:v>
                </c:pt>
                <c:pt idx="43">
                  <c:v>86.2</c:v>
                </c:pt>
                <c:pt idx="45">
                  <c:v>60.666666666666664</c:v>
                </c:pt>
                <c:pt idx="46">
                  <c:v>27.143360527015815</c:v>
                </c:pt>
                <c:pt idx="47">
                  <c:v>69.7</c:v>
                </c:pt>
                <c:pt idx="48">
                  <c:v>38.442668646540483</c:v>
                </c:pt>
                <c:pt idx="51">
                  <c:v>66.08</c:v>
                </c:pt>
                <c:pt idx="52">
                  <c:v>57.6</c:v>
                </c:pt>
                <c:pt idx="53">
                  <c:v>53.9</c:v>
                </c:pt>
                <c:pt idx="54">
                  <c:v>71.204118953796325</c:v>
                </c:pt>
                <c:pt idx="55">
                  <c:v>103.41267510803563</c:v>
                </c:pt>
                <c:pt idx="56">
                  <c:v>100.99010318518286</c:v>
                </c:pt>
                <c:pt idx="57">
                  <c:v>103.02629818749874</c:v>
                </c:pt>
                <c:pt idx="58">
                  <c:v>104.33799836625894</c:v>
                </c:pt>
                <c:pt idx="59">
                  <c:v>88.3</c:v>
                </c:pt>
                <c:pt idx="60">
                  <c:v>46.4</c:v>
                </c:pt>
                <c:pt idx="61">
                  <c:v>33.183258542906927</c:v>
                </c:pt>
                <c:pt idx="62">
                  <c:v>18.974473499427123</c:v>
                </c:pt>
                <c:pt idx="63">
                  <c:v>40.5</c:v>
                </c:pt>
                <c:pt idx="64">
                  <c:v>73.633578526263037</c:v>
                </c:pt>
                <c:pt idx="65">
                  <c:v>28.99718843375976</c:v>
                </c:pt>
                <c:pt idx="66">
                  <c:v>36.94905659703295</c:v>
                </c:pt>
                <c:pt idx="67">
                  <c:v>23.439887744146176</c:v>
                </c:pt>
                <c:pt idx="68">
                  <c:v>41.525491584537221</c:v>
                </c:pt>
                <c:pt idx="69">
                  <c:v>28.810126226192569</c:v>
                </c:pt>
                <c:pt idx="70">
                  <c:v>31.350445534820999</c:v>
                </c:pt>
                <c:pt idx="71">
                  <c:v>10.073805870259802</c:v>
                </c:pt>
                <c:pt idx="72">
                  <c:v>29.070313715161038</c:v>
                </c:pt>
                <c:pt idx="73">
                  <c:v>41.876287192360493</c:v>
                </c:pt>
                <c:pt idx="74">
                  <c:v>44.41658755718521</c:v>
                </c:pt>
                <c:pt idx="75">
                  <c:v>32.144624449685232</c:v>
                </c:pt>
                <c:pt idx="76">
                  <c:v>37.286756601543445</c:v>
                </c:pt>
                <c:pt idx="77">
                  <c:v>17.871167365236797</c:v>
                </c:pt>
                <c:pt idx="78">
                  <c:v>31.044963348371233</c:v>
                </c:pt>
                <c:pt idx="79">
                  <c:v>21.912156369446688</c:v>
                </c:pt>
              </c:numCache>
            </c:numRef>
          </c:xVal>
          <c:yVal>
            <c:numRef>
              <c:f>'Rawdata for dummy variable'!$BN$4:$BN$84</c:f>
              <c:numCache>
                <c:formatCode>0.00_);[Red]\(0.00\)</c:formatCode>
                <c:ptCount val="81"/>
                <c:pt idx="0">
                  <c:v>35.275750000000002</c:v>
                </c:pt>
                <c:pt idx="1">
                  <c:v>38.702750000000002</c:v>
                </c:pt>
                <c:pt idx="2">
                  <c:v>35.799999999999997</c:v>
                </c:pt>
                <c:pt idx="3">
                  <c:v>43.731499999999997</c:v>
                </c:pt>
                <c:pt idx="4">
                  <c:v>36.363150000000005</c:v>
                </c:pt>
                <c:pt idx="5">
                  <c:v>52.552999999999997</c:v>
                </c:pt>
                <c:pt idx="6">
                  <c:v>40.903100000000002</c:v>
                </c:pt>
                <c:pt idx="7">
                  <c:v>24.491849999999999</c:v>
                </c:pt>
                <c:pt idx="8">
                  <c:v>20.0305</c:v>
                </c:pt>
                <c:pt idx="9">
                  <c:v>17.106999999999999</c:v>
                </c:pt>
                <c:pt idx="10">
                  <c:v>14.288500000000001</c:v>
                </c:pt>
                <c:pt idx="12">
                  <c:v>21.759872780280947</c:v>
                </c:pt>
                <c:pt idx="13">
                  <c:v>52.88</c:v>
                </c:pt>
                <c:pt idx="14">
                  <c:v>48.27</c:v>
                </c:pt>
                <c:pt idx="15">
                  <c:v>22.39</c:v>
                </c:pt>
                <c:pt idx="16">
                  <c:v>32.36</c:v>
                </c:pt>
                <c:pt idx="17">
                  <c:v>23.718</c:v>
                </c:pt>
                <c:pt idx="18">
                  <c:v>18.899999999999999</c:v>
                </c:pt>
                <c:pt idx="19">
                  <c:v>24.75</c:v>
                </c:pt>
                <c:pt idx="20">
                  <c:v>20.76</c:v>
                </c:pt>
                <c:pt idx="21">
                  <c:v>20.353999999999999</c:v>
                </c:pt>
                <c:pt idx="22">
                  <c:v>27</c:v>
                </c:pt>
                <c:pt idx="23">
                  <c:v>33</c:v>
                </c:pt>
                <c:pt idx="24">
                  <c:v>35.1</c:v>
                </c:pt>
                <c:pt idx="25">
                  <c:v>37.700000000000003</c:v>
                </c:pt>
                <c:pt idx="26">
                  <c:v>58.127000000000002</c:v>
                </c:pt>
                <c:pt idx="27">
                  <c:v>26.544499999999999</c:v>
                </c:pt>
                <c:pt idx="28">
                  <c:v>15.704999999999998</c:v>
                </c:pt>
                <c:pt idx="29">
                  <c:v>53.58</c:v>
                </c:pt>
                <c:pt idx="30">
                  <c:v>21.814999999999998</c:v>
                </c:pt>
                <c:pt idx="31">
                  <c:v>87.083333333333329</c:v>
                </c:pt>
                <c:pt idx="32">
                  <c:v>11.654999999999999</c:v>
                </c:pt>
                <c:pt idx="33">
                  <c:v>22.6</c:v>
                </c:pt>
                <c:pt idx="34">
                  <c:v>39.700000000000003</c:v>
                </c:pt>
                <c:pt idx="35">
                  <c:v>20.5</c:v>
                </c:pt>
                <c:pt idx="36">
                  <c:v>92.5</c:v>
                </c:pt>
                <c:pt idx="37">
                  <c:v>84.2</c:v>
                </c:pt>
                <c:pt idx="38">
                  <c:v>92.3</c:v>
                </c:pt>
                <c:pt idx="39">
                  <c:v>66.657499999999999</c:v>
                </c:pt>
                <c:pt idx="40">
                  <c:v>41.41</c:v>
                </c:pt>
                <c:pt idx="41">
                  <c:v>55.196666666666665</c:v>
                </c:pt>
                <c:pt idx="42">
                  <c:v>92.825000000000003</c:v>
                </c:pt>
                <c:pt idx="43">
                  <c:v>110.675</c:v>
                </c:pt>
                <c:pt idx="44">
                  <c:v>40.15</c:v>
                </c:pt>
                <c:pt idx="46">
                  <c:v>62.64</c:v>
                </c:pt>
                <c:pt idx="47">
                  <c:v>68.400000000000006</c:v>
                </c:pt>
                <c:pt idx="48">
                  <c:v>25.5</c:v>
                </c:pt>
                <c:pt idx="49">
                  <c:v>60.061999999999998</c:v>
                </c:pt>
                <c:pt idx="50">
                  <c:v>106.18</c:v>
                </c:pt>
                <c:pt idx="53" formatCode="General">
                  <c:v>47.55</c:v>
                </c:pt>
                <c:pt idx="54">
                  <c:v>65.68180000000001</c:v>
                </c:pt>
                <c:pt idx="55">
                  <c:v>108.60000000000001</c:v>
                </c:pt>
                <c:pt idx="56">
                  <c:v>108.64999999999999</c:v>
                </c:pt>
                <c:pt idx="57">
                  <c:v>109.9</c:v>
                </c:pt>
                <c:pt idx="58">
                  <c:v>112.02500000000001</c:v>
                </c:pt>
                <c:pt idx="59">
                  <c:v>84.9</c:v>
                </c:pt>
                <c:pt idx="60">
                  <c:v>43.930000000000007</c:v>
                </c:pt>
                <c:pt idx="61">
                  <c:v>34.825000000000003</c:v>
                </c:pt>
                <c:pt idx="62">
                  <c:v>28.885000000000002</c:v>
                </c:pt>
                <c:pt idx="63">
                  <c:v>35.880000000000003</c:v>
                </c:pt>
                <c:pt idx="64">
                  <c:v>81.133659999999992</c:v>
                </c:pt>
                <c:pt idx="65">
                  <c:v>36.950000000000003</c:v>
                </c:pt>
                <c:pt idx="66">
                  <c:v>45.95</c:v>
                </c:pt>
                <c:pt idx="67">
                  <c:v>21.65</c:v>
                </c:pt>
                <c:pt idx="68">
                  <c:v>39.649852999999993</c:v>
                </c:pt>
                <c:pt idx="69">
                  <c:v>26.253070000000001</c:v>
                </c:pt>
                <c:pt idx="70">
                  <c:v>29.5</c:v>
                </c:pt>
                <c:pt idx="71">
                  <c:v>8</c:v>
                </c:pt>
                <c:pt idx="72">
                  <c:v>28.4</c:v>
                </c:pt>
                <c:pt idx="73">
                  <c:v>43.869530999999995</c:v>
                </c:pt>
                <c:pt idx="74">
                  <c:v>37.198925000000003</c:v>
                </c:pt>
                <c:pt idx="75">
                  <c:v>36.75</c:v>
                </c:pt>
                <c:pt idx="76">
                  <c:v>41.95</c:v>
                </c:pt>
                <c:pt idx="77">
                  <c:v>38.4</c:v>
                </c:pt>
                <c:pt idx="78">
                  <c:v>60.4</c:v>
                </c:pt>
                <c:pt idx="79">
                  <c:v>27.259999999999998</c:v>
                </c:pt>
                <c:pt idx="80">
                  <c:v>42.04</c:v>
                </c:pt>
              </c:numCache>
            </c:numRef>
          </c:yVal>
          <c:smooth val="0"/>
          <c:extLst>
            <c:ext xmlns:c16="http://schemas.microsoft.com/office/drawing/2014/chart" uri="{C3380CC4-5D6E-409C-BE32-E72D297353CC}">
              <c16:uniqueId val="{00000000-4A17-485F-A9A5-AD4D6B0C603A}"/>
            </c:ext>
          </c:extLst>
        </c:ser>
        <c:dLbls>
          <c:showLegendKey val="0"/>
          <c:showVal val="0"/>
          <c:showCatName val="0"/>
          <c:showSerName val="0"/>
          <c:showPercent val="0"/>
          <c:showBubbleSize val="0"/>
        </c:dLbls>
        <c:axId val="2124795144"/>
        <c:axId val="-2137472456"/>
      </c:scatterChart>
      <c:valAx>
        <c:axId val="2124795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Basal area (b.a.) (m</a:t>
                </a:r>
                <a:r>
                  <a:rPr lang="en-US" altLang="zh-TW" sz="1000" b="0" i="0" baseline="30000">
                    <a:effectLst/>
                  </a:rPr>
                  <a:t>2</a:t>
                </a:r>
                <a:r>
                  <a:rPr lang="en-US" altLang="zh-TW" sz="1000" b="0" i="0" baseline="0">
                    <a:effectLst/>
                  </a:rPr>
                  <a:t>ha</a:t>
                </a:r>
                <a:r>
                  <a:rPr lang="en-US" altLang="zh-TW" sz="1000" b="0" i="0" baseline="30000">
                    <a:effectLst/>
                  </a:rPr>
                  <a:t>-1</a:t>
                </a:r>
                <a:r>
                  <a:rPr lang="en-US" altLang="zh-TW" sz="1000" b="0" i="0" baseline="0">
                    <a:effectLst/>
                  </a:rPr>
                  <a:t>)</a:t>
                </a:r>
                <a:endParaRPr lang="zh-TW" altLang="zh-TW" sz="1000">
                  <a:effectLst/>
                </a:endParaRPr>
              </a:p>
            </c:rich>
          </c:tx>
          <c:layout>
            <c:manualLayout>
              <c:xMode val="edge"/>
              <c:yMode val="edge"/>
              <c:x val="0.39489712566417001"/>
              <c:y val="0.87868037328667303"/>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AGC (Mg C ha</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variable'!$BS$2:$BS$3</c:f>
              <c:strCache>
                <c:ptCount val="2"/>
                <c:pt idx="0">
                  <c:v>BGC</c:v>
                </c:pt>
                <c:pt idx="1">
                  <c:v>Mg C ha-1</c:v>
                </c:pt>
              </c:strCache>
            </c:strRef>
          </c:tx>
          <c:spPr>
            <a:ln w="19050" cap="rnd">
              <a:noFill/>
              <a:round/>
            </a:ln>
            <a:effectLst/>
          </c:spPr>
          <c:marker>
            <c:symbol val="circle"/>
            <c:size val="5"/>
            <c:spPr>
              <a:solidFill>
                <a:sysClr val="windowText" lastClr="000000"/>
              </a:solidFill>
              <a:ln w="9525">
                <a:noFill/>
              </a:ln>
              <a:effectLst/>
            </c:spPr>
          </c:marker>
          <c:trendline>
            <c:spPr>
              <a:ln w="19050" cap="rnd">
                <a:solidFill>
                  <a:sysClr val="windowText" lastClr="000000"/>
                </a:solidFill>
                <a:prstDash val="sysDot"/>
              </a:ln>
              <a:effectLst/>
            </c:spPr>
            <c:trendlineType val="log"/>
            <c:dispRSqr val="1"/>
            <c:dispEq val="1"/>
            <c:trendlineLbl>
              <c:layout>
                <c:manualLayout>
                  <c:x val="0.11314321353395182"/>
                  <c:y val="-0.10400481189851271"/>
                </c:manualLayout>
              </c:layout>
              <c:numFmt formatCode="General" sourceLinked="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variable'!$AX$4:$AX$80</c:f>
              <c:numCache>
                <c:formatCode>0.00_);[Red]\(0.00\)</c:formatCode>
                <c:ptCount val="77"/>
                <c:pt idx="4">
                  <c:v>29.028353818281531</c:v>
                </c:pt>
                <c:pt idx="5">
                  <c:v>28.775114943214181</c:v>
                </c:pt>
                <c:pt idx="6">
                  <c:v>32.044207367504043</c:v>
                </c:pt>
                <c:pt idx="7">
                  <c:v>20.648117715718918</c:v>
                </c:pt>
                <c:pt idx="12">
                  <c:v>21.264655273985909</c:v>
                </c:pt>
                <c:pt idx="17">
                  <c:v>28.151358986776938</c:v>
                </c:pt>
                <c:pt idx="18">
                  <c:v>20.305945253512977</c:v>
                </c:pt>
                <c:pt idx="19">
                  <c:v>26.433530194037907</c:v>
                </c:pt>
                <c:pt idx="20">
                  <c:v>21.848080052984994</c:v>
                </c:pt>
                <c:pt idx="21">
                  <c:v>21.805031242491747</c:v>
                </c:pt>
                <c:pt idx="28">
                  <c:v>14.047505886820614</c:v>
                </c:pt>
                <c:pt idx="29">
                  <c:v>47.191245550339858</c:v>
                </c:pt>
                <c:pt idx="30">
                  <c:v>19.228431995561689</c:v>
                </c:pt>
                <c:pt idx="31">
                  <c:v>70.993173583070003</c:v>
                </c:pt>
                <c:pt idx="32">
                  <c:v>11.189347722437693</c:v>
                </c:pt>
                <c:pt idx="33">
                  <c:v>17.110495892217592</c:v>
                </c:pt>
                <c:pt idx="34">
                  <c:v>36.226490286707303</c:v>
                </c:pt>
                <c:pt idx="35">
                  <c:v>16.597917561848696</c:v>
                </c:pt>
                <c:pt idx="36">
                  <c:v>97.133646619281379</c:v>
                </c:pt>
                <c:pt idx="39">
                  <c:v>79.900000000000006</c:v>
                </c:pt>
                <c:pt idx="40">
                  <c:v>45.7</c:v>
                </c:pt>
                <c:pt idx="41">
                  <c:v>65.333333333333329</c:v>
                </c:pt>
                <c:pt idx="42">
                  <c:v>74.5</c:v>
                </c:pt>
                <c:pt idx="43">
                  <c:v>86.2</c:v>
                </c:pt>
                <c:pt idx="45">
                  <c:v>60.666666666666664</c:v>
                </c:pt>
                <c:pt idx="46">
                  <c:v>27.143360527015815</c:v>
                </c:pt>
                <c:pt idx="47">
                  <c:v>69.7</c:v>
                </c:pt>
                <c:pt idx="48">
                  <c:v>38.442668646540483</c:v>
                </c:pt>
                <c:pt idx="51">
                  <c:v>66.08</c:v>
                </c:pt>
                <c:pt idx="52">
                  <c:v>57.6</c:v>
                </c:pt>
                <c:pt idx="53">
                  <c:v>53.9</c:v>
                </c:pt>
                <c:pt idx="54">
                  <c:v>71.204118953796325</c:v>
                </c:pt>
                <c:pt idx="55">
                  <c:v>103.41267510803563</c:v>
                </c:pt>
                <c:pt idx="56">
                  <c:v>100.99010318518286</c:v>
                </c:pt>
                <c:pt idx="57">
                  <c:v>103.02629818749874</c:v>
                </c:pt>
                <c:pt idx="58">
                  <c:v>104.33799836625894</c:v>
                </c:pt>
                <c:pt idx="59">
                  <c:v>88.3</c:v>
                </c:pt>
                <c:pt idx="60">
                  <c:v>46.4</c:v>
                </c:pt>
                <c:pt idx="61">
                  <c:v>33.183258542906927</c:v>
                </c:pt>
                <c:pt idx="62">
                  <c:v>18.974473499427123</c:v>
                </c:pt>
                <c:pt idx="63">
                  <c:v>40.5</c:v>
                </c:pt>
                <c:pt idx="64">
                  <c:v>73.633578526263037</c:v>
                </c:pt>
                <c:pt idx="65">
                  <c:v>28.99718843375976</c:v>
                </c:pt>
                <c:pt idx="66">
                  <c:v>36.94905659703295</c:v>
                </c:pt>
                <c:pt idx="67">
                  <c:v>23.439887744146176</c:v>
                </c:pt>
                <c:pt idx="68">
                  <c:v>41.525491584537221</c:v>
                </c:pt>
                <c:pt idx="69">
                  <c:v>28.810126226192569</c:v>
                </c:pt>
                <c:pt idx="70">
                  <c:v>31.350445534820999</c:v>
                </c:pt>
                <c:pt idx="71">
                  <c:v>10.073805870259802</c:v>
                </c:pt>
                <c:pt idx="72">
                  <c:v>29.070313715161038</c:v>
                </c:pt>
                <c:pt idx="73">
                  <c:v>41.876287192360493</c:v>
                </c:pt>
                <c:pt idx="74">
                  <c:v>44.41658755718521</c:v>
                </c:pt>
                <c:pt idx="75">
                  <c:v>32.144624449685232</c:v>
                </c:pt>
                <c:pt idx="76">
                  <c:v>37.286756601543445</c:v>
                </c:pt>
              </c:numCache>
            </c:numRef>
          </c:xVal>
          <c:yVal>
            <c:numRef>
              <c:f>'Rawdata for dummy variable'!$BS$4:$BS$80</c:f>
              <c:numCache>
                <c:formatCode>0.00_);[Red]\(0.00\)</c:formatCode>
                <c:ptCount val="77"/>
                <c:pt idx="0">
                  <c:v>12.074249999999999</c:v>
                </c:pt>
                <c:pt idx="1">
                  <c:v>13.247250000000001</c:v>
                </c:pt>
                <c:pt idx="2">
                  <c:v>30.6</c:v>
                </c:pt>
                <c:pt idx="3">
                  <c:v>14.968500000000001</c:v>
                </c:pt>
                <c:pt idx="4">
                  <c:v>9.3247</c:v>
                </c:pt>
                <c:pt idx="5">
                  <c:v>19.154000000000003</c:v>
                </c:pt>
                <c:pt idx="6">
                  <c:v>9.7708499999999994</c:v>
                </c:pt>
                <c:pt idx="7">
                  <c:v>5.8566500000000001</c:v>
                </c:pt>
                <c:pt idx="10">
                  <c:v>3.9095</c:v>
                </c:pt>
                <c:pt idx="13">
                  <c:v>33.5</c:v>
                </c:pt>
                <c:pt idx="14">
                  <c:v>23.574999999999999</c:v>
                </c:pt>
                <c:pt idx="15">
                  <c:v>10.645</c:v>
                </c:pt>
                <c:pt idx="16">
                  <c:v>18.635000000000002</c:v>
                </c:pt>
                <c:pt idx="22">
                  <c:v>19</c:v>
                </c:pt>
                <c:pt idx="23">
                  <c:v>24</c:v>
                </c:pt>
                <c:pt idx="24">
                  <c:v>26.1</c:v>
                </c:pt>
                <c:pt idx="25">
                  <c:v>26</c:v>
                </c:pt>
                <c:pt idx="26">
                  <c:v>33.064999999999998</c:v>
                </c:pt>
                <c:pt idx="27">
                  <c:v>33.515499999999996</c:v>
                </c:pt>
                <c:pt idx="28">
                  <c:v>18.004999999999999</c:v>
                </c:pt>
                <c:pt idx="29">
                  <c:v>33.849999999999994</c:v>
                </c:pt>
                <c:pt idx="30">
                  <c:v>28.76</c:v>
                </c:pt>
                <c:pt idx="32">
                  <c:v>17.594999999999999</c:v>
                </c:pt>
                <c:pt idx="33">
                  <c:v>34.1</c:v>
                </c:pt>
                <c:pt idx="34">
                  <c:v>45.4</c:v>
                </c:pt>
                <c:pt idx="35">
                  <c:v>44.699999999999996</c:v>
                </c:pt>
                <c:pt idx="47">
                  <c:v>24.6</c:v>
                </c:pt>
                <c:pt idx="54">
                  <c:v>18.669499999999999</c:v>
                </c:pt>
                <c:pt idx="59">
                  <c:v>55.9</c:v>
                </c:pt>
                <c:pt idx="61">
                  <c:v>10.6</c:v>
                </c:pt>
                <c:pt idx="62">
                  <c:v>26.675000000000001</c:v>
                </c:pt>
                <c:pt idx="63">
                  <c:v>15.922499999999999</c:v>
                </c:pt>
                <c:pt idx="65">
                  <c:v>45.7</c:v>
                </c:pt>
                <c:pt idx="66">
                  <c:v>47</c:v>
                </c:pt>
                <c:pt idx="67">
                  <c:v>42.800000000000004</c:v>
                </c:pt>
                <c:pt idx="69">
                  <c:v>3.5</c:v>
                </c:pt>
                <c:pt idx="75">
                  <c:v>45.55</c:v>
                </c:pt>
                <c:pt idx="76">
                  <c:v>46.6</c:v>
                </c:pt>
              </c:numCache>
            </c:numRef>
          </c:yVal>
          <c:smooth val="0"/>
          <c:extLst>
            <c:ext xmlns:c16="http://schemas.microsoft.com/office/drawing/2014/chart" uri="{C3380CC4-5D6E-409C-BE32-E72D297353CC}">
              <c16:uniqueId val="{00000000-DBDB-4B32-BAB4-80248011E8E4}"/>
            </c:ext>
          </c:extLst>
        </c:ser>
        <c:dLbls>
          <c:showLegendKey val="0"/>
          <c:showVal val="0"/>
          <c:showCatName val="0"/>
          <c:showSerName val="0"/>
          <c:showPercent val="0"/>
          <c:showBubbleSize val="0"/>
        </c:dLbls>
        <c:axId val="2124971576"/>
        <c:axId val="2128478200"/>
      </c:scatterChart>
      <c:valAx>
        <c:axId val="2124971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Basal area (b.a.) (m</a:t>
                </a:r>
                <a:r>
                  <a:rPr lang="en-US" altLang="zh-TW" sz="1000" b="0" i="0" baseline="30000">
                    <a:effectLst/>
                  </a:rPr>
                  <a:t>2</a:t>
                </a:r>
                <a:r>
                  <a:rPr lang="en-US" altLang="zh-TW" sz="1000" b="0" i="0" baseline="0">
                    <a:effectLst/>
                  </a:rPr>
                  <a:t>ha</a:t>
                </a:r>
                <a:r>
                  <a:rPr lang="en-US" altLang="zh-TW" sz="1000" b="0" i="0" baseline="30000">
                    <a:effectLst/>
                  </a:rPr>
                  <a:t>-1</a:t>
                </a:r>
                <a:r>
                  <a:rPr lang="en-US" altLang="zh-TW" sz="1000" b="0" i="0" baseline="0">
                    <a:effectLst/>
                  </a:rPr>
                  <a:t>)</a:t>
                </a:r>
                <a:endParaRPr lang="zh-TW" altLang="zh-TW" sz="1000">
                  <a:effectLst/>
                </a:endParaRPr>
              </a:p>
            </c:rich>
          </c:tx>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8478200"/>
        <c:crosses val="autoZero"/>
        <c:crossBetween val="midCat"/>
      </c:valAx>
      <c:valAx>
        <c:axId val="212847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baseline="0">
                    <a:effectLst/>
                  </a:rPr>
                  <a:t>BGC (Mg C ha</a:t>
                </a:r>
                <a:r>
                  <a:rPr lang="en-GB" altLang="zh-TW" sz="1000" b="0" i="0" baseline="30000">
                    <a:effectLst/>
                  </a:rPr>
                  <a:t>-1</a:t>
                </a:r>
                <a:r>
                  <a:rPr lang="en-GB" altLang="zh-TW" sz="1000" b="0" i="0" baseline="0">
                    <a:effectLst/>
                  </a:rPr>
                  <a:t>)</a:t>
                </a:r>
                <a:endParaRPr lang="zh-TW" altLang="zh-TW" sz="100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971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0"/>
          <c:order val="0"/>
          <c:tx>
            <c:strRef>
              <c:f>'Rawdata for dummy variable'!$A$32</c:f>
              <c:strCache>
                <c:ptCount val="1"/>
                <c:pt idx="0">
                  <c:v>Japan</c:v>
                </c:pt>
              </c:strCache>
            </c:strRef>
          </c:tx>
          <c:spPr>
            <a:ln w="31750">
              <a:noFill/>
            </a:ln>
          </c:spPr>
          <c:trendline>
            <c:trendlineType val="exp"/>
            <c:dispRSqr val="1"/>
            <c:dispEq val="1"/>
            <c:trendlineLbl>
              <c:numFmt formatCode="General" sourceLinked="0"/>
            </c:trendlineLbl>
          </c:trendline>
          <c:xVal>
            <c:numRef>
              <c:f>'Rawdata for dummy variable'!$M$32:$M$63</c:f>
              <c:numCache>
                <c:formatCode>0.00_);[Red]\(0.00\)</c:formatCode>
                <c:ptCount val="32"/>
                <c:pt idx="0">
                  <c:v>14.8</c:v>
                </c:pt>
                <c:pt idx="1">
                  <c:v>14.8</c:v>
                </c:pt>
                <c:pt idx="2">
                  <c:v>14.8</c:v>
                </c:pt>
                <c:pt idx="3">
                  <c:v>16.087499999999999</c:v>
                </c:pt>
                <c:pt idx="4">
                  <c:v>11.3</c:v>
                </c:pt>
                <c:pt idx="5">
                  <c:v>16.177083333333332</c:v>
                </c:pt>
                <c:pt idx="6">
                  <c:v>16.177083333333332</c:v>
                </c:pt>
                <c:pt idx="7">
                  <c:v>13.062499999999995</c:v>
                </c:pt>
                <c:pt idx="8">
                  <c:v>17.5</c:v>
                </c:pt>
                <c:pt idx="9">
                  <c:v>16.75</c:v>
                </c:pt>
                <c:pt idx="10">
                  <c:v>16.75</c:v>
                </c:pt>
                <c:pt idx="11">
                  <c:v>16.258333333333336</c:v>
                </c:pt>
                <c:pt idx="12">
                  <c:v>18.108333333333331</c:v>
                </c:pt>
                <c:pt idx="13">
                  <c:v>17.633333333333333</c:v>
                </c:pt>
                <c:pt idx="14">
                  <c:v>15.9</c:v>
                </c:pt>
                <c:pt idx="15">
                  <c:v>15.9</c:v>
                </c:pt>
                <c:pt idx="16">
                  <c:v>15.375</c:v>
                </c:pt>
                <c:pt idx="17">
                  <c:v>15.304169999999999</c:v>
                </c:pt>
                <c:pt idx="18">
                  <c:v>16.100000000000001</c:v>
                </c:pt>
                <c:pt idx="19">
                  <c:v>16.91</c:v>
                </c:pt>
                <c:pt idx="20">
                  <c:v>15</c:v>
                </c:pt>
                <c:pt idx="21">
                  <c:v>15.375</c:v>
                </c:pt>
                <c:pt idx="22">
                  <c:v>15.375</c:v>
                </c:pt>
                <c:pt idx="23">
                  <c:v>15.304169999999999</c:v>
                </c:pt>
                <c:pt idx="24">
                  <c:v>15.304169999999999</c:v>
                </c:pt>
                <c:pt idx="25">
                  <c:v>15.39167</c:v>
                </c:pt>
                <c:pt idx="26">
                  <c:v>15.3</c:v>
                </c:pt>
                <c:pt idx="27">
                  <c:v>16.058330000000002</c:v>
                </c:pt>
                <c:pt idx="28">
                  <c:v>16.175000000000001</c:v>
                </c:pt>
                <c:pt idx="29">
                  <c:v>16.516670000000001</c:v>
                </c:pt>
                <c:pt idx="30">
                  <c:v>16.033329999999999</c:v>
                </c:pt>
                <c:pt idx="31">
                  <c:v>15.3</c:v>
                </c:pt>
              </c:numCache>
            </c:numRef>
          </c:xVal>
          <c:yVal>
            <c:numRef>
              <c:f>'Rawdata for dummy variable'!$BN$32:$BN$63</c:f>
              <c:numCache>
                <c:formatCode>0.00_);[Red]\(0.00\)</c:formatCode>
                <c:ptCount val="32"/>
                <c:pt idx="0">
                  <c:v>15.704999999999998</c:v>
                </c:pt>
                <c:pt idx="1">
                  <c:v>53.58</c:v>
                </c:pt>
                <c:pt idx="2">
                  <c:v>21.814999999999998</c:v>
                </c:pt>
                <c:pt idx="3">
                  <c:v>87.083333333333329</c:v>
                </c:pt>
                <c:pt idx="4">
                  <c:v>11.654999999999999</c:v>
                </c:pt>
                <c:pt idx="5">
                  <c:v>22.6</c:v>
                </c:pt>
                <c:pt idx="6">
                  <c:v>39.700000000000003</c:v>
                </c:pt>
                <c:pt idx="7">
                  <c:v>20.5</c:v>
                </c:pt>
                <c:pt idx="8">
                  <c:v>92.5</c:v>
                </c:pt>
                <c:pt idx="9">
                  <c:v>84.2</c:v>
                </c:pt>
                <c:pt idx="10">
                  <c:v>92.3</c:v>
                </c:pt>
                <c:pt idx="11">
                  <c:v>66.657499999999999</c:v>
                </c:pt>
                <c:pt idx="12">
                  <c:v>41.41</c:v>
                </c:pt>
                <c:pt idx="13">
                  <c:v>55.196666666666665</c:v>
                </c:pt>
                <c:pt idx="14">
                  <c:v>92.825000000000003</c:v>
                </c:pt>
                <c:pt idx="15">
                  <c:v>110.675</c:v>
                </c:pt>
                <c:pt idx="16">
                  <c:v>40.15</c:v>
                </c:pt>
                <c:pt idx="18">
                  <c:v>62.64</c:v>
                </c:pt>
                <c:pt idx="19">
                  <c:v>68.400000000000006</c:v>
                </c:pt>
                <c:pt idx="20">
                  <c:v>25.5</c:v>
                </c:pt>
                <c:pt idx="21">
                  <c:v>60.061999999999998</c:v>
                </c:pt>
                <c:pt idx="22">
                  <c:v>106.18</c:v>
                </c:pt>
                <c:pt idx="25" formatCode="General">
                  <c:v>47.55</c:v>
                </c:pt>
                <c:pt idx="26">
                  <c:v>65.68180000000001</c:v>
                </c:pt>
                <c:pt idx="27">
                  <c:v>108.60000000000001</c:v>
                </c:pt>
                <c:pt idx="28">
                  <c:v>108.64999999999999</c:v>
                </c:pt>
                <c:pt idx="29">
                  <c:v>109.9</c:v>
                </c:pt>
                <c:pt idx="30">
                  <c:v>112.02500000000001</c:v>
                </c:pt>
                <c:pt idx="31">
                  <c:v>84.9</c:v>
                </c:pt>
              </c:numCache>
            </c:numRef>
          </c:yVal>
          <c:smooth val="0"/>
          <c:extLst>
            <c:ext xmlns:c16="http://schemas.microsoft.com/office/drawing/2014/chart" uri="{C3380CC4-5D6E-409C-BE32-E72D297353CC}">
              <c16:uniqueId val="{00000000-74FC-4EC6-8778-BD7FE112ABFF}"/>
            </c:ext>
          </c:extLst>
        </c:ser>
        <c:ser>
          <c:idx val="1"/>
          <c:order val="1"/>
          <c:tx>
            <c:strRef>
              <c:f>'Rawdata for dummy variable'!$A$68</c:f>
              <c:strCache>
                <c:ptCount val="1"/>
                <c:pt idx="0">
                  <c:v>Taiwan</c:v>
                </c:pt>
              </c:strCache>
            </c:strRef>
          </c:tx>
          <c:spPr>
            <a:ln w="31750">
              <a:noFill/>
            </a:ln>
          </c:spPr>
          <c:trendline>
            <c:trendlineType val="log"/>
            <c:dispRSqr val="1"/>
            <c:dispEq val="1"/>
            <c:trendlineLbl>
              <c:layout>
                <c:manualLayout>
                  <c:x val="0.18419746871460391"/>
                  <c:y val="-0.19490824699544135"/>
                </c:manualLayout>
              </c:layout>
              <c:numFmt formatCode="General" sourceLinked="0"/>
            </c:trendlineLbl>
          </c:trendline>
          <c:xVal>
            <c:numRef>
              <c:f>'Rawdata for dummy variable'!$M$68:$M$84</c:f>
              <c:numCache>
                <c:formatCode>0.00_);[Red]\(0.00\)</c:formatCode>
                <c:ptCount val="17"/>
                <c:pt idx="0">
                  <c:v>15.3</c:v>
                </c:pt>
                <c:pt idx="1">
                  <c:v>23</c:v>
                </c:pt>
                <c:pt idx="2">
                  <c:v>23</c:v>
                </c:pt>
                <c:pt idx="3">
                  <c:v>23</c:v>
                </c:pt>
                <c:pt idx="4">
                  <c:v>16.5</c:v>
                </c:pt>
                <c:pt idx="5">
                  <c:v>20.3</c:v>
                </c:pt>
                <c:pt idx="6">
                  <c:v>20.3</c:v>
                </c:pt>
                <c:pt idx="7">
                  <c:v>20.3</c:v>
                </c:pt>
                <c:pt idx="8">
                  <c:v>20.3</c:v>
                </c:pt>
                <c:pt idx="9">
                  <c:v>16.5</c:v>
                </c:pt>
                <c:pt idx="10">
                  <c:v>16.5</c:v>
                </c:pt>
                <c:pt idx="11">
                  <c:v>23</c:v>
                </c:pt>
                <c:pt idx="12">
                  <c:v>23</c:v>
                </c:pt>
                <c:pt idx="13">
                  <c:v>15.3</c:v>
                </c:pt>
                <c:pt idx="14">
                  <c:v>15.3</c:v>
                </c:pt>
                <c:pt idx="15">
                  <c:v>17.2</c:v>
                </c:pt>
                <c:pt idx="16">
                  <c:v>18.600000000000001</c:v>
                </c:pt>
              </c:numCache>
            </c:numRef>
          </c:xVal>
          <c:yVal>
            <c:numRef>
              <c:f>'Rawdata for dummy variable'!$BN$68:$BN$84</c:f>
              <c:numCache>
                <c:formatCode>0.00_);[Red]\(0.00\)</c:formatCode>
                <c:ptCount val="17"/>
                <c:pt idx="0">
                  <c:v>81.133659999999992</c:v>
                </c:pt>
                <c:pt idx="1">
                  <c:v>36.950000000000003</c:v>
                </c:pt>
                <c:pt idx="2">
                  <c:v>45.95</c:v>
                </c:pt>
                <c:pt idx="3">
                  <c:v>21.65</c:v>
                </c:pt>
                <c:pt idx="4">
                  <c:v>39.649852999999993</c:v>
                </c:pt>
                <c:pt idx="5">
                  <c:v>26.253070000000001</c:v>
                </c:pt>
                <c:pt idx="6">
                  <c:v>29.5</c:v>
                </c:pt>
                <c:pt idx="7">
                  <c:v>8</c:v>
                </c:pt>
                <c:pt idx="8">
                  <c:v>28.4</c:v>
                </c:pt>
                <c:pt idx="9">
                  <c:v>43.869530999999995</c:v>
                </c:pt>
                <c:pt idx="10">
                  <c:v>37.198925000000003</c:v>
                </c:pt>
                <c:pt idx="11">
                  <c:v>36.75</c:v>
                </c:pt>
                <c:pt idx="12">
                  <c:v>41.95</c:v>
                </c:pt>
                <c:pt idx="13">
                  <c:v>38.4</c:v>
                </c:pt>
                <c:pt idx="14">
                  <c:v>60.4</c:v>
                </c:pt>
                <c:pt idx="15">
                  <c:v>27.259999999999998</c:v>
                </c:pt>
                <c:pt idx="16">
                  <c:v>42.04</c:v>
                </c:pt>
              </c:numCache>
            </c:numRef>
          </c:yVal>
          <c:smooth val="0"/>
          <c:extLst>
            <c:ext xmlns:c16="http://schemas.microsoft.com/office/drawing/2014/chart" uri="{C3380CC4-5D6E-409C-BE32-E72D297353CC}">
              <c16:uniqueId val="{00000001-74FC-4EC6-8778-BD7FE112ABFF}"/>
            </c:ext>
          </c:extLst>
        </c:ser>
        <c:dLbls>
          <c:showLegendKey val="0"/>
          <c:showVal val="0"/>
          <c:showCatName val="0"/>
          <c:showSerName val="0"/>
          <c:showPercent val="0"/>
          <c:showBubbleSize val="0"/>
        </c:dLbls>
        <c:axId val="-2123898024"/>
        <c:axId val="-2123638184"/>
      </c:scatterChart>
      <c:valAx>
        <c:axId val="-2123898024"/>
        <c:scaling>
          <c:orientation val="minMax"/>
          <c:max val="30"/>
          <c:min val="5"/>
        </c:scaling>
        <c:delete val="0"/>
        <c:axPos val="b"/>
        <c:majorGridlines/>
        <c:minorGridlines/>
        <c:title>
          <c:tx>
            <c:rich>
              <a:bodyPr/>
              <a:lstStyle/>
              <a:p>
                <a:pPr>
                  <a:defRPr lang="ja-JP"/>
                </a:pPr>
                <a:r>
                  <a:rPr lang="en-US" altLang="zh-TW"/>
                  <a:t>Annual mean temperature (</a:t>
                </a:r>
                <a:r>
                  <a:rPr lang="it-IT" altLang="zh-TW"/>
                  <a:t>°C)</a:t>
                </a:r>
                <a:endParaRPr lang="zh-TW" altLang="en-US"/>
              </a:p>
            </c:rich>
          </c:tx>
          <c:overlay val="0"/>
        </c:title>
        <c:numFmt formatCode="0.00_);[Red]\(0.00\)" sourceLinked="1"/>
        <c:majorTickMark val="out"/>
        <c:minorTickMark val="none"/>
        <c:tickLblPos val="nextTo"/>
        <c:txPr>
          <a:bodyPr/>
          <a:lstStyle/>
          <a:p>
            <a:pPr>
              <a:defRPr lang="ja-JP"/>
            </a:pPr>
            <a:endParaRPr lang="en-US"/>
          </a:p>
        </c:txPr>
        <c:crossAx val="-2123638184"/>
        <c:crosses val="autoZero"/>
        <c:crossBetween val="midCat"/>
        <c:majorUnit val="5"/>
        <c:minorUnit val="1"/>
      </c:valAx>
      <c:valAx>
        <c:axId val="-2123638184"/>
        <c:scaling>
          <c:orientation val="minMax"/>
        </c:scaling>
        <c:delete val="0"/>
        <c:axPos val="l"/>
        <c:majorGridlines/>
        <c:minorGridlines/>
        <c:title>
          <c:tx>
            <c:rich>
              <a:bodyPr/>
              <a:lstStyle/>
              <a:p>
                <a:pPr>
                  <a:defRPr lang="ja-JP"/>
                </a:pPr>
                <a:r>
                  <a:rPr lang="en-US" altLang="zh-TW"/>
                  <a:t>Aboveground biomass (Mg C ha</a:t>
                </a:r>
                <a:r>
                  <a:rPr lang="en-US" altLang="zh-TW" baseline="30000"/>
                  <a:t>-1</a:t>
                </a:r>
                <a:r>
                  <a:rPr lang="en-US" altLang="zh-TW"/>
                  <a:t>)</a:t>
                </a:r>
                <a:endParaRPr lang="zh-TW" altLang="en-US"/>
              </a:p>
            </c:rich>
          </c:tx>
          <c:overlay val="0"/>
        </c:title>
        <c:numFmt formatCode="0.00_);[Red]\(0.00\)" sourceLinked="1"/>
        <c:majorTickMark val="out"/>
        <c:minorTickMark val="none"/>
        <c:tickLblPos val="nextTo"/>
        <c:txPr>
          <a:bodyPr/>
          <a:lstStyle/>
          <a:p>
            <a:pPr>
              <a:defRPr lang="ja-JP"/>
            </a:pPr>
            <a:endParaRPr lang="en-US"/>
          </a:p>
        </c:txPr>
        <c:crossAx val="-2123898024"/>
        <c:crosses val="autoZero"/>
        <c:crossBetween val="midCat"/>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paperSize="9"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scatterChart>
        <c:scatterStyle val="lineMarker"/>
        <c:varyColors val="0"/>
        <c:ser>
          <c:idx val="2"/>
          <c:order val="0"/>
          <c:tx>
            <c:strRef>
              <c:f>'Rawdata for dummy variable'!$A$32</c:f>
              <c:strCache>
                <c:ptCount val="1"/>
                <c:pt idx="0">
                  <c:v>Japan</c:v>
                </c:pt>
              </c:strCache>
            </c:strRef>
          </c:tx>
          <c:spPr>
            <a:ln w="31750">
              <a:noFill/>
            </a:ln>
          </c:spPr>
          <c:trendline>
            <c:trendlineType val="linear"/>
            <c:dispRSqr val="1"/>
            <c:dispEq val="1"/>
            <c:trendlineLbl>
              <c:layout>
                <c:manualLayout>
                  <c:x val="0.20453630796150499"/>
                  <c:y val="0.123636264216973"/>
                </c:manualLayout>
              </c:layout>
              <c:numFmt formatCode="General" sourceLinked="0"/>
              <c:txPr>
                <a:bodyPr/>
                <a:lstStyle/>
                <a:p>
                  <a:pPr>
                    <a:defRPr lang="ja-JP"/>
                  </a:pPr>
                  <a:endParaRPr lang="en-US"/>
                </a:p>
              </c:txPr>
            </c:trendlineLbl>
          </c:trendline>
          <c:xVal>
            <c:numRef>
              <c:f>'Rawdata for dummy variable'!$M$32:$M$63</c:f>
              <c:numCache>
                <c:formatCode>0.00_);[Red]\(0.00\)</c:formatCode>
                <c:ptCount val="32"/>
                <c:pt idx="0">
                  <c:v>14.8</c:v>
                </c:pt>
                <c:pt idx="1">
                  <c:v>14.8</c:v>
                </c:pt>
                <c:pt idx="2">
                  <c:v>14.8</c:v>
                </c:pt>
                <c:pt idx="3">
                  <c:v>16.087499999999999</c:v>
                </c:pt>
                <c:pt idx="4">
                  <c:v>11.3</c:v>
                </c:pt>
                <c:pt idx="5">
                  <c:v>16.177083333333332</c:v>
                </c:pt>
                <c:pt idx="6">
                  <c:v>16.177083333333332</c:v>
                </c:pt>
                <c:pt idx="7">
                  <c:v>13.062499999999995</c:v>
                </c:pt>
                <c:pt idx="8">
                  <c:v>17.5</c:v>
                </c:pt>
                <c:pt idx="9">
                  <c:v>16.75</c:v>
                </c:pt>
                <c:pt idx="10">
                  <c:v>16.75</c:v>
                </c:pt>
                <c:pt idx="11">
                  <c:v>16.258333333333336</c:v>
                </c:pt>
                <c:pt idx="12">
                  <c:v>18.108333333333331</c:v>
                </c:pt>
                <c:pt idx="13">
                  <c:v>17.633333333333333</c:v>
                </c:pt>
                <c:pt idx="14">
                  <c:v>15.9</c:v>
                </c:pt>
                <c:pt idx="15">
                  <c:v>15.9</c:v>
                </c:pt>
                <c:pt idx="16">
                  <c:v>15.375</c:v>
                </c:pt>
                <c:pt idx="17">
                  <c:v>15.304169999999999</c:v>
                </c:pt>
                <c:pt idx="18">
                  <c:v>16.100000000000001</c:v>
                </c:pt>
                <c:pt idx="19">
                  <c:v>16.91</c:v>
                </c:pt>
                <c:pt idx="20">
                  <c:v>15</c:v>
                </c:pt>
                <c:pt idx="21">
                  <c:v>15.375</c:v>
                </c:pt>
                <c:pt idx="22">
                  <c:v>15.375</c:v>
                </c:pt>
                <c:pt idx="23">
                  <c:v>15.304169999999999</c:v>
                </c:pt>
                <c:pt idx="24">
                  <c:v>15.304169999999999</c:v>
                </c:pt>
                <c:pt idx="25">
                  <c:v>15.39167</c:v>
                </c:pt>
                <c:pt idx="26">
                  <c:v>15.3</c:v>
                </c:pt>
                <c:pt idx="27">
                  <c:v>16.058330000000002</c:v>
                </c:pt>
                <c:pt idx="28">
                  <c:v>16.175000000000001</c:v>
                </c:pt>
                <c:pt idx="29">
                  <c:v>16.516670000000001</c:v>
                </c:pt>
                <c:pt idx="30">
                  <c:v>16.033329999999999</c:v>
                </c:pt>
                <c:pt idx="31">
                  <c:v>15.3</c:v>
                </c:pt>
              </c:numCache>
            </c:numRef>
          </c:xVal>
          <c:yVal>
            <c:numRef>
              <c:f>'Rawdata for dummy variable'!$BN$32:$BN$63</c:f>
              <c:numCache>
                <c:formatCode>0.00_);[Red]\(0.00\)</c:formatCode>
                <c:ptCount val="32"/>
                <c:pt idx="0">
                  <c:v>15.704999999999998</c:v>
                </c:pt>
                <c:pt idx="1">
                  <c:v>53.58</c:v>
                </c:pt>
                <c:pt idx="2">
                  <c:v>21.814999999999998</c:v>
                </c:pt>
                <c:pt idx="3">
                  <c:v>87.083333333333329</c:v>
                </c:pt>
                <c:pt idx="4">
                  <c:v>11.654999999999999</c:v>
                </c:pt>
                <c:pt idx="5">
                  <c:v>22.6</c:v>
                </c:pt>
                <c:pt idx="6">
                  <c:v>39.700000000000003</c:v>
                </c:pt>
                <c:pt idx="7">
                  <c:v>20.5</c:v>
                </c:pt>
                <c:pt idx="8">
                  <c:v>92.5</c:v>
                </c:pt>
                <c:pt idx="9">
                  <c:v>84.2</c:v>
                </c:pt>
                <c:pt idx="10">
                  <c:v>92.3</c:v>
                </c:pt>
                <c:pt idx="11">
                  <c:v>66.657499999999999</c:v>
                </c:pt>
                <c:pt idx="12">
                  <c:v>41.41</c:v>
                </c:pt>
                <c:pt idx="13">
                  <c:v>55.196666666666665</c:v>
                </c:pt>
                <c:pt idx="14">
                  <c:v>92.825000000000003</c:v>
                </c:pt>
                <c:pt idx="15">
                  <c:v>110.675</c:v>
                </c:pt>
                <c:pt idx="16">
                  <c:v>40.15</c:v>
                </c:pt>
                <c:pt idx="18">
                  <c:v>62.64</c:v>
                </c:pt>
                <c:pt idx="19">
                  <c:v>68.400000000000006</c:v>
                </c:pt>
                <c:pt idx="20">
                  <c:v>25.5</c:v>
                </c:pt>
                <c:pt idx="21">
                  <c:v>60.061999999999998</c:v>
                </c:pt>
                <c:pt idx="22">
                  <c:v>106.18</c:v>
                </c:pt>
                <c:pt idx="25" formatCode="General">
                  <c:v>47.55</c:v>
                </c:pt>
                <c:pt idx="26">
                  <c:v>65.68180000000001</c:v>
                </c:pt>
                <c:pt idx="27">
                  <c:v>108.60000000000001</c:v>
                </c:pt>
                <c:pt idx="28">
                  <c:v>108.64999999999999</c:v>
                </c:pt>
                <c:pt idx="29">
                  <c:v>109.9</c:v>
                </c:pt>
                <c:pt idx="30">
                  <c:v>112.02500000000001</c:v>
                </c:pt>
                <c:pt idx="31">
                  <c:v>84.9</c:v>
                </c:pt>
              </c:numCache>
            </c:numRef>
          </c:yVal>
          <c:smooth val="0"/>
          <c:extLst>
            <c:ext xmlns:c16="http://schemas.microsoft.com/office/drawing/2014/chart" uri="{C3380CC4-5D6E-409C-BE32-E72D297353CC}">
              <c16:uniqueId val="{00000001-69AF-4CF6-A7FF-271C4395DC02}"/>
            </c:ext>
          </c:extLst>
        </c:ser>
        <c:ser>
          <c:idx val="0"/>
          <c:order val="1"/>
          <c:tx>
            <c:strRef>
              <c:f>'Rawdata for dummy variable'!$A$4</c:f>
              <c:strCache>
                <c:ptCount val="1"/>
                <c:pt idx="0">
                  <c:v>China</c:v>
                </c:pt>
              </c:strCache>
            </c:strRef>
          </c:tx>
          <c:spPr>
            <a:ln w="31750">
              <a:noFill/>
            </a:ln>
          </c:spPr>
          <c:trendline>
            <c:trendlineType val="linear"/>
            <c:dispRSqr val="1"/>
            <c:dispEq val="1"/>
            <c:trendlineLbl>
              <c:layout>
                <c:manualLayout>
                  <c:x val="7.2339660861894334E-2"/>
                  <c:y val="-5.0971902196435971E-2"/>
                </c:manualLayout>
              </c:layout>
              <c:numFmt formatCode="General" sourceLinked="0"/>
            </c:trendlineLbl>
          </c:trendline>
          <c:xVal>
            <c:numRef>
              <c:f>'Rawdata for dummy variable'!$M$4:$M$27</c:f>
              <c:numCache>
                <c:formatCode>0.00_);[Red]\(0.00\)</c:formatCode>
                <c:ptCount val="24"/>
                <c:pt idx="0">
                  <c:v>19.3</c:v>
                </c:pt>
                <c:pt idx="1">
                  <c:v>19.3</c:v>
                </c:pt>
                <c:pt idx="2">
                  <c:v>12.8</c:v>
                </c:pt>
                <c:pt idx="3">
                  <c:v>19.3</c:v>
                </c:pt>
                <c:pt idx="4">
                  <c:v>23</c:v>
                </c:pt>
                <c:pt idx="5">
                  <c:v>23</c:v>
                </c:pt>
                <c:pt idx="6">
                  <c:v>23</c:v>
                </c:pt>
                <c:pt idx="7">
                  <c:v>23</c:v>
                </c:pt>
                <c:pt idx="8">
                  <c:v>16.899999999999999</c:v>
                </c:pt>
                <c:pt idx="9">
                  <c:v>16.899999999999999</c:v>
                </c:pt>
                <c:pt idx="10">
                  <c:v>16.899999999999999</c:v>
                </c:pt>
                <c:pt idx="11">
                  <c:v>16.5</c:v>
                </c:pt>
                <c:pt idx="12">
                  <c:v>16.75</c:v>
                </c:pt>
                <c:pt idx="13">
                  <c:v>16.809999999999999</c:v>
                </c:pt>
                <c:pt idx="14">
                  <c:v>15.2</c:v>
                </c:pt>
                <c:pt idx="15">
                  <c:v>18.649999999999999</c:v>
                </c:pt>
                <c:pt idx="16">
                  <c:v>23</c:v>
                </c:pt>
                <c:pt idx="17">
                  <c:v>16.600000000000001</c:v>
                </c:pt>
                <c:pt idx="18">
                  <c:v>15.6</c:v>
                </c:pt>
                <c:pt idx="19">
                  <c:v>15.6</c:v>
                </c:pt>
                <c:pt idx="20">
                  <c:v>15.6</c:v>
                </c:pt>
                <c:pt idx="21">
                  <c:v>15.9</c:v>
                </c:pt>
                <c:pt idx="22">
                  <c:v>15.6</c:v>
                </c:pt>
                <c:pt idx="23">
                  <c:v>15.6</c:v>
                </c:pt>
              </c:numCache>
            </c:numRef>
          </c:xVal>
          <c:yVal>
            <c:numRef>
              <c:f>'Rawdata for dummy variable'!$BN$4:$BN$27</c:f>
              <c:numCache>
                <c:formatCode>0.00_);[Red]\(0.00\)</c:formatCode>
                <c:ptCount val="24"/>
                <c:pt idx="0">
                  <c:v>35.275750000000002</c:v>
                </c:pt>
                <c:pt idx="1">
                  <c:v>38.702750000000002</c:v>
                </c:pt>
                <c:pt idx="2">
                  <c:v>35.799999999999997</c:v>
                </c:pt>
                <c:pt idx="3">
                  <c:v>43.731499999999997</c:v>
                </c:pt>
                <c:pt idx="4">
                  <c:v>36.363150000000005</c:v>
                </c:pt>
                <c:pt idx="5">
                  <c:v>52.552999999999997</c:v>
                </c:pt>
                <c:pt idx="6">
                  <c:v>40.903100000000002</c:v>
                </c:pt>
                <c:pt idx="7">
                  <c:v>24.491849999999999</c:v>
                </c:pt>
                <c:pt idx="8">
                  <c:v>20.0305</c:v>
                </c:pt>
                <c:pt idx="9">
                  <c:v>17.106999999999999</c:v>
                </c:pt>
                <c:pt idx="10">
                  <c:v>14.288500000000001</c:v>
                </c:pt>
                <c:pt idx="12">
                  <c:v>21.759872780280947</c:v>
                </c:pt>
                <c:pt idx="13">
                  <c:v>52.88</c:v>
                </c:pt>
                <c:pt idx="14">
                  <c:v>48.27</c:v>
                </c:pt>
                <c:pt idx="15">
                  <c:v>22.39</c:v>
                </c:pt>
                <c:pt idx="16">
                  <c:v>32.36</c:v>
                </c:pt>
                <c:pt idx="17">
                  <c:v>23.718</c:v>
                </c:pt>
                <c:pt idx="18">
                  <c:v>18.899999999999999</c:v>
                </c:pt>
                <c:pt idx="19">
                  <c:v>24.75</c:v>
                </c:pt>
                <c:pt idx="20">
                  <c:v>20.76</c:v>
                </c:pt>
                <c:pt idx="21">
                  <c:v>20.353999999999999</c:v>
                </c:pt>
                <c:pt idx="22">
                  <c:v>27</c:v>
                </c:pt>
                <c:pt idx="23">
                  <c:v>33</c:v>
                </c:pt>
              </c:numCache>
            </c:numRef>
          </c:yVal>
          <c:smooth val="0"/>
          <c:extLst>
            <c:ext xmlns:c16="http://schemas.microsoft.com/office/drawing/2014/chart" uri="{C3380CC4-5D6E-409C-BE32-E72D297353CC}">
              <c16:uniqueId val="{00000002-69AF-4CF6-A7FF-271C4395DC02}"/>
            </c:ext>
          </c:extLst>
        </c:ser>
        <c:ser>
          <c:idx val="3"/>
          <c:order val="2"/>
          <c:tx>
            <c:strRef>
              <c:f>'Rawdata for dummy variable'!$A$65</c:f>
              <c:strCache>
                <c:ptCount val="1"/>
                <c:pt idx="0">
                  <c:v>Korea</c:v>
                </c:pt>
              </c:strCache>
            </c:strRef>
          </c:tx>
          <c:spPr>
            <a:ln w="31750">
              <a:noFill/>
            </a:ln>
          </c:spPr>
          <c:trendline>
            <c:trendlineType val="linear"/>
            <c:dispRSqr val="1"/>
            <c:dispEq val="1"/>
            <c:trendlineLbl>
              <c:layout>
                <c:manualLayout>
                  <c:x val="7.9146106736657895E-2"/>
                  <c:y val="0.143058471857684"/>
                </c:manualLayout>
              </c:layout>
              <c:numFmt formatCode="General" sourceLinked="0"/>
              <c:txPr>
                <a:bodyPr/>
                <a:lstStyle/>
                <a:p>
                  <a:pPr>
                    <a:defRPr lang="ja-JP"/>
                  </a:pPr>
                  <a:endParaRPr lang="en-US"/>
                </a:p>
              </c:txPr>
            </c:trendlineLbl>
          </c:trendline>
          <c:xVal>
            <c:numRef>
              <c:f>'Rawdata for dummy variable'!$M$65:$M$67</c:f>
              <c:numCache>
                <c:formatCode>0.00_);[Red]\(0.00\)</c:formatCode>
                <c:ptCount val="3"/>
                <c:pt idx="0">
                  <c:v>13.15</c:v>
                </c:pt>
                <c:pt idx="1">
                  <c:v>13.15</c:v>
                </c:pt>
                <c:pt idx="2">
                  <c:v>10</c:v>
                </c:pt>
              </c:numCache>
            </c:numRef>
          </c:xVal>
          <c:yVal>
            <c:numRef>
              <c:f>'Rawdata for dummy variable'!$BN$65:$BN$67</c:f>
              <c:numCache>
                <c:formatCode>0.00_);[Red]\(0.00\)</c:formatCode>
                <c:ptCount val="3"/>
                <c:pt idx="0">
                  <c:v>34.825000000000003</c:v>
                </c:pt>
                <c:pt idx="1">
                  <c:v>28.885000000000002</c:v>
                </c:pt>
                <c:pt idx="2">
                  <c:v>35.880000000000003</c:v>
                </c:pt>
              </c:numCache>
            </c:numRef>
          </c:yVal>
          <c:smooth val="0"/>
          <c:extLst>
            <c:ext xmlns:c16="http://schemas.microsoft.com/office/drawing/2014/chart" uri="{C3380CC4-5D6E-409C-BE32-E72D297353CC}">
              <c16:uniqueId val="{00000003-69AF-4CF6-A7FF-271C4395DC02}"/>
            </c:ext>
          </c:extLst>
        </c:ser>
        <c:ser>
          <c:idx val="1"/>
          <c:order val="3"/>
          <c:tx>
            <c:strRef>
              <c:f>'Rawdata for dummy variable'!$A$68</c:f>
              <c:strCache>
                <c:ptCount val="1"/>
                <c:pt idx="0">
                  <c:v>Taiwan</c:v>
                </c:pt>
              </c:strCache>
            </c:strRef>
          </c:tx>
          <c:spPr>
            <a:ln w="31750">
              <a:noFill/>
            </a:ln>
          </c:spPr>
          <c:trendline>
            <c:trendlineType val="linear"/>
            <c:dispRSqr val="1"/>
            <c:dispEq val="1"/>
            <c:trendlineLbl>
              <c:layout>
                <c:manualLayout>
                  <c:x val="0.24658607508086386"/>
                  <c:y val="4.7021632822213014E-2"/>
                </c:manualLayout>
              </c:layout>
              <c:numFmt formatCode="General" sourceLinked="0"/>
            </c:trendlineLbl>
          </c:trendline>
          <c:xVal>
            <c:numRef>
              <c:f>'Rawdata for dummy variable'!$M$68:$M$84</c:f>
              <c:numCache>
                <c:formatCode>0.00_);[Red]\(0.00\)</c:formatCode>
                <c:ptCount val="17"/>
                <c:pt idx="0">
                  <c:v>15.3</c:v>
                </c:pt>
                <c:pt idx="1">
                  <c:v>23</c:v>
                </c:pt>
                <c:pt idx="2">
                  <c:v>23</c:v>
                </c:pt>
                <c:pt idx="3">
                  <c:v>23</c:v>
                </c:pt>
                <c:pt idx="4">
                  <c:v>16.5</c:v>
                </c:pt>
                <c:pt idx="5">
                  <c:v>20.3</c:v>
                </c:pt>
                <c:pt idx="6">
                  <c:v>20.3</c:v>
                </c:pt>
                <c:pt idx="7">
                  <c:v>20.3</c:v>
                </c:pt>
                <c:pt idx="8">
                  <c:v>20.3</c:v>
                </c:pt>
                <c:pt idx="9">
                  <c:v>16.5</c:v>
                </c:pt>
                <c:pt idx="10">
                  <c:v>16.5</c:v>
                </c:pt>
                <c:pt idx="11">
                  <c:v>23</c:v>
                </c:pt>
                <c:pt idx="12">
                  <c:v>23</c:v>
                </c:pt>
                <c:pt idx="13">
                  <c:v>15.3</c:v>
                </c:pt>
                <c:pt idx="14">
                  <c:v>15.3</c:v>
                </c:pt>
                <c:pt idx="15">
                  <c:v>17.2</c:v>
                </c:pt>
                <c:pt idx="16">
                  <c:v>18.600000000000001</c:v>
                </c:pt>
              </c:numCache>
            </c:numRef>
          </c:xVal>
          <c:yVal>
            <c:numRef>
              <c:f>'Rawdata for dummy variable'!$BN$68:$BN$84</c:f>
              <c:numCache>
                <c:formatCode>0.00_);[Red]\(0.00\)</c:formatCode>
                <c:ptCount val="17"/>
                <c:pt idx="0">
                  <c:v>81.133659999999992</c:v>
                </c:pt>
                <c:pt idx="1">
                  <c:v>36.950000000000003</c:v>
                </c:pt>
                <c:pt idx="2">
                  <c:v>45.95</c:v>
                </c:pt>
                <c:pt idx="3">
                  <c:v>21.65</c:v>
                </c:pt>
                <c:pt idx="4">
                  <c:v>39.649852999999993</c:v>
                </c:pt>
                <c:pt idx="5">
                  <c:v>26.253070000000001</c:v>
                </c:pt>
                <c:pt idx="6">
                  <c:v>29.5</c:v>
                </c:pt>
                <c:pt idx="7">
                  <c:v>8</c:v>
                </c:pt>
                <c:pt idx="8">
                  <c:v>28.4</c:v>
                </c:pt>
                <c:pt idx="9">
                  <c:v>43.869530999999995</c:v>
                </c:pt>
                <c:pt idx="10">
                  <c:v>37.198925000000003</c:v>
                </c:pt>
                <c:pt idx="11">
                  <c:v>36.75</c:v>
                </c:pt>
                <c:pt idx="12">
                  <c:v>41.95</c:v>
                </c:pt>
                <c:pt idx="13">
                  <c:v>38.4</c:v>
                </c:pt>
                <c:pt idx="14">
                  <c:v>60.4</c:v>
                </c:pt>
                <c:pt idx="15">
                  <c:v>27.259999999999998</c:v>
                </c:pt>
                <c:pt idx="16">
                  <c:v>42.04</c:v>
                </c:pt>
              </c:numCache>
            </c:numRef>
          </c:yVal>
          <c:smooth val="0"/>
          <c:extLst>
            <c:ext xmlns:c16="http://schemas.microsoft.com/office/drawing/2014/chart" uri="{C3380CC4-5D6E-409C-BE32-E72D297353CC}">
              <c16:uniqueId val="{00000001-DE62-45A2-964E-65BDD9E8F993}"/>
            </c:ext>
          </c:extLst>
        </c:ser>
        <c:dLbls>
          <c:showLegendKey val="0"/>
          <c:showVal val="0"/>
          <c:showCatName val="0"/>
          <c:showSerName val="0"/>
          <c:showPercent val="0"/>
          <c:showBubbleSize val="0"/>
        </c:dLbls>
        <c:axId val="-2099615528"/>
        <c:axId val="-2099609896"/>
      </c:scatterChart>
      <c:valAx>
        <c:axId val="-2099615528"/>
        <c:scaling>
          <c:orientation val="minMax"/>
          <c:max val="30"/>
          <c:min val="5"/>
        </c:scaling>
        <c:delete val="0"/>
        <c:axPos val="b"/>
        <c:majorGridlines/>
        <c:minorGridlines/>
        <c:title>
          <c:tx>
            <c:rich>
              <a:bodyPr/>
              <a:lstStyle/>
              <a:p>
                <a:pPr>
                  <a:defRPr lang="ja-JP"/>
                </a:pPr>
                <a:r>
                  <a:rPr lang="en-US" altLang="zh-TW"/>
                  <a:t>Annual mean temperature (</a:t>
                </a:r>
                <a:r>
                  <a:rPr lang="it-IT" altLang="zh-TW"/>
                  <a:t>°C)</a:t>
                </a:r>
                <a:endParaRPr lang="zh-TW" altLang="en-US"/>
              </a:p>
            </c:rich>
          </c:tx>
          <c:overlay val="0"/>
        </c:title>
        <c:numFmt formatCode="0.00_);[Red]\(0.00\)" sourceLinked="1"/>
        <c:majorTickMark val="out"/>
        <c:minorTickMark val="none"/>
        <c:tickLblPos val="nextTo"/>
        <c:txPr>
          <a:bodyPr/>
          <a:lstStyle/>
          <a:p>
            <a:pPr>
              <a:defRPr lang="ja-JP"/>
            </a:pPr>
            <a:endParaRPr lang="en-US"/>
          </a:p>
        </c:txPr>
        <c:crossAx val="-2099609896"/>
        <c:crosses val="autoZero"/>
        <c:crossBetween val="midCat"/>
        <c:majorUnit val="5"/>
        <c:minorUnit val="1"/>
      </c:valAx>
      <c:valAx>
        <c:axId val="-2099609896"/>
        <c:scaling>
          <c:orientation val="minMax"/>
        </c:scaling>
        <c:delete val="0"/>
        <c:axPos val="l"/>
        <c:majorGridlines/>
        <c:minorGridlines/>
        <c:title>
          <c:tx>
            <c:rich>
              <a:bodyPr/>
              <a:lstStyle/>
              <a:p>
                <a:pPr>
                  <a:defRPr lang="ja-JP"/>
                </a:pPr>
                <a:r>
                  <a:rPr lang="en-US" altLang="zh-TW"/>
                  <a:t>Aboveground biomass (Mg C ha</a:t>
                </a:r>
                <a:r>
                  <a:rPr lang="en-US" altLang="zh-TW" baseline="30000"/>
                  <a:t>-1</a:t>
                </a:r>
                <a:r>
                  <a:rPr lang="en-US" altLang="zh-TW"/>
                  <a:t>)</a:t>
                </a:r>
                <a:endParaRPr lang="zh-TW" altLang="en-US"/>
              </a:p>
            </c:rich>
          </c:tx>
          <c:overlay val="0"/>
        </c:title>
        <c:numFmt formatCode="0.00_);[Red]\(0.00\)" sourceLinked="1"/>
        <c:majorTickMark val="out"/>
        <c:minorTickMark val="none"/>
        <c:tickLblPos val="nextTo"/>
        <c:txPr>
          <a:bodyPr/>
          <a:lstStyle/>
          <a:p>
            <a:pPr>
              <a:defRPr lang="ja-JP"/>
            </a:pPr>
            <a:endParaRPr lang="en-US"/>
          </a:p>
        </c:txPr>
        <c:crossAx val="-2099615528"/>
        <c:crosses val="autoZero"/>
        <c:crossBetween val="midCat"/>
      </c:valAx>
    </c:plotArea>
    <c:legend>
      <c:legendPos val="r"/>
      <c:legendEntry>
        <c:idx val="4"/>
        <c:delete val="1"/>
      </c:legendEntry>
      <c:legendEntry>
        <c:idx val="5"/>
        <c:delete val="1"/>
      </c:legendEntry>
      <c:overlay val="0"/>
      <c:txPr>
        <a:bodyPr/>
        <a:lstStyle/>
        <a:p>
          <a:pPr>
            <a:defRPr lang="ja-JP"/>
          </a:pPr>
          <a:endParaRPr lang="en-US"/>
        </a:p>
      </c:txPr>
    </c:legend>
    <c:plotVisOnly val="1"/>
    <c:dispBlanksAs val="gap"/>
    <c:showDLblsOverMax val="0"/>
  </c:chart>
  <c:printSettings>
    <c:headerFooter/>
    <c:pageMargins b="1" l="0.75" r="0.75" t="1" header="0.5" footer="0.5"/>
    <c:pageSetup paperSize="9"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variable'!$CJ$2</c:f>
              <c:strCache>
                <c:ptCount val="1"/>
                <c:pt idx="0">
                  <c:v>HR</c:v>
                </c:pt>
              </c:strCache>
            </c:strRef>
          </c:tx>
          <c:spPr>
            <a:ln w="25400" cap="rnd">
              <a:noFill/>
              <a:round/>
            </a:ln>
            <a:effectLst/>
          </c:spPr>
          <c:marker>
            <c:symbol val="circle"/>
            <c:size val="5"/>
            <c:spPr>
              <a:solidFill>
                <a:schemeClr val="tx1"/>
              </a:solidFill>
              <a:ln w="9525">
                <a:noFill/>
              </a:ln>
              <a:effectLst/>
            </c:spPr>
          </c:marker>
          <c:trendline>
            <c:spPr>
              <a:ln w="19050" cap="rnd">
                <a:solidFill>
                  <a:sysClr val="windowText" lastClr="000000"/>
                </a:solidFill>
                <a:prstDash val="sysDot"/>
              </a:ln>
              <a:effectLst/>
            </c:spPr>
            <c:trendlineType val="linear"/>
            <c:dispRSqr val="1"/>
            <c:dispEq val="1"/>
            <c:trendlineLbl>
              <c:layout>
                <c:manualLayout>
                  <c:x val="4.9269829001542871E-2"/>
                  <c:y val="-0.373723826496997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variable'!$CJ$4:$CJ$84</c:f>
              <c:numCache>
                <c:formatCode>0.00_);[Red]\(0.00\)</c:formatCode>
                <c:ptCount val="81"/>
                <c:pt idx="11">
                  <c:v>5.5063636363636368</c:v>
                </c:pt>
                <c:pt idx="22">
                  <c:v>0.51</c:v>
                </c:pt>
                <c:pt idx="23">
                  <c:v>1.0900000000000001</c:v>
                </c:pt>
                <c:pt idx="24">
                  <c:v>1.37</c:v>
                </c:pt>
                <c:pt idx="25">
                  <c:v>1.29</c:v>
                </c:pt>
                <c:pt idx="54">
                  <c:v>13.299999999999999</c:v>
                </c:pt>
                <c:pt idx="79">
                  <c:v>4.4800000000000004</c:v>
                </c:pt>
                <c:pt idx="80">
                  <c:v>4.55</c:v>
                </c:pt>
              </c:numCache>
            </c:numRef>
          </c:xVal>
          <c:yVal>
            <c:numRef>
              <c:f>'Rawdata for dummy variable'!$CC$4:$CC$84</c:f>
              <c:numCache>
                <c:formatCode>0.00_);[Red]\(0.00\)</c:formatCode>
                <c:ptCount val="81"/>
                <c:pt idx="2">
                  <c:v>8.9622499999999992</c:v>
                </c:pt>
                <c:pt idx="5">
                  <c:v>23.355025000000001</c:v>
                </c:pt>
                <c:pt idx="11">
                  <c:v>9.3999999999999986</c:v>
                </c:pt>
                <c:pt idx="22">
                  <c:v>4.17</c:v>
                </c:pt>
                <c:pt idx="23">
                  <c:v>5.08</c:v>
                </c:pt>
                <c:pt idx="24">
                  <c:v>5.46</c:v>
                </c:pt>
                <c:pt idx="25">
                  <c:v>5.76</c:v>
                </c:pt>
                <c:pt idx="26">
                  <c:v>5.5383499999999994</c:v>
                </c:pt>
                <c:pt idx="27">
                  <c:v>2.8555625</c:v>
                </c:pt>
                <c:pt idx="39">
                  <c:v>5.8574999999999999</c:v>
                </c:pt>
                <c:pt idx="40">
                  <c:v>6.07</c:v>
                </c:pt>
                <c:pt idx="41">
                  <c:v>0.54666666666666663</c:v>
                </c:pt>
                <c:pt idx="44">
                  <c:v>8.0299999999999994</c:v>
                </c:pt>
                <c:pt idx="48">
                  <c:v>25.5</c:v>
                </c:pt>
                <c:pt idx="49">
                  <c:v>7.8599999999999994</c:v>
                </c:pt>
                <c:pt idx="50">
                  <c:v>9.11</c:v>
                </c:pt>
                <c:pt idx="54">
                  <c:v>11.8</c:v>
                </c:pt>
                <c:pt idx="57">
                  <c:v>1.2500000000000142</c:v>
                </c:pt>
                <c:pt idx="58">
                  <c:v>2.125</c:v>
                </c:pt>
                <c:pt idx="60">
                  <c:v>9.370000000000001</c:v>
                </c:pt>
                <c:pt idx="63">
                  <c:v>4.0854999999999997</c:v>
                </c:pt>
                <c:pt idx="65">
                  <c:v>4.1500000000000004</c:v>
                </c:pt>
                <c:pt idx="66">
                  <c:v>5.6</c:v>
                </c:pt>
                <c:pt idx="67">
                  <c:v>3.75</c:v>
                </c:pt>
                <c:pt idx="69">
                  <c:v>4</c:v>
                </c:pt>
                <c:pt idx="70">
                  <c:v>2.9</c:v>
                </c:pt>
                <c:pt idx="71">
                  <c:v>4</c:v>
                </c:pt>
                <c:pt idx="72">
                  <c:v>4.0999999999999996</c:v>
                </c:pt>
                <c:pt idx="75">
                  <c:v>4.6500000000000004</c:v>
                </c:pt>
                <c:pt idx="76">
                  <c:v>3.45</c:v>
                </c:pt>
                <c:pt idx="78">
                  <c:v>2.2166666666666672</c:v>
                </c:pt>
                <c:pt idx="79">
                  <c:v>7.1099999999999994</c:v>
                </c:pt>
                <c:pt idx="80">
                  <c:v>7.76</c:v>
                </c:pt>
              </c:numCache>
            </c:numRef>
          </c:yVal>
          <c:smooth val="0"/>
          <c:extLst>
            <c:ext xmlns:c16="http://schemas.microsoft.com/office/drawing/2014/chart" uri="{C3380CC4-5D6E-409C-BE32-E72D297353CC}">
              <c16:uniqueId val="{00000000-F9CE-4D60-B348-5ACF8A42CF9A}"/>
            </c:ext>
          </c:extLst>
        </c:ser>
        <c:dLbls>
          <c:showLegendKey val="0"/>
          <c:showVal val="0"/>
          <c:showCatName val="0"/>
          <c:showSerName val="0"/>
          <c:showPercent val="0"/>
          <c:showBubbleSize val="0"/>
        </c:dLbls>
        <c:axId val="2124795144"/>
        <c:axId val="-2137472456"/>
      </c:scatterChart>
      <c:valAx>
        <c:axId val="2124795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Heterotrophic Respiration, HR (Mg C ha</a:t>
                </a:r>
                <a:r>
                  <a:rPr lang="en-US" altLang="zh-TW" sz="1000" b="0" i="0" baseline="30000">
                    <a:effectLst/>
                  </a:rPr>
                  <a:t>-1</a:t>
                </a:r>
                <a:r>
                  <a:rPr lang="en-US" altLang="zh-TW" sz="1000" b="0" i="0" baseline="0">
                    <a:effectLst/>
                  </a:rPr>
                  <a:t> yr</a:t>
                </a:r>
                <a:r>
                  <a:rPr lang="en-US" altLang="zh-TW" sz="1000" b="0" i="0" baseline="30000">
                    <a:effectLst/>
                  </a:rPr>
                  <a:t>-1</a:t>
                </a:r>
                <a:r>
                  <a:rPr lang="en-US" altLang="zh-TW" sz="1000" b="0" i="0" baseline="0">
                    <a:effectLst/>
                  </a:rPr>
                  <a:t>)</a:t>
                </a:r>
                <a:endParaRPr lang="zh-TW" altLang="zh-TW" sz="1000">
                  <a:effectLst/>
                </a:endParaRPr>
              </a:p>
            </c:rich>
          </c:tx>
          <c:layout>
            <c:manualLayout>
              <c:xMode val="edge"/>
              <c:yMode val="edge"/>
              <c:x val="0.26448029621793179"/>
              <c:y val="0.88772129150200074"/>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ANPP (Mg C ha</a:t>
                </a:r>
                <a:r>
                  <a:rPr lang="en-GB" altLang="zh-TW" sz="1000" b="0" i="0" u="none" strike="noStrike" baseline="30000">
                    <a:effectLst/>
                  </a:rPr>
                  <a:t>-1 </a:t>
                </a:r>
                <a:r>
                  <a:rPr lang="en-GB" altLang="zh-TW" sz="1000" b="0" i="0" u="none" strike="noStrike" baseline="0">
                    <a:effectLst/>
                  </a:rPr>
                  <a:t>yr</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variable'!$CJ$2</c:f>
              <c:strCache>
                <c:ptCount val="1"/>
                <c:pt idx="0">
                  <c:v>HR</c:v>
                </c:pt>
              </c:strCache>
            </c:strRef>
          </c:tx>
          <c:spPr>
            <a:ln w="25400" cap="rnd">
              <a:noFill/>
              <a:round/>
            </a:ln>
            <a:effectLst/>
          </c:spPr>
          <c:marker>
            <c:symbol val="circle"/>
            <c:size val="5"/>
            <c:spPr>
              <a:solidFill>
                <a:schemeClr val="tx1"/>
              </a:solidFill>
              <a:ln w="9525">
                <a:noFill/>
              </a:ln>
              <a:effectLst/>
            </c:spPr>
          </c:marker>
          <c:trendline>
            <c:spPr>
              <a:ln w="19050" cap="rnd">
                <a:solidFill>
                  <a:sysClr val="windowText" lastClr="000000"/>
                </a:solidFill>
                <a:prstDash val="sysDot"/>
              </a:ln>
              <a:effectLst/>
            </c:spPr>
            <c:trendlineType val="exp"/>
            <c:dispRSqr val="1"/>
            <c:dispEq val="1"/>
            <c:trendlineLbl>
              <c:layout>
                <c:manualLayout>
                  <c:x val="4.948338321853659E-2"/>
                  <c:y val="-5.69224395188846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variable'!$BY$4:$BY$84</c:f>
              <c:numCache>
                <c:formatCode>0.00_);[Red]\(0.00\)</c:formatCode>
                <c:ptCount val="81"/>
                <c:pt idx="5">
                  <c:v>2.9430000000000001</c:v>
                </c:pt>
                <c:pt idx="44">
                  <c:v>2.2800000000000002</c:v>
                </c:pt>
                <c:pt idx="48">
                  <c:v>1.55</c:v>
                </c:pt>
                <c:pt idx="49">
                  <c:v>2.84</c:v>
                </c:pt>
                <c:pt idx="50">
                  <c:v>3.7600000000000002</c:v>
                </c:pt>
                <c:pt idx="54">
                  <c:v>3.05</c:v>
                </c:pt>
                <c:pt idx="57">
                  <c:v>0</c:v>
                </c:pt>
                <c:pt idx="58">
                  <c:v>9.9999999999999645E-2</c:v>
                </c:pt>
                <c:pt idx="60">
                  <c:v>2.835</c:v>
                </c:pt>
                <c:pt idx="63">
                  <c:v>0.68300000000000005</c:v>
                </c:pt>
                <c:pt idx="65">
                  <c:v>0.15</c:v>
                </c:pt>
                <c:pt idx="66">
                  <c:v>0.2</c:v>
                </c:pt>
                <c:pt idx="67">
                  <c:v>0.1</c:v>
                </c:pt>
                <c:pt idx="75">
                  <c:v>0.15</c:v>
                </c:pt>
                <c:pt idx="76">
                  <c:v>0.1</c:v>
                </c:pt>
                <c:pt idx="79">
                  <c:v>0.38</c:v>
                </c:pt>
                <c:pt idx="80">
                  <c:v>0.41</c:v>
                </c:pt>
              </c:numCache>
            </c:numRef>
          </c:xVal>
          <c:yVal>
            <c:numRef>
              <c:f>'Rawdata for dummy variable'!$CG$4:$CG$84</c:f>
              <c:numCache>
                <c:formatCode>0.00_);[Red]\(0.00\)</c:formatCode>
                <c:ptCount val="81"/>
                <c:pt idx="5">
                  <c:v>6.53803</c:v>
                </c:pt>
                <c:pt idx="11">
                  <c:v>0.96</c:v>
                </c:pt>
                <c:pt idx="22">
                  <c:v>3.11</c:v>
                </c:pt>
                <c:pt idx="23">
                  <c:v>4.0199999999999996</c:v>
                </c:pt>
                <c:pt idx="24">
                  <c:v>4.34</c:v>
                </c:pt>
                <c:pt idx="25">
                  <c:v>4.33</c:v>
                </c:pt>
                <c:pt idx="48">
                  <c:v>3.3333333333333339</c:v>
                </c:pt>
                <c:pt idx="54">
                  <c:v>11</c:v>
                </c:pt>
                <c:pt idx="63">
                  <c:v>1.6465000000000001</c:v>
                </c:pt>
                <c:pt idx="79">
                  <c:v>1.3900000000000001</c:v>
                </c:pt>
                <c:pt idx="80">
                  <c:v>1.1099999999999999</c:v>
                </c:pt>
              </c:numCache>
            </c:numRef>
          </c:yVal>
          <c:smooth val="0"/>
          <c:extLst>
            <c:ext xmlns:c16="http://schemas.microsoft.com/office/drawing/2014/chart" uri="{C3380CC4-5D6E-409C-BE32-E72D297353CC}">
              <c16:uniqueId val="{00000000-EAA5-4372-B378-FAE146C56EA3}"/>
            </c:ext>
          </c:extLst>
        </c:ser>
        <c:dLbls>
          <c:showLegendKey val="0"/>
          <c:showVal val="0"/>
          <c:showCatName val="0"/>
          <c:showSerName val="0"/>
          <c:showPercent val="0"/>
          <c:showBubbleSize val="0"/>
        </c:dLbls>
        <c:axId val="2124795144"/>
        <c:axId val="-2137472456"/>
      </c:scatterChart>
      <c:valAx>
        <c:axId val="2124795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LNP (Mg C ha</a:t>
                </a:r>
                <a:r>
                  <a:rPr lang="en-US" altLang="zh-TW" sz="1000" b="0" i="0" baseline="30000">
                    <a:effectLst/>
                  </a:rPr>
                  <a:t>-1</a:t>
                </a:r>
                <a:r>
                  <a:rPr lang="en-US" altLang="zh-TW" sz="1000" b="0" i="0" baseline="0">
                    <a:effectLst/>
                  </a:rPr>
                  <a:t> yr</a:t>
                </a:r>
                <a:r>
                  <a:rPr lang="en-US" altLang="zh-TW" sz="1000" b="0" i="0" baseline="30000">
                    <a:effectLst/>
                  </a:rPr>
                  <a:t>-1</a:t>
                </a:r>
                <a:r>
                  <a:rPr lang="en-US" altLang="zh-TW" sz="1000" b="0" i="0" baseline="0">
                    <a:effectLst/>
                  </a:rPr>
                  <a:t>)</a:t>
                </a:r>
                <a:endParaRPr lang="zh-TW" altLang="zh-TW" sz="1000">
                  <a:effectLst/>
                </a:endParaRPr>
              </a:p>
            </c:rich>
          </c:tx>
          <c:layout>
            <c:manualLayout>
              <c:xMode val="edge"/>
              <c:yMode val="edge"/>
              <c:x val="0.39489712566417001"/>
              <c:y val="0.87868037328667303"/>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BNPP (Mg C ha</a:t>
                </a:r>
                <a:r>
                  <a:rPr lang="en-GB" altLang="zh-TW" sz="1000" b="0" i="0" u="none" strike="noStrike" baseline="30000">
                    <a:effectLst/>
                  </a:rPr>
                  <a:t>-1 </a:t>
                </a:r>
                <a:r>
                  <a:rPr lang="en-GB" altLang="zh-TW" sz="1000" b="0" i="0" u="none" strike="noStrike" baseline="0">
                    <a:effectLst/>
                  </a:rPr>
                  <a:t>yr</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scatterChart>
        <c:scatterStyle val="lineMarker"/>
        <c:varyColors val="0"/>
        <c:ser>
          <c:idx val="0"/>
          <c:order val="0"/>
          <c:tx>
            <c:strRef>
              <c:f>'Rawdata for dummy variable'!$CI$2</c:f>
              <c:strCache>
                <c:ptCount val="1"/>
                <c:pt idx="0">
                  <c:v>SR</c:v>
                </c:pt>
              </c:strCache>
            </c:strRef>
          </c:tx>
          <c:spPr>
            <a:ln w="25400" cap="rnd">
              <a:noFill/>
              <a:round/>
            </a:ln>
            <a:effectLst/>
          </c:spPr>
          <c:marker>
            <c:symbol val="circle"/>
            <c:size val="5"/>
            <c:spPr>
              <a:solidFill>
                <a:schemeClr val="tx1"/>
              </a:solidFill>
              <a:ln w="9525">
                <a:noFill/>
              </a:ln>
              <a:effectLst/>
            </c:spPr>
          </c:marker>
          <c:trendline>
            <c:spPr>
              <a:ln w="19050" cap="rnd">
                <a:solidFill>
                  <a:sysClr val="windowText" lastClr="000000"/>
                </a:solidFill>
                <a:prstDash val="sysDot"/>
              </a:ln>
              <a:effectLst/>
            </c:spPr>
            <c:trendlineType val="linear"/>
            <c:dispRSqr val="1"/>
            <c:dispEq val="1"/>
            <c:trendlineLbl>
              <c:layout>
                <c:manualLayout>
                  <c:x val="4.9269829001542871E-2"/>
                  <c:y val="-0.373723826496997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'Rawdata for dummy variable'!$CI$4:$CI$84</c:f>
              <c:numCache>
                <c:formatCode>0.00_);[Red]\(0.00\)</c:formatCode>
                <c:ptCount val="81"/>
                <c:pt idx="11">
                  <c:v>9.256636363636364</c:v>
                </c:pt>
                <c:pt idx="54">
                  <c:v>14.263636363636362</c:v>
                </c:pt>
                <c:pt idx="79">
                  <c:v>11.21</c:v>
                </c:pt>
                <c:pt idx="80">
                  <c:v>11.41</c:v>
                </c:pt>
              </c:numCache>
            </c:numRef>
          </c:xVal>
          <c:yVal>
            <c:numRef>
              <c:f>'Rawdata for dummy variable'!$CC$4:$CC$84</c:f>
              <c:numCache>
                <c:formatCode>0.00_);[Red]\(0.00\)</c:formatCode>
                <c:ptCount val="81"/>
                <c:pt idx="2">
                  <c:v>8.9622499999999992</c:v>
                </c:pt>
                <c:pt idx="5">
                  <c:v>23.355025000000001</c:v>
                </c:pt>
                <c:pt idx="11">
                  <c:v>9.3999999999999986</c:v>
                </c:pt>
                <c:pt idx="22">
                  <c:v>4.17</c:v>
                </c:pt>
                <c:pt idx="23">
                  <c:v>5.08</c:v>
                </c:pt>
                <c:pt idx="24">
                  <c:v>5.46</c:v>
                </c:pt>
                <c:pt idx="25">
                  <c:v>5.76</c:v>
                </c:pt>
                <c:pt idx="26">
                  <c:v>5.5383499999999994</c:v>
                </c:pt>
                <c:pt idx="27">
                  <c:v>2.8555625</c:v>
                </c:pt>
                <c:pt idx="39">
                  <c:v>5.8574999999999999</c:v>
                </c:pt>
                <c:pt idx="40">
                  <c:v>6.07</c:v>
                </c:pt>
                <c:pt idx="41">
                  <c:v>0.54666666666666663</c:v>
                </c:pt>
                <c:pt idx="44">
                  <c:v>8.0299999999999994</c:v>
                </c:pt>
                <c:pt idx="48">
                  <c:v>25.5</c:v>
                </c:pt>
                <c:pt idx="49">
                  <c:v>7.8599999999999994</c:v>
                </c:pt>
                <c:pt idx="50">
                  <c:v>9.11</c:v>
                </c:pt>
                <c:pt idx="54">
                  <c:v>11.8</c:v>
                </c:pt>
                <c:pt idx="57">
                  <c:v>1.2500000000000142</c:v>
                </c:pt>
                <c:pt idx="58">
                  <c:v>2.125</c:v>
                </c:pt>
                <c:pt idx="60">
                  <c:v>9.370000000000001</c:v>
                </c:pt>
                <c:pt idx="63">
                  <c:v>4.0854999999999997</c:v>
                </c:pt>
                <c:pt idx="65">
                  <c:v>4.1500000000000004</c:v>
                </c:pt>
                <c:pt idx="66">
                  <c:v>5.6</c:v>
                </c:pt>
                <c:pt idx="67">
                  <c:v>3.75</c:v>
                </c:pt>
                <c:pt idx="69">
                  <c:v>4</c:v>
                </c:pt>
                <c:pt idx="70">
                  <c:v>2.9</c:v>
                </c:pt>
                <c:pt idx="71">
                  <c:v>4</c:v>
                </c:pt>
                <c:pt idx="72">
                  <c:v>4.0999999999999996</c:v>
                </c:pt>
                <c:pt idx="75">
                  <c:v>4.6500000000000004</c:v>
                </c:pt>
                <c:pt idx="76">
                  <c:v>3.45</c:v>
                </c:pt>
                <c:pt idx="78">
                  <c:v>2.2166666666666672</c:v>
                </c:pt>
                <c:pt idx="79">
                  <c:v>7.1099999999999994</c:v>
                </c:pt>
                <c:pt idx="80">
                  <c:v>7.76</c:v>
                </c:pt>
              </c:numCache>
            </c:numRef>
          </c:yVal>
          <c:smooth val="0"/>
          <c:extLst>
            <c:ext xmlns:c16="http://schemas.microsoft.com/office/drawing/2014/chart" uri="{C3380CC4-5D6E-409C-BE32-E72D297353CC}">
              <c16:uniqueId val="{00000000-B8E2-40AD-9984-300461DD56D3}"/>
            </c:ext>
          </c:extLst>
        </c:ser>
        <c:dLbls>
          <c:showLegendKey val="0"/>
          <c:showVal val="0"/>
          <c:showCatName val="0"/>
          <c:showSerName val="0"/>
          <c:showPercent val="0"/>
          <c:showBubbleSize val="0"/>
        </c:dLbls>
        <c:axId val="2124795144"/>
        <c:axId val="-2137472456"/>
      </c:scatterChart>
      <c:valAx>
        <c:axId val="2124795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US" altLang="zh-TW" sz="1000" b="0" i="0" baseline="0">
                    <a:effectLst/>
                  </a:rPr>
                  <a:t>Soil Respiration, SR (Mg C ha</a:t>
                </a:r>
                <a:r>
                  <a:rPr lang="en-US" altLang="zh-TW" sz="1000" b="0" i="0" baseline="30000">
                    <a:effectLst/>
                  </a:rPr>
                  <a:t>-1</a:t>
                </a:r>
                <a:r>
                  <a:rPr lang="en-US" altLang="zh-TW" sz="1000" b="0" i="0" baseline="0">
                    <a:effectLst/>
                  </a:rPr>
                  <a:t> yr</a:t>
                </a:r>
                <a:r>
                  <a:rPr lang="en-US" altLang="zh-TW" sz="1000" b="0" i="0" baseline="30000">
                    <a:effectLst/>
                  </a:rPr>
                  <a:t>-1</a:t>
                </a:r>
                <a:r>
                  <a:rPr lang="en-US" altLang="zh-TW" sz="1000" b="0" i="0" baseline="0">
                    <a:effectLst/>
                  </a:rPr>
                  <a:t>)</a:t>
                </a:r>
                <a:endParaRPr lang="zh-TW" altLang="zh-TW" sz="1000">
                  <a:effectLst/>
                </a:endParaRPr>
              </a:p>
            </c:rich>
          </c:tx>
          <c:layout>
            <c:manualLayout>
              <c:xMode val="edge"/>
              <c:yMode val="edge"/>
              <c:x val="0.32303480870865298"/>
              <c:y val="0.89224171223571125"/>
            </c:manualLayout>
          </c:layout>
          <c:overlay val="0"/>
          <c:spPr>
            <a:noFill/>
            <a:ln>
              <a:noFill/>
            </a:ln>
            <a:effectLst/>
          </c:spPr>
          <c:txPr>
            <a:bodyPr rot="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37472456"/>
        <c:crosses val="autoZero"/>
        <c:crossBetween val="midCat"/>
      </c:valAx>
      <c:valAx>
        <c:axId val="-2137472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r>
                  <a:rPr lang="en-GB" altLang="zh-TW" sz="1000" b="0" i="0" u="none" strike="noStrike" baseline="0">
                    <a:effectLst/>
                  </a:rPr>
                  <a:t>ANPP (Mg C ha</a:t>
                </a:r>
                <a:r>
                  <a:rPr lang="en-GB" altLang="zh-TW" sz="1000" b="0" i="0" u="none" strike="noStrike" baseline="30000">
                    <a:effectLst/>
                  </a:rPr>
                  <a:t>-1 </a:t>
                </a:r>
                <a:r>
                  <a:rPr lang="en-GB" altLang="zh-TW" sz="1000" b="0" i="0" u="none" strike="noStrike" baseline="0">
                    <a:effectLst/>
                  </a:rPr>
                  <a:t>yr</a:t>
                </a:r>
                <a:r>
                  <a:rPr lang="en-GB" altLang="zh-TW" sz="1000" b="0" i="0" u="none" strike="noStrike" baseline="30000">
                    <a:effectLst/>
                  </a:rPr>
                  <a:t>-1</a:t>
                </a:r>
                <a:r>
                  <a:rPr lang="en-GB" altLang="zh-TW" sz="1000" b="0" i="0" u="none" strike="noStrike" baseline="0">
                    <a:effectLst/>
                  </a:rPr>
                  <a:t>)</a:t>
                </a:r>
                <a:endParaRPr lang="zh-TW" altLang="zh-TW" sz="1000" b="0" baseline="0">
                  <a:effectLst/>
                </a:endParaRPr>
              </a:p>
            </c:rich>
          </c:tx>
          <c:overlay val="0"/>
          <c:spPr>
            <a:noFill/>
            <a:ln>
              <a:noFill/>
            </a:ln>
            <a:effectLst/>
          </c:spPr>
          <c:txPr>
            <a:bodyPr rot="-5400000" spcFirstLastPara="1" vertOverflow="ellipsis" vert="horz" wrap="square" anchor="ctr" anchorCtr="1"/>
            <a:lstStyle/>
            <a:p>
              <a:pPr>
                <a:defRPr lang="ja-JP"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2124795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419100</xdr:colOff>
      <xdr:row>4</xdr:row>
      <xdr:rowOff>23812</xdr:rowOff>
    </xdr:from>
    <xdr:to>
      <xdr:col>2</xdr:col>
      <xdr:colOff>3067050</xdr:colOff>
      <xdr:row>17</xdr:row>
      <xdr:rowOff>42862</xdr:rowOff>
    </xdr:to>
    <xdr:graphicFrame macro="">
      <xdr:nvGraphicFramePr>
        <xdr:cNvPr id="2" name="圖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407894</xdr:colOff>
      <xdr:row>17</xdr:row>
      <xdr:rowOff>65274</xdr:rowOff>
    </xdr:from>
    <xdr:to>
      <xdr:col>2</xdr:col>
      <xdr:colOff>3044078</xdr:colOff>
      <xdr:row>30</xdr:row>
      <xdr:rowOff>84323</xdr:rowOff>
    </xdr:to>
    <xdr:graphicFrame macro="">
      <xdr:nvGraphicFramePr>
        <xdr:cNvPr id="3" name="圖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99</xdr:row>
      <xdr:rowOff>4762</xdr:rowOff>
    </xdr:from>
    <xdr:to>
      <xdr:col>3</xdr:col>
      <xdr:colOff>0</xdr:colOff>
      <xdr:row>112</xdr:row>
      <xdr:rowOff>23812</xdr:rowOff>
    </xdr:to>
    <xdr:graphicFrame macro="">
      <xdr:nvGraphicFramePr>
        <xdr:cNvPr id="2" name="圖表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112</xdr:row>
      <xdr:rowOff>0</xdr:rowOff>
    </xdr:from>
    <xdr:to>
      <xdr:col>3</xdr:col>
      <xdr:colOff>0</xdr:colOff>
      <xdr:row>125</xdr:row>
      <xdr:rowOff>19050</xdr:rowOff>
    </xdr:to>
    <xdr:graphicFrame macro="">
      <xdr:nvGraphicFramePr>
        <xdr:cNvPr id="10" name="圖表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96</xdr:col>
      <xdr:colOff>412750</xdr:colOff>
      <xdr:row>84</xdr:row>
      <xdr:rowOff>6350</xdr:rowOff>
    </xdr:from>
    <xdr:to>
      <xdr:col>103</xdr:col>
      <xdr:colOff>247650</xdr:colOff>
      <xdr:row>98</xdr:row>
      <xdr:rowOff>88900</xdr:rowOff>
    </xdr:to>
    <xdr:graphicFrame macro="">
      <xdr:nvGraphicFramePr>
        <xdr:cNvPr id="30" name="圖表 29">
          <a:extLst>
            <a:ext uri="{FF2B5EF4-FFF2-40B4-BE49-F238E27FC236}">
              <a16:creationId xmlns:a16="http://schemas.microsoft.com/office/drawing/2014/main" id="{00000000-0008-0000-01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90</xdr:col>
      <xdr:colOff>9525</xdr:colOff>
      <xdr:row>84</xdr:row>
      <xdr:rowOff>9525</xdr:rowOff>
    </xdr:from>
    <xdr:to>
      <xdr:col>96</xdr:col>
      <xdr:colOff>409575</xdr:colOff>
      <xdr:row>98</xdr:row>
      <xdr:rowOff>92075</xdr:rowOff>
    </xdr:to>
    <xdr:graphicFrame macro="">
      <xdr:nvGraphicFramePr>
        <xdr:cNvPr id="31" name="圖表 30">
          <a:extLst>
            <a:ext uri="{FF2B5EF4-FFF2-40B4-BE49-F238E27FC236}">
              <a16:creationId xmlns:a16="http://schemas.microsoft.com/office/drawing/2014/main" id="{00000000-0008-0000-01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80</xdr:col>
      <xdr:colOff>0</xdr:colOff>
      <xdr:row>87</xdr:row>
      <xdr:rowOff>0</xdr:rowOff>
    </xdr:from>
    <xdr:to>
      <xdr:col>87</xdr:col>
      <xdr:colOff>76200</xdr:colOff>
      <xdr:row>100</xdr:row>
      <xdr:rowOff>19050</xdr:rowOff>
    </xdr:to>
    <xdr:graphicFrame macro="">
      <xdr:nvGraphicFramePr>
        <xdr:cNvPr id="32" name="圖表 31">
          <a:extLst>
            <a:ext uri="{FF2B5EF4-FFF2-40B4-BE49-F238E27FC236}">
              <a16:creationId xmlns:a16="http://schemas.microsoft.com/office/drawing/2014/main" id="{00000000-0008-0000-01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80</xdr:col>
      <xdr:colOff>0</xdr:colOff>
      <xdr:row>101</xdr:row>
      <xdr:rowOff>0</xdr:rowOff>
    </xdr:from>
    <xdr:to>
      <xdr:col>87</xdr:col>
      <xdr:colOff>76200</xdr:colOff>
      <xdr:row>114</xdr:row>
      <xdr:rowOff>19050</xdr:rowOff>
    </xdr:to>
    <xdr:graphicFrame macro="">
      <xdr:nvGraphicFramePr>
        <xdr:cNvPr id="33" name="圖表 32">
          <a:extLst>
            <a:ext uri="{FF2B5EF4-FFF2-40B4-BE49-F238E27FC236}">
              <a16:creationId xmlns:a16="http://schemas.microsoft.com/office/drawing/2014/main" id="{00000000-0008-0000-01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72</xdr:col>
      <xdr:colOff>0</xdr:colOff>
      <xdr:row>87</xdr:row>
      <xdr:rowOff>0</xdr:rowOff>
    </xdr:from>
    <xdr:to>
      <xdr:col>79</xdr:col>
      <xdr:colOff>76200</xdr:colOff>
      <xdr:row>100</xdr:row>
      <xdr:rowOff>19050</xdr:rowOff>
    </xdr:to>
    <xdr:graphicFrame macro="">
      <xdr:nvGraphicFramePr>
        <xdr:cNvPr id="36" name="圖表 35">
          <a:extLst>
            <a:ext uri="{FF2B5EF4-FFF2-40B4-BE49-F238E27FC236}">
              <a16:creationId xmlns:a16="http://schemas.microsoft.com/office/drawing/2014/main" id="{00000000-0008-0000-01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72</xdr:col>
      <xdr:colOff>0</xdr:colOff>
      <xdr:row>101</xdr:row>
      <xdr:rowOff>0</xdr:rowOff>
    </xdr:from>
    <xdr:to>
      <xdr:col>79</xdr:col>
      <xdr:colOff>76200</xdr:colOff>
      <xdr:row>114</xdr:row>
      <xdr:rowOff>19050</xdr:rowOff>
    </xdr:to>
    <xdr:graphicFrame macro="">
      <xdr:nvGraphicFramePr>
        <xdr:cNvPr id="37" name="圖表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0</xdr:colOff>
      <xdr:row>87</xdr:row>
      <xdr:rowOff>0</xdr:rowOff>
    </xdr:from>
    <xdr:to>
      <xdr:col>71</xdr:col>
      <xdr:colOff>129861</xdr:colOff>
      <xdr:row>100</xdr:row>
      <xdr:rowOff>19050</xdr:rowOff>
    </xdr:to>
    <xdr:graphicFrame macro="">
      <xdr:nvGraphicFramePr>
        <xdr:cNvPr id="39" name="圖表 38">
          <a:extLst>
            <a:ext uri="{FF2B5EF4-FFF2-40B4-BE49-F238E27FC236}">
              <a16:creationId xmlns:a16="http://schemas.microsoft.com/office/drawing/2014/main" id="{00000000-0008-0000-01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80</xdr:col>
      <xdr:colOff>0</xdr:colOff>
      <xdr:row>115</xdr:row>
      <xdr:rowOff>0</xdr:rowOff>
    </xdr:from>
    <xdr:to>
      <xdr:col>87</xdr:col>
      <xdr:colOff>76200</xdr:colOff>
      <xdr:row>128</xdr:row>
      <xdr:rowOff>19050</xdr:rowOff>
    </xdr:to>
    <xdr:graphicFrame macro="">
      <xdr:nvGraphicFramePr>
        <xdr:cNvPr id="40" name="圖表 39">
          <a:extLst>
            <a:ext uri="{FF2B5EF4-FFF2-40B4-BE49-F238E27FC236}">
              <a16:creationId xmlns:a16="http://schemas.microsoft.com/office/drawing/2014/main" id="{00000000-0008-0000-01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72</xdr:col>
      <xdr:colOff>0</xdr:colOff>
      <xdr:row>115</xdr:row>
      <xdr:rowOff>0</xdr:rowOff>
    </xdr:from>
    <xdr:to>
      <xdr:col>79</xdr:col>
      <xdr:colOff>76200</xdr:colOff>
      <xdr:row>128</xdr:row>
      <xdr:rowOff>19050</xdr:rowOff>
    </xdr:to>
    <xdr:graphicFrame macro="">
      <xdr:nvGraphicFramePr>
        <xdr:cNvPr id="41" name="圖表 40">
          <a:extLst>
            <a:ext uri="{FF2B5EF4-FFF2-40B4-BE49-F238E27FC236}">
              <a16:creationId xmlns:a16="http://schemas.microsoft.com/office/drawing/2014/main" id="{00000000-0008-0000-01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72</xdr:col>
      <xdr:colOff>0</xdr:colOff>
      <xdr:row>129</xdr:row>
      <xdr:rowOff>0</xdr:rowOff>
    </xdr:from>
    <xdr:to>
      <xdr:col>79</xdr:col>
      <xdr:colOff>76200</xdr:colOff>
      <xdr:row>142</xdr:row>
      <xdr:rowOff>19050</xdr:rowOff>
    </xdr:to>
    <xdr:graphicFrame macro="">
      <xdr:nvGraphicFramePr>
        <xdr:cNvPr id="42" name="圖表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72</xdr:col>
      <xdr:colOff>0</xdr:colOff>
      <xdr:row>143</xdr:row>
      <xdr:rowOff>0</xdr:rowOff>
    </xdr:from>
    <xdr:to>
      <xdr:col>79</xdr:col>
      <xdr:colOff>76200</xdr:colOff>
      <xdr:row>156</xdr:row>
      <xdr:rowOff>19050</xdr:rowOff>
    </xdr:to>
    <xdr:graphicFrame macro="">
      <xdr:nvGraphicFramePr>
        <xdr:cNvPr id="14" name="圖表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link.springer.com/article/10.1023/A:1009711814070" TargetMode="External"/><Relationship Id="rId21" Type="http://schemas.openxmlformats.org/officeDocument/2006/relationships/hyperlink" Target="https://agupubs.onlinelibrary.wiley.com/doi/full/10.1029/2009JG001234" TargetMode="External"/><Relationship Id="rId42" Type="http://schemas.openxmlformats.org/officeDocument/2006/relationships/hyperlink" Target="https://catalog.lib.kyushu-u.ac.jp/opac_detail_md/?lang=0&amp;amode=MD100000&amp;bibid=1913975" TargetMode="External"/><Relationship Id="rId47" Type="http://schemas.openxmlformats.org/officeDocument/2006/relationships/hyperlink" Target="https://www.jstage.jst.go.jp/article/jjfs/100/4/100_124/_article/-char/ja" TargetMode="External"/><Relationship Id="rId63" Type="http://schemas.openxmlformats.org/officeDocument/2006/relationships/hyperlink" Target="http://ir.lib.nchu.edu.tw/bitstream/11455/74254/1/143838-3.pdf" TargetMode="External"/><Relationship Id="rId68" Type="http://schemas.openxmlformats.org/officeDocument/2006/relationships/hyperlink" Target="https://advances.sciencemag.org/content/6/12/eaaw5790" TargetMode="External"/><Relationship Id="rId2" Type="http://schemas.openxmlformats.org/officeDocument/2006/relationships/hyperlink" Target="http://ahnydxxb.ahau.edu.cn/ch/reader/view_abstract.aspx?file_no=201106005&amp;flag=1" TargetMode="External"/><Relationship Id="rId16" Type="http://schemas.openxmlformats.org/officeDocument/2006/relationships/hyperlink" Target="http://www.sisef.it/iforest/contents/?id=ifor1674-008" TargetMode="External"/><Relationship Id="rId29" Type="http://schemas.openxmlformats.org/officeDocument/2006/relationships/hyperlink" Target="https://www.jstage.jst.go.jp/article/jila/68/5/68_5_689/_article/-char/ja" TargetMode="External"/><Relationship Id="rId11" Type="http://schemas.openxmlformats.org/officeDocument/2006/relationships/hyperlink" Target="http://kiss.kstudy.com/thesis/thesis-view.asp?key=3042038" TargetMode="External"/><Relationship Id="rId24" Type="http://schemas.openxmlformats.org/officeDocument/2006/relationships/hyperlink" Target="http://www.airitilibrary.com/Publication/alDetailedMesh?DocID=10017488-201011-201101220039-201101220039-59-65" TargetMode="External"/><Relationship Id="rId32" Type="http://schemas.openxmlformats.org/officeDocument/2006/relationships/hyperlink" Target="http://web.kyoto-inet.or.jp/people/j-bamboo/bj-5.html" TargetMode="External"/><Relationship Id="rId37" Type="http://schemas.openxmlformats.org/officeDocument/2006/relationships/hyperlink" Target="http://web.kyoto-inet.or.jp/people/j-bamboo/bj-3.html" TargetMode="External"/><Relationship Id="rId40" Type="http://schemas.openxmlformats.org/officeDocument/2006/relationships/hyperlink" Target="https://www.jstage.jst.go.jp/article/jjsrt/35/1/35_1_57/_article/-char/ja" TargetMode="External"/><Relationship Id="rId45" Type="http://schemas.openxmlformats.org/officeDocument/2006/relationships/hyperlink" Target="https://ir.kagoshima-u.ac.jp/?action=pages_view_main&amp;active_action=repository_view_main_item_detail&amp;item_id=12611&amp;item_no=1&amp;page_id=13&amp;block_id=21" TargetMode="External"/><Relationship Id="rId53" Type="http://schemas.openxmlformats.org/officeDocument/2006/relationships/hyperlink" Target="https://www.jstage.jst.go.jp/article/jjsk/58/0/58_KJ00006203544/_article/-char/ja/" TargetMode="External"/><Relationship Id="rId58" Type="http://schemas.openxmlformats.org/officeDocument/2006/relationships/hyperlink" Target="http://ir.lib.nchu.edu.tw/bitstream/11455/74254/1/143838-3.pdf" TargetMode="External"/><Relationship Id="rId66" Type="http://schemas.openxmlformats.org/officeDocument/2006/relationships/hyperlink" Target="https://esj-journals.onlinelibrary.wiley.com/doi/full/10.1007/s11284-017-1497-5" TargetMode="External"/><Relationship Id="rId74" Type="http://schemas.openxmlformats.org/officeDocument/2006/relationships/hyperlink" Target="https://esj-journals.onlinelibrary.wiley.com/doi/full/10.1007/s11284-017-1497-5" TargetMode="External"/><Relationship Id="rId5" Type="http://schemas.openxmlformats.org/officeDocument/2006/relationships/hyperlink" Target="https://link.springer.com/article/10.1007/s11368-013-0665-7" TargetMode="External"/><Relationship Id="rId61" Type="http://schemas.openxmlformats.org/officeDocument/2006/relationships/hyperlink" Target="https://www.sciencedirect.com/science/article/pii/S0378112710007188" TargetMode="External"/><Relationship Id="rId19" Type="http://schemas.openxmlformats.org/officeDocument/2006/relationships/hyperlink" Target="http://zlxb.zafu.edu.cn/CN/10.11833/j.issn.2095-0756.2012.01.010" TargetMode="External"/><Relationship Id="rId14" Type="http://schemas.openxmlformats.org/officeDocument/2006/relationships/hyperlink" Target="https://www.jstor.org/stable/43595383?read-now=1&amp;seq=1" TargetMode="External"/><Relationship Id="rId22" Type="http://schemas.openxmlformats.org/officeDocument/2006/relationships/hyperlink" Target="http://kns.cnki.net/kcms/detail/detail.aspx?DbCode=CJFD&amp;dbname=CJFD9093&amp;filename=LYKX199305011" TargetMode="External"/><Relationship Id="rId27" Type="http://schemas.openxmlformats.org/officeDocument/2006/relationships/hyperlink" Target="https://www.jstage.jst.go.jp/article/jass/24/4/24_243/_article/-char/ja/" TargetMode="External"/><Relationship Id="rId30" Type="http://schemas.openxmlformats.org/officeDocument/2006/relationships/hyperlink" Target="https://www.jstage.jst.go.jp/article/jass/21/1/21_65/_pdf/-char/ja" TargetMode="External"/><Relationship Id="rId35" Type="http://schemas.openxmlformats.org/officeDocument/2006/relationships/hyperlink" Target="http://web.kyoto-inet.or.jp/people/j-bamboo/bj-3.html" TargetMode="External"/><Relationship Id="rId43" Type="http://schemas.openxmlformats.org/officeDocument/2006/relationships/hyperlink" Target="https://ir.kagoshima-u.ac.jp/?action=pages_view_main&amp;active_action=repository_view_main_item_detail&amp;item_id=12611&amp;item_no=1&amp;page_id=13&amp;block_id=21" TargetMode="External"/><Relationship Id="rId48" Type="http://schemas.openxmlformats.org/officeDocument/2006/relationships/hyperlink" Target="https://esj-journals.onlinelibrary.wiley.com/doi/pdf/10.1007/s11284-014-1150-5" TargetMode="External"/><Relationship Id="rId56" Type="http://schemas.openxmlformats.org/officeDocument/2006/relationships/hyperlink" Target="http://www.airitilibrary.com/Publication/alDetailedMesh?docid=05781345-201406-201503020016-201503020016-181-192" TargetMode="External"/><Relationship Id="rId64"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69" Type="http://schemas.openxmlformats.org/officeDocument/2006/relationships/hyperlink" Target="https://advances.sciencemag.org/content/6/12/eaaw5790" TargetMode="External"/><Relationship Id="rId8" Type="http://schemas.openxmlformats.org/officeDocument/2006/relationships/hyperlink" Target="https://www.jstor.org/stable/43595383?read-now=1&amp;seq=1" TargetMode="External"/><Relationship Id="rId51" Type="http://schemas.openxmlformats.org/officeDocument/2006/relationships/hyperlink" Target="http://web.kyoto-inet.or.jp/people/j-bamboo/bj-27.html" TargetMode="External"/><Relationship Id="rId72"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3" Type="http://schemas.openxmlformats.org/officeDocument/2006/relationships/hyperlink" Target="http://zlxb.zafu.edu.cn/EN/10.11833/j.issn.2095-0756.2012.03.001" TargetMode="External"/><Relationship Id="rId12" Type="http://schemas.openxmlformats.org/officeDocument/2006/relationships/hyperlink" Target="http://kiss.kstudy.com/thesis/thesis-view.asp?key=2459514" TargetMode="External"/><Relationship Id="rId17" Type="http://schemas.openxmlformats.org/officeDocument/2006/relationships/hyperlink" Target="https://link.springer.com/article/10.1007/s11368-013-0665-7" TargetMode="External"/><Relationship Id="rId25" Type="http://schemas.openxmlformats.org/officeDocument/2006/relationships/hyperlink" Target="https://www.jstage.jst.go.jp/article/jass/24/4/24_243/_article/-char/ja/" TargetMode="External"/><Relationship Id="rId33" Type="http://schemas.openxmlformats.org/officeDocument/2006/relationships/hyperlink" Target="http://web.kyoto-inet.or.jp/people/j-bamboo/bj-5.html" TargetMode="External"/><Relationship Id="rId38" Type="http://schemas.openxmlformats.org/officeDocument/2006/relationships/hyperlink" Target="http://web.kyoto-inet.or.jp/people/j-bamboo/bj-5.html" TargetMode="External"/><Relationship Id="rId46" Type="http://schemas.openxmlformats.org/officeDocument/2006/relationships/hyperlink" Target="https://catalog.lib.kyushu-u.ac.jp/opac_detail_md/?lang=0&amp;amode=MD100000&amp;bibid=1913975" TargetMode="External"/><Relationship Id="rId59" Type="http://schemas.openxmlformats.org/officeDocument/2006/relationships/hyperlink" Target="http://ir.lib.nchu.edu.tw/bitstream/11455/74254/1/143838-3.pdf" TargetMode="External"/><Relationship Id="rId67" Type="http://schemas.openxmlformats.org/officeDocument/2006/relationships/hyperlink" Target="http://www.airitilibrary.com/Publication/alDetailedMesh?docid=05781345-201406-201503020016-201503020016-181-192" TargetMode="External"/><Relationship Id="rId20" Type="http://schemas.openxmlformats.org/officeDocument/2006/relationships/hyperlink" Target="http://zlxb.zafu.edu.cn/CN/10.11833/j.issn.2095-0756.2012.01.010" TargetMode="External"/><Relationship Id="rId41" Type="http://schemas.openxmlformats.org/officeDocument/2006/relationships/hyperlink" Target="https://www.jstage.jst.go.jp/article/jjsrt/35/1/35_1_57/_article/-char/ja" TargetMode="External"/><Relationship Id="rId54" Type="http://schemas.openxmlformats.org/officeDocument/2006/relationships/hyperlink" Target="http://www.airitilibrary.com/Publication/alDetailedMesh?docid=05781345-201406-201503020016-201503020016-181-192" TargetMode="External"/><Relationship Id="rId62" Type="http://schemas.openxmlformats.org/officeDocument/2006/relationships/hyperlink" Target="https://www.sciencedirect.com/science/article/pii/S0378112710007188" TargetMode="External"/><Relationship Id="rId70" Type="http://schemas.openxmlformats.org/officeDocument/2006/relationships/hyperlink" Target="https://advances.sciencemag.org/content/6/12/eaaw5790" TargetMode="External"/><Relationship Id="rId75" Type="http://schemas.openxmlformats.org/officeDocument/2006/relationships/printerSettings" Target="../printerSettings/printerSettings1.bin"/><Relationship Id="rId1" Type="http://schemas.openxmlformats.org/officeDocument/2006/relationships/hyperlink" Target="http://zlxb.zafu.edu.cn/CN/10.11833/j.issn.2095-0756.2012.01.010" TargetMode="External"/><Relationship Id="rId6" Type="http://schemas.openxmlformats.org/officeDocument/2006/relationships/hyperlink" Target="https://www.ncbi.nlm.nih.gov/pmc/articles/PMC1635818/" TargetMode="External"/><Relationship Id="rId15" Type="http://schemas.openxmlformats.org/officeDocument/2006/relationships/hyperlink" Target="http://www.sisef.it/iforest/contents/?id=ifor1674-008" TargetMode="External"/><Relationship Id="rId23" Type="http://schemas.openxmlformats.org/officeDocument/2006/relationships/hyperlink" Target="http://kns.cnki.net/kcms/detail/detail.aspx?DbCode=CJFD&amp;dbname=CJFD9093&amp;filename=LYKX199305011" TargetMode="External"/><Relationship Id="rId28" Type="http://schemas.openxmlformats.org/officeDocument/2006/relationships/hyperlink" Target="https://www.jstage.jst.go.jp/article/jjsrt/35/1/35_1_57/_article/-char/ja" TargetMode="External"/><Relationship Id="rId36" Type="http://schemas.openxmlformats.org/officeDocument/2006/relationships/hyperlink" Target="http://web.kyoto-inet.or.jp/people/j-bamboo/bj-3.html" TargetMode="External"/><Relationship Id="rId49" Type="http://schemas.openxmlformats.org/officeDocument/2006/relationships/hyperlink" Target="https://esj-journals.onlinelibrary.wiley.com/doi/pdf/10.1007/s11284-014-1150-5" TargetMode="External"/><Relationship Id="rId57" Type="http://schemas.openxmlformats.org/officeDocument/2006/relationships/hyperlink" Target="http://www.airitilibrary.com/Publication/alDetailedMesh?docid=05781345-201406-201503020016-201503020016-181-192" TargetMode="External"/><Relationship Id="rId10" Type="http://schemas.openxmlformats.org/officeDocument/2006/relationships/hyperlink" Target="https://www.jstor.org/stable/43595383?read-now=1&amp;seq=1" TargetMode="External"/><Relationship Id="rId31" Type="http://schemas.openxmlformats.org/officeDocument/2006/relationships/hyperlink" Target="https://www.jstage.jst.go.jp/article/jjfe/57/1/57_KJ00009983906/_pdf/-char/ja" TargetMode="External"/><Relationship Id="rId44" Type="http://schemas.openxmlformats.org/officeDocument/2006/relationships/hyperlink" Target="https://ir.kagoshima-u.ac.jp/?action=pages_view_main&amp;active_action=repository_view_main_item_detail&amp;item_id=12611&amp;item_no=1&amp;page_id=13&amp;block_id=21" TargetMode="External"/><Relationship Id="rId52" Type="http://schemas.openxmlformats.org/officeDocument/2006/relationships/hyperlink" Target="https://www.jstage.jst.go.jp/article/jjsk/58/0/58_KJ00006203544/_article/-char/ja/" TargetMode="External"/><Relationship Id="rId60" Type="http://schemas.openxmlformats.org/officeDocument/2006/relationships/hyperlink" Target="https://www.sciencedirect.com/science/article/pii/S0378112710007188" TargetMode="External"/><Relationship Id="rId65"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73"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4" Type="http://schemas.openxmlformats.org/officeDocument/2006/relationships/hyperlink" Target="http://html.rhhz.net/linyekexue/html/20131125.htm" TargetMode="External"/><Relationship Id="rId9" Type="http://schemas.openxmlformats.org/officeDocument/2006/relationships/hyperlink" Target="https://www.jstor.org/stable/43595383?read-now=1&amp;seq=1" TargetMode="External"/><Relationship Id="rId13" Type="http://schemas.openxmlformats.org/officeDocument/2006/relationships/hyperlink" Target="http://kiss.kstudy.com/thesis/thesis-view.asp?key=74524" TargetMode="External"/><Relationship Id="rId18" Type="http://schemas.openxmlformats.org/officeDocument/2006/relationships/hyperlink" Target="https://link.springer.com/article/10.1007/s11368-013-0665-7" TargetMode="External"/><Relationship Id="rId39" Type="http://schemas.openxmlformats.org/officeDocument/2006/relationships/hyperlink" Target="https://www.jstage.jst.go.jp/article/jjsrt/35/1/35_1_57/_article/-char/ja" TargetMode="External"/><Relationship Id="rId34" Type="http://schemas.openxmlformats.org/officeDocument/2006/relationships/hyperlink" Target="http://web.kyoto-inet.or.jp/people/j-bamboo/bj-5.html" TargetMode="External"/><Relationship Id="rId50" Type="http://schemas.openxmlformats.org/officeDocument/2006/relationships/hyperlink" Target="https://esj-journals.onlinelibrary.wiley.com/doi/pdf/10.1007/s11284-014-1150-5" TargetMode="External"/><Relationship Id="rId55" Type="http://schemas.openxmlformats.org/officeDocument/2006/relationships/hyperlink" Target="http://www.airitilibrary.com/Publication/alDetailedMesh?docid=05781345-201406-201503020016-201503020016-181-192" TargetMode="External"/><Relationship Id="rId76" Type="http://schemas.openxmlformats.org/officeDocument/2006/relationships/drawing" Target="../drawings/drawing2.xml"/><Relationship Id="rId7" Type="http://schemas.openxmlformats.org/officeDocument/2006/relationships/hyperlink" Target="http://www.sisef.it/iforest/contents/?id=ifor1674-008" TargetMode="External"/><Relationship Id="rId71" Type="http://schemas.openxmlformats.org/officeDocument/2006/relationships/hyperlink" Target="https://advances.sciencemag.org/content/6/12/eaaw579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jstage.jst.go.jp/article/jila/68/5/68_5_689/_article/-char/ja" TargetMode="External"/><Relationship Id="rId18" Type="http://schemas.openxmlformats.org/officeDocument/2006/relationships/hyperlink" Target="https://www.jstage.jst.go.jp/article/jjfe/57/1/57_KJ00009983906/_pdf/-char/ja" TargetMode="External"/><Relationship Id="rId26" Type="http://schemas.openxmlformats.org/officeDocument/2006/relationships/hyperlink" Target="https://www.jstage.jst.go.jp/article/jfsc/118/0/118_0_465/_article/-char/ja/" TargetMode="External"/><Relationship Id="rId3" Type="http://schemas.openxmlformats.org/officeDocument/2006/relationships/hyperlink" Target="https://catalog.lib.kyushu-u.ac.jp/opac_detail_md/?lang=0&amp;amode=MD100000&amp;bibid=1913975" TargetMode="External"/><Relationship Id="rId21" Type="http://schemas.openxmlformats.org/officeDocument/2006/relationships/hyperlink" Target="http://web.kyoto-inet.or.jp/people/j-bamboo/bj-5.html" TargetMode="External"/><Relationship Id="rId34" Type="http://schemas.openxmlformats.org/officeDocument/2006/relationships/hyperlink" Target="https://www.jstage.jst.go.jp/article/jjsrt/35/1/35_1_57/_article/-char/ja" TargetMode="External"/><Relationship Id="rId7" Type="http://schemas.openxmlformats.org/officeDocument/2006/relationships/hyperlink" Target="https://catalog.lib.kyushu-u.ac.jp/opac_detail_md/?lang=0&amp;amode=MD100000&amp;bibid=1913975" TargetMode="External"/><Relationship Id="rId12" Type="http://schemas.openxmlformats.org/officeDocument/2006/relationships/hyperlink" Target="https://www.jstage.jst.go.jp/article/jjfs/100/4/100_124/_article/-char/ja" TargetMode="External"/><Relationship Id="rId17" Type="http://schemas.openxmlformats.org/officeDocument/2006/relationships/hyperlink" Target="https://esj-journals.onlinelibrary.wiley.com/doi/pdf/10.1007/s11284-014-1150-5" TargetMode="External"/><Relationship Id="rId25" Type="http://schemas.openxmlformats.org/officeDocument/2006/relationships/hyperlink" Target="http://web.kyoto-inet.or.jp/people/j-bamboo/bj-3.html" TargetMode="External"/><Relationship Id="rId33" Type="http://schemas.openxmlformats.org/officeDocument/2006/relationships/hyperlink" Target="https://www.jstage.jst.go.jp/article/jjsrt/35/1/35_1_57/_article/-char/ja" TargetMode="External"/><Relationship Id="rId2" Type="http://schemas.openxmlformats.org/officeDocument/2006/relationships/hyperlink" Target="https://link.springer.com/article/10.1023/A:1009711814070" TargetMode="External"/><Relationship Id="rId16" Type="http://schemas.openxmlformats.org/officeDocument/2006/relationships/hyperlink" Target="https://esj-journals.onlinelibrary.wiley.com/doi/pdf/10.1007/s11284-014-1150-5" TargetMode="External"/><Relationship Id="rId20" Type="http://schemas.openxmlformats.org/officeDocument/2006/relationships/hyperlink" Target="http://web.kyoto-inet.or.jp/people/j-bamboo/bj-5.html" TargetMode="External"/><Relationship Id="rId29" Type="http://schemas.openxmlformats.org/officeDocument/2006/relationships/hyperlink" Target="https://www.jstage.jst.go.jp/article/jjsk/58/0/58_KJ00006203544/_article/-char/ja/" TargetMode="External"/><Relationship Id="rId1" Type="http://schemas.openxmlformats.org/officeDocument/2006/relationships/hyperlink" Target="https://www.jstage.jst.go.jp/article/jass/24/4/24_243/_article/-char/ja/" TargetMode="External"/><Relationship Id="rId6" Type="http://schemas.openxmlformats.org/officeDocument/2006/relationships/hyperlink" Target="https://ir.kagoshima-u.ac.jp/?action=pages_view_main&amp;active_action=repository_view_main_item_detail&amp;item_id=12611&amp;item_no=1&amp;page_id=13&amp;block_id=21" TargetMode="External"/><Relationship Id="rId11" Type="http://schemas.openxmlformats.org/officeDocument/2006/relationships/hyperlink" Target="https://www.jstage.jst.go.jp/article/jjsrt/35/1/35_1_57/_article/-char/ja" TargetMode="External"/><Relationship Id="rId24" Type="http://schemas.openxmlformats.org/officeDocument/2006/relationships/hyperlink" Target="http://web.kyoto-inet.or.jp/people/j-bamboo/bj-3.html" TargetMode="External"/><Relationship Id="rId32" Type="http://schemas.openxmlformats.org/officeDocument/2006/relationships/hyperlink" Target="https://www.jstage.jst.go.jp/article/jjsrt/35/1/35_1_57/_article/-char/ja" TargetMode="External"/><Relationship Id="rId5" Type="http://schemas.openxmlformats.org/officeDocument/2006/relationships/hyperlink" Target="https://ir.kagoshima-u.ac.jp/?action=pages_view_main&amp;active_action=repository_view_main_item_detail&amp;item_id=12611&amp;item_no=1&amp;page_id=13&amp;block_id=21" TargetMode="External"/><Relationship Id="rId15" Type="http://schemas.openxmlformats.org/officeDocument/2006/relationships/hyperlink" Target="https://esj-journals.onlinelibrary.wiley.com/doi/pdf/10.1007/s11284-014-1150-5" TargetMode="External"/><Relationship Id="rId23" Type="http://schemas.openxmlformats.org/officeDocument/2006/relationships/hyperlink" Target="http://web.kyoto-inet.or.jp/people/j-bamboo/bj-3.html" TargetMode="External"/><Relationship Id="rId28" Type="http://schemas.openxmlformats.org/officeDocument/2006/relationships/hyperlink" Target="https://www.jstage.jst.go.jp/article/jfsc/118/0/118_0_465/_article/-char/ja/" TargetMode="External"/><Relationship Id="rId10" Type="http://schemas.openxmlformats.org/officeDocument/2006/relationships/hyperlink" Target="https://www.jstage.jst.go.jp/article/jass/24/4/24_243/_article/-char/ja/" TargetMode="External"/><Relationship Id="rId19" Type="http://schemas.openxmlformats.org/officeDocument/2006/relationships/hyperlink" Target="http://web.kyoto-inet.or.jp/people/j-bamboo/bj-27.html" TargetMode="External"/><Relationship Id="rId31" Type="http://schemas.openxmlformats.org/officeDocument/2006/relationships/hyperlink" Target="http://web.kyoto-inet.or.jp/people/j-bamboo/bj-5.html" TargetMode="External"/><Relationship Id="rId4" Type="http://schemas.openxmlformats.org/officeDocument/2006/relationships/hyperlink" Target="https://ir.kagoshima-u.ac.jp/?action=pages_view_main&amp;active_action=repository_view_main_item_detail&amp;item_id=12611&amp;item_no=1&amp;page_id=13&amp;block_id=21" TargetMode="External"/><Relationship Id="rId9" Type="http://schemas.openxmlformats.org/officeDocument/2006/relationships/hyperlink" Target="https://www.jstage.jst.go.jp/article/jass/24/4/24_243/_article/-char/ja/" TargetMode="External"/><Relationship Id="rId14" Type="http://schemas.openxmlformats.org/officeDocument/2006/relationships/hyperlink" Target="https://www.jstage.jst.go.jp/article/jass/21/1/21_65/_pdf/-char/ja" TargetMode="External"/><Relationship Id="rId22" Type="http://schemas.openxmlformats.org/officeDocument/2006/relationships/hyperlink" Target="http://web.kyoto-inet.or.jp/people/j-bamboo/bj-5.html" TargetMode="External"/><Relationship Id="rId27" Type="http://schemas.openxmlformats.org/officeDocument/2006/relationships/hyperlink" Target="https://www.jstage.jst.go.jp/article/jfsc/118/0/118_0_465/_article/-char/ja/" TargetMode="External"/><Relationship Id="rId30" Type="http://schemas.openxmlformats.org/officeDocument/2006/relationships/hyperlink" Target="https://www.jstage.jst.go.jp/article/jjsk/58/0/58_KJ00006203544/_article/-char/ja/" TargetMode="External"/><Relationship Id="rId35" Type="http://schemas.openxmlformats.org/officeDocument/2006/relationships/printerSettings" Target="../printerSettings/printerSettings2.bin"/><Relationship Id="rId8" Type="http://schemas.openxmlformats.org/officeDocument/2006/relationships/hyperlink" Target="https://www.jstage.jst.go.jp/article/jass/24/4/24_243/_article/-char/j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iencedirect.com/science/article/pii/S0378112710007188" TargetMode="External"/><Relationship Id="rId13" Type="http://schemas.openxmlformats.org/officeDocument/2006/relationships/hyperlink" Target="http://www.airitilibrary.com/Publication/alDetailedMesh?docid=05781345-201406-201503020016-201503020016-181-192" TargetMode="External"/><Relationship Id="rId3"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7" Type="http://schemas.openxmlformats.org/officeDocument/2006/relationships/hyperlink" Target="https://www.sciencedirect.com/science/article/pii/S0378112710007188" TargetMode="External"/><Relationship Id="rId12" Type="http://schemas.openxmlformats.org/officeDocument/2006/relationships/hyperlink" Target="http://www.airitilibrary.com/Publication/alDetailedMesh?docid=05781345-201406-201503020016-201503020016-181-192" TargetMode="External"/><Relationship Id="rId2" Type="http://schemas.openxmlformats.org/officeDocument/2006/relationships/hyperlink" Target="https://esj-journals.onlinelibrary.wiley.com/doi/full/10.1007/s11284-017-1497-5" TargetMode="External"/><Relationship Id="rId1" Type="http://schemas.openxmlformats.org/officeDocument/2006/relationships/hyperlink" Target="http://www.airitilibrary.com/Publication/alDetailedMesh?docid=05781345-201406-201503020016-201503020016-181-192" TargetMode="External"/><Relationship Id="rId6" Type="http://schemas.openxmlformats.org/officeDocument/2006/relationships/hyperlink" Target="https://www.sciencedirect.com/science/article/pii/S0378112710007188" TargetMode="External"/><Relationship Id="rId11" Type="http://schemas.openxmlformats.org/officeDocument/2006/relationships/hyperlink" Target="http://www.airitilibrary.com/Publication/alDetailedMesh?docid=05781345-201406-201503020016-201503020016-181-192" TargetMode="External"/><Relationship Id="rId5" Type="http://schemas.openxmlformats.org/officeDocument/2006/relationships/hyperlink" Target="http://ir.lib.nchu.edu.tw/bitstream/11455/74254/1/143838-3.pdf" TargetMode="External"/><Relationship Id="rId10" Type="http://schemas.openxmlformats.org/officeDocument/2006/relationships/hyperlink" Target="http://ir.lib.nchu.edu.tw/bitstream/11455/74254/1/143838-3.pdf" TargetMode="External"/><Relationship Id="rId4"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9" Type="http://schemas.openxmlformats.org/officeDocument/2006/relationships/hyperlink" Target="http://ir.lib.nchu.edu.tw/bitstream/11455/74254/1/143838-3.pdf" TargetMode="External"/><Relationship Id="rId14" Type="http://schemas.openxmlformats.org/officeDocument/2006/relationships/hyperlink" Target="http://www.airitilibrary.com/Publication/alDetailedMesh?docid=05781345-201406-201503020016-201503020016-181-1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61"/>
  <sheetViews>
    <sheetView topLeftCell="D1" zoomScale="85" zoomScaleNormal="85" workbookViewId="0">
      <selection activeCell="G74" sqref="G74"/>
    </sheetView>
  </sheetViews>
  <sheetFormatPr defaultRowHeight="15.75"/>
  <cols>
    <col min="2" max="2" width="16.25" customWidth="1"/>
    <col min="3" max="3" width="54.5" customWidth="1"/>
    <col min="4" max="4" width="26" bestFit="1" customWidth="1"/>
    <col min="8" max="10" width="13.625" customWidth="1"/>
    <col min="11" max="11" width="13.375" customWidth="1"/>
    <col min="18" max="18" width="14.875" bestFit="1" customWidth="1"/>
    <col min="21" max="21" width="11.875" bestFit="1" customWidth="1"/>
  </cols>
  <sheetData>
    <row r="1" spans="1:53">
      <c r="A1" t="s">
        <v>492</v>
      </c>
      <c r="B1" t="s">
        <v>0</v>
      </c>
      <c r="C1" t="s">
        <v>1</v>
      </c>
      <c r="D1" t="s">
        <v>493</v>
      </c>
      <c r="E1" t="s">
        <v>488</v>
      </c>
      <c r="F1" t="s">
        <v>490</v>
      </c>
      <c r="G1" t="s">
        <v>666</v>
      </c>
      <c r="H1" t="s">
        <v>665</v>
      </c>
      <c r="I1" t="s">
        <v>669</v>
      </c>
      <c r="J1" t="s">
        <v>670</v>
      </c>
      <c r="K1" t="s">
        <v>658</v>
      </c>
      <c r="L1" t="s">
        <v>657</v>
      </c>
      <c r="O1" t="s">
        <v>493</v>
      </c>
      <c r="P1" t="s">
        <v>488</v>
      </c>
      <c r="Q1" t="s">
        <v>490</v>
      </c>
      <c r="R1" t="s">
        <v>658</v>
      </c>
      <c r="S1" t="s">
        <v>657</v>
      </c>
      <c r="U1" t="s">
        <v>664</v>
      </c>
      <c r="V1" s="29">
        <f>1-V2</f>
        <v>5.8823529411764719E-2</v>
      </c>
      <c r="W1" t="s">
        <v>659</v>
      </c>
      <c r="X1" t="s">
        <v>493</v>
      </c>
      <c r="Y1" t="s">
        <v>658</v>
      </c>
      <c r="Z1" t="s">
        <v>657</v>
      </c>
      <c r="AC1" s="29">
        <f>1-AC2</f>
        <v>9.8039215686274495E-2</v>
      </c>
      <c r="AD1" t="s">
        <v>659</v>
      </c>
      <c r="AE1" t="s">
        <v>493</v>
      </c>
      <c r="AF1" t="s">
        <v>658</v>
      </c>
      <c r="AG1" t="s">
        <v>657</v>
      </c>
      <c r="AJ1" s="29">
        <f>1-AJ2</f>
        <v>0.15686274509803921</v>
      </c>
      <c r="AK1" t="s">
        <v>659</v>
      </c>
      <c r="AL1" t="s">
        <v>493</v>
      </c>
      <c r="AM1" t="s">
        <v>658</v>
      </c>
      <c r="AN1" t="s">
        <v>657</v>
      </c>
      <c r="AP1" s="29">
        <f>1-AP2</f>
        <v>0.19607843137254899</v>
      </c>
      <c r="AQ1" t="s">
        <v>659</v>
      </c>
      <c r="AR1" t="s">
        <v>493</v>
      </c>
      <c r="AS1" t="s">
        <v>658</v>
      </c>
      <c r="AT1" t="s">
        <v>657</v>
      </c>
      <c r="AV1" s="29">
        <f>1-AV2</f>
        <v>0.25490196078431371</v>
      </c>
      <c r="AW1" t="s">
        <v>659</v>
      </c>
      <c r="AX1" t="s">
        <v>493</v>
      </c>
      <c r="AY1" t="s">
        <v>658</v>
      </c>
      <c r="AZ1" t="s">
        <v>657</v>
      </c>
      <c r="BA1" t="s">
        <v>663</v>
      </c>
    </row>
    <row r="2" spans="1:53">
      <c r="E2" t="s">
        <v>489</v>
      </c>
      <c r="F2" t="s">
        <v>491</v>
      </c>
      <c r="I2" s="29"/>
      <c r="J2" s="29"/>
      <c r="O2" t="s">
        <v>505</v>
      </c>
      <c r="P2">
        <v>29.028353818281531</v>
      </c>
      <c r="Q2">
        <v>36.363150000000005</v>
      </c>
      <c r="R2">
        <v>5.3709138518002505E-2</v>
      </c>
      <c r="S2">
        <v>0.18962213302692982</v>
      </c>
      <c r="V2">
        <f>48/51</f>
        <v>0.94117647058823528</v>
      </c>
      <c r="X2" t="s">
        <v>505</v>
      </c>
      <c r="Y2">
        <v>5.3709138518002505E-2</v>
      </c>
      <c r="Z2">
        <v>0.18962213302692982</v>
      </c>
      <c r="AC2">
        <f>46/51</f>
        <v>0.90196078431372551</v>
      </c>
      <c r="AE2" t="s">
        <v>505</v>
      </c>
      <c r="AF2">
        <v>5.3709138518002505E-2</v>
      </c>
      <c r="AG2">
        <v>0.18962213302692982</v>
      </c>
      <c r="AJ2">
        <f>43/51</f>
        <v>0.84313725490196079</v>
      </c>
      <c r="AL2" t="s">
        <v>505</v>
      </c>
      <c r="AM2">
        <v>5.3709138518002505E-2</v>
      </c>
      <c r="AN2">
        <v>0.18962213302692982</v>
      </c>
      <c r="AP2">
        <f>41/51</f>
        <v>0.80392156862745101</v>
      </c>
      <c r="AR2" t="s">
        <v>505</v>
      </c>
      <c r="AS2">
        <v>5.3709138518002505E-2</v>
      </c>
      <c r="AT2">
        <v>0.18962213302692982</v>
      </c>
      <c r="AV2">
        <f>38/51</f>
        <v>0.74509803921568629</v>
      </c>
      <c r="AX2" t="s">
        <v>505</v>
      </c>
      <c r="AY2">
        <v>5.3709138518002505E-2</v>
      </c>
      <c r="AZ2">
        <v>0.18962213302692982</v>
      </c>
    </row>
    <row r="3" spans="1:53">
      <c r="A3" t="s">
        <v>6</v>
      </c>
      <c r="B3" t="s">
        <v>494</v>
      </c>
      <c r="C3" t="s">
        <v>495</v>
      </c>
      <c r="D3" t="s">
        <v>496</v>
      </c>
      <c r="F3">
        <v>35.275750000000002</v>
      </c>
      <c r="G3" s="75" t="e">
        <f>(F3-#REF!)/#REF!</f>
        <v>#REF!</v>
      </c>
      <c r="I3" s="29"/>
      <c r="J3" s="29"/>
      <c r="L3">
        <f t="shared" ref="L3:L13" si="0">STANDARDIZE(F3,$F$79,$F$78)</f>
        <v>0.16669183018410974</v>
      </c>
      <c r="O3" t="s">
        <v>507</v>
      </c>
      <c r="P3">
        <v>28.775114943214181</v>
      </c>
      <c r="Q3">
        <v>52.552999999999997</v>
      </c>
      <c r="R3">
        <v>4.8101551520968067E-2</v>
      </c>
      <c r="S3">
        <v>0.53800324589832094</v>
      </c>
      <c r="X3" t="s">
        <v>507</v>
      </c>
      <c r="Y3">
        <v>4.8101551520968067E-2</v>
      </c>
      <c r="Z3">
        <v>0.53800324589832094</v>
      </c>
      <c r="AE3" t="s">
        <v>507</v>
      </c>
      <c r="AF3">
        <v>4.8101551520968067E-2</v>
      </c>
      <c r="AG3">
        <v>0.53800324589832094</v>
      </c>
      <c r="AL3" t="s">
        <v>507</v>
      </c>
      <c r="AM3">
        <v>4.8101551520968067E-2</v>
      </c>
      <c r="AN3">
        <v>0.53800324589832094</v>
      </c>
      <c r="AR3" t="s">
        <v>507</v>
      </c>
      <c r="AS3">
        <v>4.8101551520968067E-2</v>
      </c>
      <c r="AT3">
        <v>0.53800324589832094</v>
      </c>
      <c r="AX3" t="s">
        <v>507</v>
      </c>
      <c r="AY3">
        <v>4.8101551520968067E-2</v>
      </c>
      <c r="AZ3">
        <v>0.53800324589832094</v>
      </c>
    </row>
    <row r="4" spans="1:53">
      <c r="A4" t="s">
        <v>6</v>
      </c>
      <c r="B4" t="s">
        <v>497</v>
      </c>
      <c r="C4" t="s">
        <v>495</v>
      </c>
      <c r="D4" t="s">
        <v>498</v>
      </c>
      <c r="F4">
        <v>38.702750000000002</v>
      </c>
      <c r="G4" s="75" t="e">
        <f>(F4-#REF!)/#REF!</f>
        <v>#REF!</v>
      </c>
      <c r="I4" s="29"/>
      <c r="J4" s="29"/>
      <c r="L4">
        <f t="shared" si="0"/>
        <v>0.23994191950991864</v>
      </c>
      <c r="O4" t="s">
        <v>509</v>
      </c>
      <c r="P4">
        <v>32.044207367504043</v>
      </c>
      <c r="Q4">
        <v>40.903100000000002</v>
      </c>
      <c r="R4">
        <v>0.1204905959189746</v>
      </c>
      <c r="S4">
        <v>0.28731499820977413</v>
      </c>
      <c r="X4" t="s">
        <v>509</v>
      </c>
      <c r="Y4">
        <v>0.1204905959189746</v>
      </c>
      <c r="Z4">
        <v>0.28731499820977413</v>
      </c>
      <c r="AE4" t="s">
        <v>509</v>
      </c>
      <c r="AF4">
        <v>0.1204905959189746</v>
      </c>
      <c r="AG4">
        <v>0.28731499820977413</v>
      </c>
      <c r="AL4" t="s">
        <v>509</v>
      </c>
      <c r="AM4">
        <v>0.1204905959189746</v>
      </c>
      <c r="AN4">
        <v>0.28731499820977413</v>
      </c>
      <c r="AR4" t="s">
        <v>509</v>
      </c>
      <c r="AS4">
        <v>0.1204905959189746</v>
      </c>
      <c r="AT4">
        <v>0.28731499820977413</v>
      </c>
      <c r="AX4" t="s">
        <v>509</v>
      </c>
      <c r="AY4">
        <v>0.1204905959189746</v>
      </c>
      <c r="AZ4">
        <v>0.28731499820977413</v>
      </c>
    </row>
    <row r="5" spans="1:53">
      <c r="A5" t="s">
        <v>6</v>
      </c>
      <c r="B5" t="s">
        <v>499</v>
      </c>
      <c r="C5" t="s">
        <v>500</v>
      </c>
      <c r="D5" t="s">
        <v>501</v>
      </c>
      <c r="F5">
        <v>35.799999999999997</v>
      </c>
      <c r="G5" s="75" t="e">
        <f>(F5-#REF!)/#REF!</f>
        <v>#REF!</v>
      </c>
      <c r="I5" s="29"/>
      <c r="J5" s="29"/>
      <c r="L5">
        <f t="shared" si="0"/>
        <v>0.17789736252407323</v>
      </c>
      <c r="O5" t="s">
        <v>511</v>
      </c>
      <c r="P5">
        <v>20.648117715718918</v>
      </c>
      <c r="Q5">
        <v>24.491849999999999</v>
      </c>
      <c r="R5">
        <v>-0.13185835378866134</v>
      </c>
      <c r="S5">
        <v>-6.5830308177290631E-2</v>
      </c>
      <c r="X5" t="s">
        <v>523</v>
      </c>
      <c r="Y5">
        <v>-0.1182060739244349</v>
      </c>
      <c r="Z5">
        <v>-0.1246183305582894</v>
      </c>
      <c r="AE5" t="s">
        <v>523</v>
      </c>
      <c r="AF5">
        <v>-0.1182060739244349</v>
      </c>
      <c r="AG5">
        <v>-0.1246183305582894</v>
      </c>
      <c r="AL5" t="s">
        <v>537</v>
      </c>
      <c r="AM5">
        <v>3.4289431285834268E-2</v>
      </c>
      <c r="AN5">
        <v>-8.2482391068455521E-2</v>
      </c>
      <c r="AR5" t="s">
        <v>537</v>
      </c>
      <c r="AS5">
        <v>3.4289431285834268E-2</v>
      </c>
      <c r="AT5">
        <v>-8.2482391068455521E-2</v>
      </c>
      <c r="AX5" t="s">
        <v>537</v>
      </c>
      <c r="AY5">
        <v>3.4289431285834268E-2</v>
      </c>
      <c r="AZ5">
        <v>-8.2482391068455521E-2</v>
      </c>
    </row>
    <row r="6" spans="1:53">
      <c r="A6" t="s">
        <v>6</v>
      </c>
      <c r="B6" t="s">
        <v>502</v>
      </c>
      <c r="C6" t="s">
        <v>495</v>
      </c>
      <c r="D6" t="s">
        <v>503</v>
      </c>
      <c r="F6">
        <v>43.731499999999997</v>
      </c>
      <c r="G6" s="75" t="e">
        <f>(F6-#REF!)/#REF!</f>
        <v>#REF!</v>
      </c>
      <c r="I6" s="29"/>
      <c r="J6" s="29"/>
      <c r="L6">
        <f t="shared" si="0"/>
        <v>0.34742846362931201</v>
      </c>
      <c r="O6" t="s">
        <v>523</v>
      </c>
      <c r="P6">
        <v>21.264655273985909</v>
      </c>
      <c r="Q6">
        <v>21.759872780280947</v>
      </c>
      <c r="R6">
        <v>-0.1182060739244349</v>
      </c>
      <c r="S6">
        <v>-0.1246183305582894</v>
      </c>
      <c r="X6" t="s">
        <v>537</v>
      </c>
      <c r="Y6">
        <v>3.4289431285834268E-2</v>
      </c>
      <c r="Z6">
        <v>-8.2482391068455521E-2</v>
      </c>
      <c r="AE6" t="s">
        <v>537</v>
      </c>
      <c r="AF6">
        <v>3.4289431285834268E-2</v>
      </c>
      <c r="AG6">
        <v>-8.2482391068455521E-2</v>
      </c>
      <c r="AL6" t="s">
        <v>539</v>
      </c>
      <c r="AM6">
        <v>-0.13943523885142664</v>
      </c>
      <c r="AN6">
        <v>-0.18615847218189163</v>
      </c>
      <c r="AR6" t="s">
        <v>539</v>
      </c>
      <c r="AS6">
        <v>-0.13943523885142664</v>
      </c>
      <c r="AT6">
        <v>-0.18615847218189163</v>
      </c>
      <c r="AX6" t="s">
        <v>539</v>
      </c>
      <c r="AY6">
        <v>-0.13943523885142664</v>
      </c>
      <c r="AZ6">
        <v>-0.18615847218189163</v>
      </c>
    </row>
    <row r="7" spans="1:53">
      <c r="A7" t="s">
        <v>6</v>
      </c>
      <c r="B7" t="s">
        <v>7</v>
      </c>
      <c r="C7" t="s">
        <v>504</v>
      </c>
      <c r="D7" t="s">
        <v>505</v>
      </c>
      <c r="E7">
        <v>29.028353818281531</v>
      </c>
      <c r="F7">
        <v>36.363150000000005</v>
      </c>
      <c r="G7" t="e">
        <f>(F7-#REF!)/#REF!</f>
        <v>#REF!</v>
      </c>
      <c r="H7" t="e">
        <f>#REF!*BA_AGB!E7+#REF!</f>
        <v>#REF!</v>
      </c>
      <c r="I7" s="29" t="e">
        <f>(((G7-E7)/E7)^2)^(1/2)</f>
        <v>#REF!</v>
      </c>
      <c r="J7" s="29" t="e">
        <f>(((H7-F7)/F7)^2)^(1/2)</f>
        <v>#REF!</v>
      </c>
      <c r="K7">
        <f t="shared" ref="K7:K67" si="1">STANDARDIZE(E7,$E$79,$E$78)</f>
        <v>5.4056905657116891E-2</v>
      </c>
      <c r="L7">
        <f t="shared" si="0"/>
        <v>0.1899343592570262</v>
      </c>
      <c r="O7" t="s">
        <v>537</v>
      </c>
      <c r="P7">
        <v>28.151358986776938</v>
      </c>
      <c r="Q7">
        <v>23.718</v>
      </c>
      <c r="R7">
        <v>3.4289431285834268E-2</v>
      </c>
      <c r="S7">
        <v>-8.2482391068455521E-2</v>
      </c>
      <c r="X7" t="s">
        <v>539</v>
      </c>
      <c r="Y7">
        <v>-0.13943523885142664</v>
      </c>
      <c r="Z7">
        <v>-0.18615847218189163</v>
      </c>
      <c r="AE7" t="s">
        <v>539</v>
      </c>
      <c r="AF7">
        <v>-0.13943523885142664</v>
      </c>
      <c r="AG7">
        <v>-0.18615847218189163</v>
      </c>
      <c r="AL7" t="s">
        <v>541</v>
      </c>
      <c r="AM7">
        <v>-3.7492560947381408E-3</v>
      </c>
      <c r="AN7">
        <v>-6.0275310182389519E-2</v>
      </c>
      <c r="AR7" t="s">
        <v>541</v>
      </c>
      <c r="AS7">
        <v>-3.7492560947381408E-3</v>
      </c>
      <c r="AT7">
        <v>-6.0275310182389519E-2</v>
      </c>
      <c r="AX7" t="s">
        <v>541</v>
      </c>
      <c r="AY7">
        <v>-3.7492560947381408E-3</v>
      </c>
      <c r="AZ7">
        <v>-6.0275310182389519E-2</v>
      </c>
    </row>
    <row r="8" spans="1:53">
      <c r="A8" t="s">
        <v>6</v>
      </c>
      <c r="B8" t="s">
        <v>7</v>
      </c>
      <c r="C8" t="s">
        <v>506</v>
      </c>
      <c r="D8" t="s">
        <v>507</v>
      </c>
      <c r="E8">
        <v>28.775114943214181</v>
      </c>
      <c r="F8">
        <v>52.552999999999997</v>
      </c>
      <c r="G8" t="e">
        <f>(F8-#REF!)/#REF!</f>
        <v>#REF!</v>
      </c>
      <c r="H8" t="e">
        <f>#REF!*BA_AGB!E8+#REF!</f>
        <v>#REF!</v>
      </c>
      <c r="I8" s="29" t="e">
        <f t="shared" ref="I8:J10" si="2">(((G8-E8)/E8)^2)^(1/2)</f>
        <v>#REF!</v>
      </c>
      <c r="J8" s="29" t="e">
        <f t="shared" si="2"/>
        <v>#REF!</v>
      </c>
      <c r="K8">
        <f t="shared" si="1"/>
        <v>4.8504179567501512E-2</v>
      </c>
      <c r="L8">
        <f t="shared" si="0"/>
        <v>0.53598278606515193</v>
      </c>
      <c r="O8" t="s">
        <v>539</v>
      </c>
      <c r="P8">
        <v>20.305945253512977</v>
      </c>
      <c r="Q8">
        <v>18.899999999999999</v>
      </c>
      <c r="R8">
        <v>-0.13943523885142664</v>
      </c>
      <c r="S8">
        <v>-0.18615847218189163</v>
      </c>
      <c r="X8" t="s">
        <v>541</v>
      </c>
      <c r="Y8">
        <v>-3.7492560947381408E-3</v>
      </c>
      <c r="Z8">
        <v>-6.0275310182389519E-2</v>
      </c>
      <c r="AE8" t="s">
        <v>541</v>
      </c>
      <c r="AF8">
        <v>-3.7492560947381408E-3</v>
      </c>
      <c r="AG8">
        <v>-6.0275310182389519E-2</v>
      </c>
      <c r="AL8" t="s">
        <v>543</v>
      </c>
      <c r="AM8">
        <v>-0.10528702583755305</v>
      </c>
      <c r="AN8">
        <v>-0.14613408221281912</v>
      </c>
      <c r="AR8" t="s">
        <v>543</v>
      </c>
      <c r="AS8">
        <v>-0.10528702583755305</v>
      </c>
      <c r="AT8">
        <v>-0.14613408221281912</v>
      </c>
      <c r="AX8" t="s">
        <v>543</v>
      </c>
      <c r="AY8">
        <v>-0.10528702583755305</v>
      </c>
      <c r="AZ8">
        <v>-0.14613408221281912</v>
      </c>
    </row>
    <row r="9" spans="1:53">
      <c r="A9" t="s">
        <v>6</v>
      </c>
      <c r="B9" t="s">
        <v>7</v>
      </c>
      <c r="C9" t="s">
        <v>508</v>
      </c>
      <c r="D9" t="s">
        <v>509</v>
      </c>
      <c r="E9">
        <v>32.044207367504043</v>
      </c>
      <c r="F9">
        <v>40.903100000000002</v>
      </c>
      <c r="G9" t="e">
        <f>(F9-#REF!)/#REF!</f>
        <v>#REF!</v>
      </c>
      <c r="H9" t="e">
        <f>#REF!*BA_AGB!E9+#REF!</f>
        <v>#REF!</v>
      </c>
      <c r="I9" s="29" t="e">
        <f t="shared" si="2"/>
        <v>#REF!</v>
      </c>
      <c r="J9" s="29" t="e">
        <f t="shared" si="2"/>
        <v>#REF!</v>
      </c>
      <c r="K9">
        <f t="shared" si="1"/>
        <v>0.12018501762560226</v>
      </c>
      <c r="L9">
        <f t="shared" si="0"/>
        <v>0.28697309372878166</v>
      </c>
      <c r="O9" t="s">
        <v>541</v>
      </c>
      <c r="P9">
        <v>26.433530194037907</v>
      </c>
      <c r="Q9">
        <v>24.75</v>
      </c>
      <c r="R9">
        <v>-3.7492560947381408E-3</v>
      </c>
      <c r="S9">
        <v>-6.0275310182389519E-2</v>
      </c>
      <c r="X9" t="s">
        <v>543</v>
      </c>
      <c r="Y9">
        <v>-0.10528702583755305</v>
      </c>
      <c r="Z9">
        <v>-0.14613408221281912</v>
      </c>
      <c r="AE9" t="s">
        <v>543</v>
      </c>
      <c r="AF9">
        <v>-0.10528702583755305</v>
      </c>
      <c r="AG9">
        <v>-0.14613408221281912</v>
      </c>
      <c r="AL9" t="s">
        <v>546</v>
      </c>
      <c r="AM9">
        <v>-0.10624027580715399</v>
      </c>
      <c r="AN9">
        <v>-0.15487058884047691</v>
      </c>
      <c r="AR9" t="s">
        <v>546</v>
      </c>
      <c r="AS9">
        <v>-0.10624027580715399</v>
      </c>
      <c r="AT9">
        <v>-0.15487058884047691</v>
      </c>
      <c r="AX9" t="s">
        <v>546</v>
      </c>
      <c r="AY9">
        <v>-0.10624027580715399</v>
      </c>
      <c r="AZ9">
        <v>-0.15487058884047691</v>
      </c>
    </row>
    <row r="10" spans="1:53">
      <c r="A10" t="s">
        <v>6</v>
      </c>
      <c r="B10" t="s">
        <v>7</v>
      </c>
      <c r="C10" t="s">
        <v>510</v>
      </c>
      <c r="D10" t="s">
        <v>511</v>
      </c>
      <c r="E10">
        <v>20.648117715718918</v>
      </c>
      <c r="F10">
        <v>24.491849999999999</v>
      </c>
      <c r="G10" t="e">
        <f>(F10-#REF!)/#REF!</f>
        <v>#REF!</v>
      </c>
      <c r="H10" t="e">
        <f>#REF!*BA_AGB!E10+#REF!</f>
        <v>#REF!</v>
      </c>
      <c r="I10" s="29" t="e">
        <f t="shared" si="2"/>
        <v>#REF!</v>
      </c>
      <c r="J10" s="29" t="e">
        <f t="shared" si="2"/>
        <v>#REF!</v>
      </c>
      <c r="K10">
        <f t="shared" si="1"/>
        <v>-0.12969511753229451</v>
      </c>
      <c r="L10">
        <f t="shared" si="0"/>
        <v>-6.3807626565406103E-2</v>
      </c>
      <c r="O10" t="s">
        <v>543</v>
      </c>
      <c r="P10">
        <v>21.848080052984994</v>
      </c>
      <c r="Q10">
        <v>20.76</v>
      </c>
      <c r="R10">
        <v>-0.10528702583755305</v>
      </c>
      <c r="S10">
        <v>-0.14613408221281912</v>
      </c>
      <c r="X10" t="s">
        <v>546</v>
      </c>
      <c r="Y10">
        <v>-0.10624027580715399</v>
      </c>
      <c r="Z10">
        <v>-0.15487058884047691</v>
      </c>
      <c r="AE10" t="s">
        <v>546</v>
      </c>
      <c r="AF10">
        <v>-0.10624027580715399</v>
      </c>
      <c r="AG10">
        <v>-0.15487058884047691</v>
      </c>
      <c r="AL10" t="s">
        <v>552</v>
      </c>
      <c r="AM10">
        <v>0.98762685593398714</v>
      </c>
      <c r="AN10">
        <v>0.82051518731012685</v>
      </c>
      <c r="AR10" t="s">
        <v>552</v>
      </c>
      <c r="AS10">
        <v>0.98762685593398714</v>
      </c>
      <c r="AT10">
        <v>0.82051518731012685</v>
      </c>
      <c r="AX10" t="s">
        <v>552</v>
      </c>
      <c r="AY10">
        <v>0.98762685593398714</v>
      </c>
      <c r="AZ10">
        <v>0.82051518731012685</v>
      </c>
    </row>
    <row r="11" spans="1:53">
      <c r="A11" t="s">
        <v>6</v>
      </c>
      <c r="B11" t="s">
        <v>18</v>
      </c>
      <c r="C11" t="s">
        <v>512</v>
      </c>
      <c r="D11" t="s">
        <v>513</v>
      </c>
      <c r="F11">
        <v>20.0305</v>
      </c>
      <c r="G11" s="75" t="e">
        <f>(F11-#REF!)/#REF!</f>
        <v>#REF!</v>
      </c>
      <c r="I11" s="29"/>
      <c r="J11" s="29"/>
      <c r="L11">
        <f t="shared" si="0"/>
        <v>-0.15916633272639166</v>
      </c>
      <c r="O11" t="s">
        <v>546</v>
      </c>
      <c r="P11">
        <v>21.805031242491747</v>
      </c>
      <c r="Q11">
        <v>20.353999999999999</v>
      </c>
      <c r="R11">
        <v>-0.10624027580715399</v>
      </c>
      <c r="S11">
        <v>-0.15487058884047691</v>
      </c>
      <c r="X11" t="s">
        <v>552</v>
      </c>
      <c r="Y11">
        <v>0.98762685593398714</v>
      </c>
      <c r="Z11">
        <v>0.82051518731012685</v>
      </c>
      <c r="AE11" t="s">
        <v>552</v>
      </c>
      <c r="AF11">
        <v>0.98762685593398714</v>
      </c>
      <c r="AG11">
        <v>0.82051518731012685</v>
      </c>
      <c r="AL11" t="s">
        <v>553</v>
      </c>
      <c r="AM11">
        <v>0.26217472028499328</v>
      </c>
      <c r="AN11">
        <v>-4.4136443259376434E-2</v>
      </c>
      <c r="AR11" t="s">
        <v>553</v>
      </c>
      <c r="AS11">
        <v>0.26217472028499328</v>
      </c>
      <c r="AT11">
        <v>-4.4136443259376434E-2</v>
      </c>
      <c r="AX11" t="s">
        <v>553</v>
      </c>
      <c r="AY11">
        <v>0.26217472028499328</v>
      </c>
      <c r="AZ11">
        <v>-4.4136443259376434E-2</v>
      </c>
    </row>
    <row r="12" spans="1:53">
      <c r="A12" t="s">
        <v>6</v>
      </c>
      <c r="B12" t="s">
        <v>18</v>
      </c>
      <c r="C12" t="s">
        <v>514</v>
      </c>
      <c r="D12" t="s">
        <v>515</v>
      </c>
      <c r="F12">
        <v>17.106999999999999</v>
      </c>
      <c r="G12" s="75" t="e">
        <f>(F12-#REF!)/#REF!</f>
        <v>#REF!</v>
      </c>
      <c r="I12" s="29"/>
      <c r="J12" s="29"/>
      <c r="L12">
        <f t="shared" si="0"/>
        <v>-0.22165440863651784</v>
      </c>
      <c r="O12" t="s">
        <v>552</v>
      </c>
      <c r="P12">
        <v>71.204118953796325</v>
      </c>
      <c r="Q12">
        <v>65.68180000000001</v>
      </c>
      <c r="R12">
        <v>0.98762685593398714</v>
      </c>
      <c r="S12">
        <v>0.82051518731012685</v>
      </c>
      <c r="X12" t="s">
        <v>553</v>
      </c>
      <c r="Y12">
        <v>0.26217472028499328</v>
      </c>
      <c r="Z12">
        <v>-4.4136443259376434E-2</v>
      </c>
      <c r="AE12" t="s">
        <v>553</v>
      </c>
      <c r="AF12">
        <v>0.26217472028499328</v>
      </c>
      <c r="AG12">
        <v>-4.4136443259376434E-2</v>
      </c>
      <c r="AL12" t="s">
        <v>564</v>
      </c>
      <c r="AM12">
        <v>0.6044536467865419</v>
      </c>
      <c r="AN12">
        <v>0.4303462442772083</v>
      </c>
      <c r="AR12" t="s">
        <v>564</v>
      </c>
      <c r="AS12">
        <v>0.6044536467865419</v>
      </c>
      <c r="AT12">
        <v>0.4303462442772083</v>
      </c>
      <c r="AX12" t="s">
        <v>564</v>
      </c>
      <c r="AY12">
        <v>0.6044536467865419</v>
      </c>
      <c r="AZ12">
        <v>0.4303462442772083</v>
      </c>
    </row>
    <row r="13" spans="1:53">
      <c r="A13" t="s">
        <v>6</v>
      </c>
      <c r="B13" t="s">
        <v>18</v>
      </c>
      <c r="C13" t="s">
        <v>516</v>
      </c>
      <c r="D13" t="s">
        <v>517</v>
      </c>
      <c r="F13">
        <v>14.288500000000001</v>
      </c>
      <c r="G13" s="75" t="e">
        <f>(F13-#REF!)/#REF!</f>
        <v>#REF!</v>
      </c>
      <c r="I13" s="29"/>
      <c r="J13" s="29"/>
      <c r="L13">
        <f t="shared" si="0"/>
        <v>-0.28189817191775279</v>
      </c>
      <c r="O13" t="s">
        <v>553</v>
      </c>
      <c r="P13">
        <v>38.442668646540483</v>
      </c>
      <c r="Q13">
        <v>25.5</v>
      </c>
      <c r="R13">
        <v>0.26217472028499328</v>
      </c>
      <c r="S13">
        <v>-4.4136443259376434E-2</v>
      </c>
      <c r="X13" t="s">
        <v>564</v>
      </c>
      <c r="Y13">
        <v>0.6044536467865419</v>
      </c>
      <c r="Z13">
        <v>0.4303462442772083</v>
      </c>
      <c r="AE13" t="s">
        <v>564</v>
      </c>
      <c r="AF13">
        <v>0.6044536467865419</v>
      </c>
      <c r="AG13">
        <v>0.4303462442772083</v>
      </c>
      <c r="AL13" t="s">
        <v>567</v>
      </c>
      <c r="AM13">
        <v>0.98295579380873122</v>
      </c>
      <c r="AN13">
        <v>1.2810438518635869</v>
      </c>
      <c r="AR13" t="s">
        <v>567</v>
      </c>
      <c r="AS13">
        <v>0.98295579380873122</v>
      </c>
      <c r="AT13">
        <v>1.2810438518635869</v>
      </c>
      <c r="AX13" t="s">
        <v>567</v>
      </c>
      <c r="AY13">
        <v>0.98295579380873122</v>
      </c>
      <c r="AZ13">
        <v>1.2810438518635869</v>
      </c>
    </row>
    <row r="14" spans="1:53">
      <c r="A14" t="s">
        <v>6</v>
      </c>
      <c r="B14" t="s">
        <v>518</v>
      </c>
      <c r="C14" t="s">
        <v>519</v>
      </c>
      <c r="D14" t="s">
        <v>520</v>
      </c>
      <c r="I14" s="29"/>
      <c r="J14" s="29"/>
      <c r="O14" t="s">
        <v>564</v>
      </c>
      <c r="P14">
        <v>53.9</v>
      </c>
      <c r="Q14">
        <v>47.55</v>
      </c>
      <c r="R14">
        <v>0.6044536467865419</v>
      </c>
      <c r="S14">
        <v>0.4303462442772083</v>
      </c>
      <c r="X14" t="s">
        <v>567</v>
      </c>
      <c r="Y14">
        <v>0.98295579380873122</v>
      </c>
      <c r="Z14">
        <v>1.2810438518635869</v>
      </c>
      <c r="AE14" t="s">
        <v>567</v>
      </c>
      <c r="AF14">
        <v>0.98295579380873122</v>
      </c>
      <c r="AG14">
        <v>1.2810438518635869</v>
      </c>
      <c r="AL14" t="s">
        <v>569</v>
      </c>
      <c r="AM14">
        <v>-0.21019357042005501</v>
      </c>
      <c r="AN14">
        <v>-0.10654006202836033</v>
      </c>
      <c r="AR14" t="s">
        <v>569</v>
      </c>
      <c r="AS14">
        <v>-0.21019357042005501</v>
      </c>
      <c r="AT14">
        <v>-0.10654006202836033</v>
      </c>
      <c r="AX14" t="s">
        <v>569</v>
      </c>
      <c r="AY14">
        <v>-0.21019357042005501</v>
      </c>
      <c r="AZ14">
        <v>-0.10654006202836033</v>
      </c>
    </row>
    <row r="15" spans="1:53">
      <c r="A15" t="s">
        <v>6</v>
      </c>
      <c r="B15" t="s">
        <v>521</v>
      </c>
      <c r="C15" t="s">
        <v>522</v>
      </c>
      <c r="D15" t="s">
        <v>523</v>
      </c>
      <c r="E15">
        <v>21.264655273985909</v>
      </c>
      <c r="F15">
        <v>21.759872780280947</v>
      </c>
      <c r="G15" t="e">
        <f>(F15-#REF!)/#REF!</f>
        <v>#REF!</v>
      </c>
      <c r="H15" t="e">
        <f>#REF!*BA_AGB!E15+#REF!</f>
        <v>#REF!</v>
      </c>
      <c r="I15" s="29" t="e">
        <f t="shared" ref="I15:I76" si="3">(((G15-E15)/E15)^2)^(1/2)</f>
        <v>#REF!</v>
      </c>
      <c r="J15" s="29" t="e">
        <f t="shared" ref="J15:J74" si="4">(((H15-F15)/F15)^2)^(1/2)</f>
        <v>#REF!</v>
      </c>
      <c r="K15">
        <f t="shared" si="1"/>
        <v>-0.11617640250836149</v>
      </c>
      <c r="L15">
        <f t="shared" ref="L15:L28" si="5">STANDARDIZE(F15,$F$79,$F$78)</f>
        <v>-0.12220201681358109</v>
      </c>
      <c r="O15" t="s">
        <v>567</v>
      </c>
      <c r="P15">
        <v>70.993173583070003</v>
      </c>
      <c r="Q15">
        <v>87.083333333333329</v>
      </c>
      <c r="R15">
        <v>0.98295579380873122</v>
      </c>
      <c r="S15">
        <v>1.2810438518635869</v>
      </c>
      <c r="X15" t="s">
        <v>569</v>
      </c>
      <c r="Y15">
        <v>-0.21019357042005501</v>
      </c>
      <c r="Z15">
        <v>-0.10654006202836033</v>
      </c>
      <c r="AE15" t="s">
        <v>569</v>
      </c>
      <c r="AF15">
        <v>-0.21019357042005501</v>
      </c>
      <c r="AG15">
        <v>-0.10654006202836033</v>
      </c>
      <c r="AL15" t="s">
        <v>570</v>
      </c>
      <c r="AM15">
        <v>0.21310084507367544</v>
      </c>
      <c r="AN15">
        <v>0.26142610381633807</v>
      </c>
      <c r="AR15" t="s">
        <v>570</v>
      </c>
      <c r="AS15">
        <v>0.21310084507367544</v>
      </c>
      <c r="AT15">
        <v>0.26142610381633807</v>
      </c>
      <c r="AX15" t="s">
        <v>570</v>
      </c>
      <c r="AY15">
        <v>0.21310084507367544</v>
      </c>
      <c r="AZ15">
        <v>0.26142610381633807</v>
      </c>
    </row>
    <row r="16" spans="1:53">
      <c r="A16" t="s">
        <v>6</v>
      </c>
      <c r="B16" t="s">
        <v>524</v>
      </c>
      <c r="C16" t="s">
        <v>525</v>
      </c>
      <c r="D16" t="s">
        <v>526</v>
      </c>
      <c r="F16">
        <v>52.88</v>
      </c>
      <c r="G16" s="75" t="e">
        <f>(F16-#REF!)/#REF!</f>
        <v>#REF!</v>
      </c>
      <c r="I16" s="29"/>
      <c r="J16" s="29"/>
      <c r="L16">
        <f t="shared" si="5"/>
        <v>0.54297221682369867</v>
      </c>
      <c r="O16" t="s">
        <v>569</v>
      </c>
      <c r="P16">
        <v>17.110495892217592</v>
      </c>
      <c r="Q16">
        <v>22.6</v>
      </c>
      <c r="R16">
        <v>-0.21019357042005501</v>
      </c>
      <c r="S16">
        <v>-0.10654006202836033</v>
      </c>
      <c r="X16" t="s">
        <v>570</v>
      </c>
      <c r="Y16">
        <v>0.21310084507367544</v>
      </c>
      <c r="Z16">
        <v>0.26142610381633807</v>
      </c>
      <c r="AE16" t="s">
        <v>570</v>
      </c>
      <c r="AF16">
        <v>0.21310084507367544</v>
      </c>
      <c r="AG16">
        <v>0.26142610381633807</v>
      </c>
      <c r="AL16" t="s">
        <v>572</v>
      </c>
      <c r="AM16">
        <v>-0.22154383241902262</v>
      </c>
      <c r="AN16">
        <v>-0.15172888941279702</v>
      </c>
      <c r="AR16" t="s">
        <v>572</v>
      </c>
      <c r="AS16">
        <v>-0.22154383241902262</v>
      </c>
      <c r="AT16">
        <v>-0.15172888941279702</v>
      </c>
      <c r="AX16" t="s">
        <v>572</v>
      </c>
      <c r="AY16">
        <v>-0.22154383241902262</v>
      </c>
      <c r="AZ16">
        <v>-0.15172888941279702</v>
      </c>
    </row>
    <row r="17" spans="1:52">
      <c r="A17" t="s">
        <v>6</v>
      </c>
      <c r="B17" t="s">
        <v>527</v>
      </c>
      <c r="C17" t="s">
        <v>528</v>
      </c>
      <c r="D17" t="s">
        <v>529</v>
      </c>
      <c r="F17">
        <v>48.27</v>
      </c>
      <c r="G17" s="75" t="e">
        <f>(F17-#REF!)/#REF!</f>
        <v>#REF!</v>
      </c>
      <c r="I17" s="29"/>
      <c r="J17" s="29"/>
      <c r="L17">
        <f t="shared" si="5"/>
        <v>0.44443620521238297</v>
      </c>
      <c r="O17" t="s">
        <v>570</v>
      </c>
      <c r="P17">
        <v>36.226490286707303</v>
      </c>
      <c r="Q17">
        <v>39.700000000000003</v>
      </c>
      <c r="R17">
        <v>0.21310084507367544</v>
      </c>
      <c r="S17">
        <v>0.26142610381633807</v>
      </c>
      <c r="X17" t="s">
        <v>572</v>
      </c>
      <c r="Y17">
        <v>-0.22154383241902262</v>
      </c>
      <c r="Z17">
        <v>-0.15172888941279702</v>
      </c>
      <c r="AE17" t="s">
        <v>572</v>
      </c>
      <c r="AF17">
        <v>-0.22154383241902262</v>
      </c>
      <c r="AG17">
        <v>-0.15172888941279702</v>
      </c>
      <c r="AL17" t="s">
        <v>575</v>
      </c>
      <c r="AM17">
        <v>0.43837763469490282</v>
      </c>
      <c r="AN17">
        <v>0.35244931326213197</v>
      </c>
      <c r="AR17" t="s">
        <v>575</v>
      </c>
      <c r="AS17">
        <v>0.43837763469490282</v>
      </c>
      <c r="AT17">
        <v>0.35244931326213197</v>
      </c>
      <c r="AX17" t="s">
        <v>575</v>
      </c>
      <c r="AY17">
        <v>0.43837763469490282</v>
      </c>
      <c r="AZ17">
        <v>0.35244931326213197</v>
      </c>
    </row>
    <row r="18" spans="1:52">
      <c r="A18" t="s">
        <v>6</v>
      </c>
      <c r="B18" t="s">
        <v>530</v>
      </c>
      <c r="C18" t="s">
        <v>531</v>
      </c>
      <c r="D18" t="s">
        <v>532</v>
      </c>
      <c r="F18">
        <v>22.39</v>
      </c>
      <c r="G18" s="75" t="e">
        <f>(F18-#REF!)/#REF!</f>
        <v>#REF!</v>
      </c>
      <c r="I18" s="29"/>
      <c r="J18" s="29"/>
      <c r="L18">
        <f t="shared" si="5"/>
        <v>-0.10873342179430934</v>
      </c>
      <c r="O18" t="s">
        <v>572</v>
      </c>
      <c r="P18">
        <v>16.597917561848696</v>
      </c>
      <c r="Q18">
        <v>20.5</v>
      </c>
      <c r="R18">
        <v>-0.22154383241902262</v>
      </c>
      <c r="S18">
        <v>-0.15172888941279702</v>
      </c>
      <c r="X18" t="s">
        <v>575</v>
      </c>
      <c r="Y18">
        <v>0.43837763469490282</v>
      </c>
      <c r="Z18">
        <v>0.35244931326213197</v>
      </c>
      <c r="AE18" t="s">
        <v>575</v>
      </c>
      <c r="AF18">
        <v>0.43837763469490282</v>
      </c>
      <c r="AG18">
        <v>0.35244931326213197</v>
      </c>
      <c r="AL18" t="s">
        <v>577</v>
      </c>
      <c r="AM18">
        <v>-0.34130832709215542</v>
      </c>
      <c r="AN18">
        <v>-0.34205992665819801</v>
      </c>
      <c r="AR18" t="s">
        <v>581</v>
      </c>
      <c r="AS18">
        <v>1.6471918529170699</v>
      </c>
      <c r="AT18">
        <v>1.7451259362720077</v>
      </c>
      <c r="AX18" t="s">
        <v>581</v>
      </c>
      <c r="AY18">
        <v>1.6471918529170699</v>
      </c>
      <c r="AZ18">
        <v>1.7451259362720077</v>
      </c>
    </row>
    <row r="19" spans="1:52">
      <c r="A19" t="s">
        <v>6</v>
      </c>
      <c r="B19" t="s">
        <v>533</v>
      </c>
      <c r="C19" t="s">
        <v>534</v>
      </c>
      <c r="D19" t="s">
        <v>535</v>
      </c>
      <c r="F19">
        <v>32.36</v>
      </c>
      <c r="G19" s="75" t="e">
        <f>(F19-#REF!)/#REF!</f>
        <v>#REF!</v>
      </c>
      <c r="I19" s="29"/>
      <c r="J19" s="29"/>
      <c r="L19">
        <f t="shared" si="5"/>
        <v>0.10436940592040168</v>
      </c>
      <c r="O19" t="s">
        <v>575</v>
      </c>
      <c r="P19">
        <v>46.4</v>
      </c>
      <c r="Q19">
        <v>43.930000000000007</v>
      </c>
      <c r="R19">
        <v>0.43837763469490282</v>
      </c>
      <c r="S19">
        <v>0.35244931326213197</v>
      </c>
      <c r="X19" t="s">
        <v>577</v>
      </c>
      <c r="Y19">
        <v>-0.34130832709215542</v>
      </c>
      <c r="Z19">
        <v>-0.34205992665819801</v>
      </c>
      <c r="AE19" t="s">
        <v>577</v>
      </c>
      <c r="AF19">
        <v>-0.34130832709215542</v>
      </c>
      <c r="AG19">
        <v>-0.34205992665819801</v>
      </c>
      <c r="AL19" t="s">
        <v>581</v>
      </c>
      <c r="AM19">
        <v>1.6471918529170699</v>
      </c>
      <c r="AN19">
        <v>1.7451259362720077</v>
      </c>
      <c r="AR19" t="s">
        <v>583</v>
      </c>
      <c r="AS19">
        <v>1.6922802723604764</v>
      </c>
      <c r="AT19">
        <v>1.772024047810363</v>
      </c>
      <c r="AX19" t="s">
        <v>583</v>
      </c>
      <c r="AY19">
        <v>1.6922802723604764</v>
      </c>
      <c r="AZ19">
        <v>1.772024047810363</v>
      </c>
    </row>
    <row r="20" spans="1:52">
      <c r="A20" t="s">
        <v>6</v>
      </c>
      <c r="B20" t="s">
        <v>11</v>
      </c>
      <c r="C20" t="s">
        <v>536</v>
      </c>
      <c r="D20" t="s">
        <v>537</v>
      </c>
      <c r="E20">
        <v>28.151358986776938</v>
      </c>
      <c r="F20">
        <v>23.718</v>
      </c>
      <c r="G20" t="e">
        <f>(F20-#REF!)/#REF!</f>
        <v>#REF!</v>
      </c>
      <c r="H20" t="e">
        <f>#REF!*BA_AGB!E20+#REF!</f>
        <v>#REF!</v>
      </c>
      <c r="I20" s="29" t="e">
        <f t="shared" si="3"/>
        <v>#REF!</v>
      </c>
      <c r="J20" s="29" t="e">
        <f t="shared" si="4"/>
        <v>#REF!</v>
      </c>
      <c r="K20">
        <f t="shared" si="1"/>
        <v>3.4827187944706905E-2</v>
      </c>
      <c r="L20">
        <f t="shared" si="5"/>
        <v>-8.0348210640333789E-2</v>
      </c>
      <c r="O20" t="s">
        <v>577</v>
      </c>
      <c r="P20">
        <v>11.189347722437693</v>
      </c>
      <c r="Q20">
        <v>11.654999999999999</v>
      </c>
      <c r="R20">
        <v>-0.34130832709215542</v>
      </c>
      <c r="S20">
        <v>-0.34205992665819801</v>
      </c>
      <c r="X20" t="s">
        <v>579</v>
      </c>
      <c r="Y20">
        <v>1.7008359974440783</v>
      </c>
      <c r="Z20">
        <v>1.744050011810474</v>
      </c>
      <c r="AE20" t="s">
        <v>581</v>
      </c>
      <c r="AF20">
        <v>1.6471918529170699</v>
      </c>
      <c r="AG20">
        <v>1.7451259362720077</v>
      </c>
      <c r="AL20" t="s">
        <v>583</v>
      </c>
      <c r="AM20">
        <v>1.6922802723604764</v>
      </c>
      <c r="AN20">
        <v>1.772024047810363</v>
      </c>
      <c r="AR20" t="s">
        <v>585</v>
      </c>
      <c r="AS20">
        <v>1.7213258636602609</v>
      </c>
      <c r="AT20">
        <v>1.8177508374255666</v>
      </c>
      <c r="AX20" t="s">
        <v>585</v>
      </c>
      <c r="AY20">
        <v>1.7213258636602609</v>
      </c>
      <c r="AZ20">
        <v>1.8177508374255666</v>
      </c>
    </row>
    <row r="21" spans="1:52">
      <c r="A21" t="s">
        <v>6</v>
      </c>
      <c r="B21" t="s">
        <v>23</v>
      </c>
      <c r="C21" t="s">
        <v>538</v>
      </c>
      <c r="D21" t="s">
        <v>539</v>
      </c>
      <c r="E21">
        <v>20.305945253512977</v>
      </c>
      <c r="F21">
        <v>18.899999999999999</v>
      </c>
      <c r="G21" t="e">
        <f>(F21-#REF!)/#REF!</f>
        <v>#REF!</v>
      </c>
      <c r="H21" t="e">
        <f>#REF!*BA_AGB!E21+#REF!</f>
        <v>#REF!</v>
      </c>
      <c r="I21" s="29" t="e">
        <f t="shared" si="3"/>
        <v>#REF!</v>
      </c>
      <c r="J21" s="29" t="e">
        <f t="shared" si="4"/>
        <v>#REF!</v>
      </c>
      <c r="K21">
        <f t="shared" si="1"/>
        <v>-0.13719787538309269</v>
      </c>
      <c r="L21">
        <f t="shared" si="5"/>
        <v>-0.18333009869745295</v>
      </c>
      <c r="O21" t="s">
        <v>579</v>
      </c>
      <c r="P21">
        <v>103.41267510803563</v>
      </c>
      <c r="Q21">
        <v>108.60000000000001</v>
      </c>
      <c r="R21">
        <v>1.7008359974440783</v>
      </c>
      <c r="S21">
        <v>1.744050011810474</v>
      </c>
      <c r="X21" t="s">
        <v>581</v>
      </c>
      <c r="Y21">
        <v>1.6471918529170699</v>
      </c>
      <c r="Z21">
        <v>1.7451259362720077</v>
      </c>
      <c r="AE21" t="s">
        <v>583</v>
      </c>
      <c r="AF21">
        <v>1.6922802723604764</v>
      </c>
      <c r="AG21">
        <v>1.772024047810363</v>
      </c>
      <c r="AL21" t="s">
        <v>585</v>
      </c>
      <c r="AM21">
        <v>1.7213258636602609</v>
      </c>
      <c r="AN21">
        <v>1.8177508374255666</v>
      </c>
      <c r="AR21" t="s">
        <v>587</v>
      </c>
      <c r="AS21">
        <v>1.3661889555801932</v>
      </c>
      <c r="AT21">
        <v>1.2340618170432602</v>
      </c>
      <c r="AX21" t="s">
        <v>587</v>
      </c>
      <c r="AY21">
        <v>1.3661889555801932</v>
      </c>
      <c r="AZ21">
        <v>1.2340618170432602</v>
      </c>
    </row>
    <row r="22" spans="1:52">
      <c r="A22" t="s">
        <v>6</v>
      </c>
      <c r="B22" t="s">
        <v>23</v>
      </c>
      <c r="C22" t="s">
        <v>540</v>
      </c>
      <c r="D22" t="s">
        <v>541</v>
      </c>
      <c r="E22">
        <v>26.433530194037907</v>
      </c>
      <c r="F22">
        <v>24.75</v>
      </c>
      <c r="G22" t="e">
        <f>(F22-#REF!)/#REF!</f>
        <v>#REF!</v>
      </c>
      <c r="H22" t="e">
        <f>#REF!*BA_AGB!E22+#REF!</f>
        <v>#REF!</v>
      </c>
      <c r="I22" s="29" t="e">
        <f t="shared" si="3"/>
        <v>#REF!</v>
      </c>
      <c r="J22" s="29" t="e">
        <f t="shared" si="4"/>
        <v>#REF!</v>
      </c>
      <c r="K22">
        <f t="shared" si="1"/>
        <v>-2.8393541784077709E-3</v>
      </c>
      <c r="L22">
        <f t="shared" si="5"/>
        <v>-5.8289823659232312E-2</v>
      </c>
      <c r="O22" t="s">
        <v>581</v>
      </c>
      <c r="P22">
        <v>100.99010318518286</v>
      </c>
      <c r="Q22">
        <v>108.64999999999999</v>
      </c>
      <c r="R22">
        <v>1.6471918529170699</v>
      </c>
      <c r="S22">
        <v>1.7451259362720077</v>
      </c>
      <c r="X22" t="s">
        <v>583</v>
      </c>
      <c r="Y22">
        <v>1.6922802723604764</v>
      </c>
      <c r="Z22">
        <v>1.772024047810363</v>
      </c>
      <c r="AE22" t="s">
        <v>585</v>
      </c>
      <c r="AF22">
        <v>1.7213258636602609</v>
      </c>
      <c r="AG22">
        <v>1.8177508374255666</v>
      </c>
      <c r="AL22" t="s">
        <v>587</v>
      </c>
      <c r="AM22">
        <v>1.3661889555801932</v>
      </c>
      <c r="AN22">
        <v>1.2340618170432602</v>
      </c>
      <c r="AR22" t="s">
        <v>592</v>
      </c>
      <c r="AS22">
        <v>-0.16329511949894926</v>
      </c>
      <c r="AT22">
        <v>-0.12343207607444745</v>
      </c>
      <c r="AX22" t="s">
        <v>592</v>
      </c>
      <c r="AY22">
        <v>-0.16329511949894926</v>
      </c>
      <c r="AZ22">
        <v>-0.12343207607444745</v>
      </c>
    </row>
    <row r="23" spans="1:52">
      <c r="A23" t="s">
        <v>6</v>
      </c>
      <c r="B23" t="s">
        <v>23</v>
      </c>
      <c r="C23" t="s">
        <v>542</v>
      </c>
      <c r="D23" t="s">
        <v>543</v>
      </c>
      <c r="E23">
        <v>21.848080052984994</v>
      </c>
      <c r="F23">
        <v>20.76</v>
      </c>
      <c r="G23" t="e">
        <f>(F23-#REF!)/#REF!</f>
        <v>#REF!</v>
      </c>
      <c r="H23" t="e">
        <f>#REF!*BA_AGB!E23+#REF!</f>
        <v>#REF!</v>
      </c>
      <c r="I23" s="29" t="e">
        <f t="shared" si="3"/>
        <v>#REF!</v>
      </c>
      <c r="J23" s="29" t="e">
        <f t="shared" si="4"/>
        <v>#REF!</v>
      </c>
      <c r="K23">
        <f t="shared" si="1"/>
        <v>-0.10338374580897154</v>
      </c>
      <c r="L23">
        <f t="shared" si="5"/>
        <v>-0.14357370355709556</v>
      </c>
      <c r="O23" t="s">
        <v>583</v>
      </c>
      <c r="P23">
        <v>103.02629818749874</v>
      </c>
      <c r="Q23">
        <v>109.9</v>
      </c>
      <c r="R23">
        <v>1.6922802723604764</v>
      </c>
      <c r="S23">
        <v>1.772024047810363</v>
      </c>
      <c r="X23" t="s">
        <v>585</v>
      </c>
      <c r="Y23">
        <v>1.7213258636602609</v>
      </c>
      <c r="Z23">
        <v>1.8177508374255666</v>
      </c>
      <c r="AE23" t="s">
        <v>587</v>
      </c>
      <c r="AF23">
        <v>1.3661889555801932</v>
      </c>
      <c r="AG23">
        <v>1.2340618170432602</v>
      </c>
      <c r="AL23" t="s">
        <v>592</v>
      </c>
      <c r="AM23">
        <v>-0.16329511949894926</v>
      </c>
      <c r="AN23">
        <v>-0.12343207607444745</v>
      </c>
      <c r="AR23" t="s">
        <v>599</v>
      </c>
      <c r="AS23">
        <v>1.1801838220375576</v>
      </c>
      <c r="AT23">
        <v>0.84151077725250512</v>
      </c>
      <c r="AX23" t="s">
        <v>599</v>
      </c>
      <c r="AY23">
        <v>1.1801838220375576</v>
      </c>
      <c r="AZ23">
        <v>0.84151077725250512</v>
      </c>
    </row>
    <row r="24" spans="1:52">
      <c r="A24" t="s">
        <v>6</v>
      </c>
      <c r="B24" t="s">
        <v>544</v>
      </c>
      <c r="C24" t="s">
        <v>545</v>
      </c>
      <c r="D24" t="s">
        <v>546</v>
      </c>
      <c r="E24">
        <v>21.805031242491747</v>
      </c>
      <c r="F24">
        <v>20.353999999999999</v>
      </c>
      <c r="G24" t="e">
        <f>(F24-#REF!)/#REF!</f>
        <v>#REF!</v>
      </c>
      <c r="H24" t="e">
        <f>#REF!*BA_AGB!E24+#REF!</f>
        <v>#REF!</v>
      </c>
      <c r="I24" s="29" t="e">
        <f t="shared" si="3"/>
        <v>#REF!</v>
      </c>
      <c r="J24" s="29" t="e">
        <f t="shared" si="4"/>
        <v>#REF!</v>
      </c>
      <c r="K24">
        <f t="shared" si="1"/>
        <v>-0.10432766981388265</v>
      </c>
      <c r="L24">
        <f t="shared" si="5"/>
        <v>-0.15225171238880802</v>
      </c>
      <c r="O24" t="s">
        <v>585</v>
      </c>
      <c r="P24">
        <v>104.33799836625894</v>
      </c>
      <c r="Q24">
        <v>112.02500000000001</v>
      </c>
      <c r="R24">
        <v>1.7213258636602609</v>
      </c>
      <c r="S24">
        <v>1.8177508374255666</v>
      </c>
      <c r="X24" t="s">
        <v>587</v>
      </c>
      <c r="Y24">
        <v>1.3661889555801932</v>
      </c>
      <c r="Z24">
        <v>1.2340618170432602</v>
      </c>
      <c r="AE24" t="s">
        <v>590</v>
      </c>
      <c r="AF24">
        <v>-0.27801879244310546</v>
      </c>
      <c r="AG24">
        <v>-0.25491004527392741</v>
      </c>
      <c r="AL24" t="s">
        <v>599</v>
      </c>
      <c r="AM24">
        <v>1.1801838220375576</v>
      </c>
      <c r="AN24">
        <v>0.84151077725250512</v>
      </c>
      <c r="AR24" t="s">
        <v>601</v>
      </c>
      <c r="AS24">
        <v>0.42287720689968328</v>
      </c>
      <c r="AT24">
        <v>0.29822272040080777</v>
      </c>
      <c r="AX24" t="s">
        <v>601</v>
      </c>
      <c r="AY24">
        <v>0.42287720689968328</v>
      </c>
      <c r="AZ24">
        <v>0.29822272040080777</v>
      </c>
    </row>
    <row r="25" spans="1:52">
      <c r="A25" t="s">
        <v>6</v>
      </c>
      <c r="B25" t="s">
        <v>547</v>
      </c>
      <c r="C25" t="s">
        <v>548</v>
      </c>
      <c r="D25" t="s">
        <v>549</v>
      </c>
      <c r="F25">
        <v>58.127000000000002</v>
      </c>
      <c r="G25" s="75" t="e">
        <f>(F25-#REF!)/#REF!</f>
        <v>#REF!</v>
      </c>
      <c r="I25" s="29"/>
      <c r="J25" s="29"/>
      <c r="L25">
        <f t="shared" si="5"/>
        <v>0.65512372505028738</v>
      </c>
      <c r="O25" t="s">
        <v>587</v>
      </c>
      <c r="P25">
        <v>88.3</v>
      </c>
      <c r="Q25">
        <v>84.9</v>
      </c>
      <c r="R25">
        <v>1.3661889555801932</v>
      </c>
      <c r="S25">
        <v>1.2340618170432602</v>
      </c>
      <c r="X25" t="s">
        <v>590</v>
      </c>
      <c r="Y25">
        <v>-0.27801879244310546</v>
      </c>
      <c r="Z25">
        <v>-0.25491004527392741</v>
      </c>
      <c r="AE25" t="s">
        <v>592</v>
      </c>
      <c r="AF25">
        <v>-0.16329511949894926</v>
      </c>
      <c r="AG25">
        <v>-0.12343207607444745</v>
      </c>
      <c r="AL25" t="s">
        <v>601</v>
      </c>
      <c r="AM25">
        <v>0.42287720689968328</v>
      </c>
      <c r="AN25">
        <v>0.29822272040080777</v>
      </c>
      <c r="AR25" t="s">
        <v>603</v>
      </c>
      <c r="AS25">
        <v>0.85762730077512939</v>
      </c>
      <c r="AT25">
        <v>0.59489095859450614</v>
      </c>
      <c r="AX25" t="s">
        <v>603</v>
      </c>
      <c r="AY25">
        <v>0.85762730077512939</v>
      </c>
      <c r="AZ25">
        <v>0.59489095859450614</v>
      </c>
    </row>
    <row r="26" spans="1:52">
      <c r="A26" t="s">
        <v>6</v>
      </c>
      <c r="B26" t="s">
        <v>547</v>
      </c>
      <c r="C26" t="s">
        <v>550</v>
      </c>
      <c r="D26" t="s">
        <v>551</v>
      </c>
      <c r="F26">
        <v>26.544499999999999</v>
      </c>
      <c r="G26" s="75" t="e">
        <f>(F26-#REF!)/#REF!</f>
        <v>#REF!</v>
      </c>
      <c r="I26" s="29"/>
      <c r="J26" s="29"/>
      <c r="L26">
        <f t="shared" si="5"/>
        <v>-1.9933452111183282E-2</v>
      </c>
      <c r="O26" t="s">
        <v>590</v>
      </c>
      <c r="P26">
        <v>14.047505886820614</v>
      </c>
      <c r="Q26">
        <v>15.704999999999998</v>
      </c>
      <c r="R26">
        <v>-0.27801879244310546</v>
      </c>
      <c r="S26">
        <v>-0.25491004527392741</v>
      </c>
      <c r="X26" t="s">
        <v>592</v>
      </c>
      <c r="Y26">
        <v>-0.16329511949894926</v>
      </c>
      <c r="Z26">
        <v>-0.12343207607444745</v>
      </c>
      <c r="AE26" t="s">
        <v>599</v>
      </c>
      <c r="AF26">
        <v>1.1801838220375576</v>
      </c>
      <c r="AG26">
        <v>0.84151077725250512</v>
      </c>
      <c r="AL26" t="s">
        <v>603</v>
      </c>
      <c r="AM26">
        <v>0.85762730077512939</v>
      </c>
      <c r="AN26">
        <v>0.59489095859450614</v>
      </c>
      <c r="AR26" t="s">
        <v>605</v>
      </c>
      <c r="AS26">
        <v>1.1968849366948704E-2</v>
      </c>
      <c r="AT26">
        <v>0.75506024676823169</v>
      </c>
      <c r="AX26" t="s">
        <v>605</v>
      </c>
      <c r="AY26">
        <v>1.1968849366948704E-2</v>
      </c>
      <c r="AZ26">
        <v>0.75506024676823169</v>
      </c>
    </row>
    <row r="27" spans="1:52">
      <c r="A27" t="s">
        <v>12</v>
      </c>
      <c r="B27" t="s">
        <v>332</v>
      </c>
      <c r="C27" t="s">
        <v>376</v>
      </c>
      <c r="D27" t="s">
        <v>552</v>
      </c>
      <c r="E27">
        <v>71.204118953796325</v>
      </c>
      <c r="F27">
        <v>65.68180000000001</v>
      </c>
      <c r="G27" t="e">
        <f>(F27-#REF!)/#REF!</f>
        <v>#REF!</v>
      </c>
      <c r="H27" t="e">
        <f>#REF!*BA_AGB!E27+#REF!</f>
        <v>#REF!</v>
      </c>
      <c r="I27" s="29" t="e">
        <f t="shared" si="3"/>
        <v>#REF!</v>
      </c>
      <c r="J27" s="29" t="e">
        <f t="shared" si="4"/>
        <v>#REF!</v>
      </c>
      <c r="K27">
        <f t="shared" si="1"/>
        <v>0.9788377923009226</v>
      </c>
      <c r="L27">
        <f t="shared" si="5"/>
        <v>0.81660308741930454</v>
      </c>
      <c r="O27" t="s">
        <v>592</v>
      </c>
      <c r="P27">
        <v>19.228431995561689</v>
      </c>
      <c r="Q27">
        <v>21.814999999999998</v>
      </c>
      <c r="R27">
        <v>-0.16329511949894926</v>
      </c>
      <c r="S27">
        <v>-0.12343207607444745</v>
      </c>
      <c r="X27" t="s">
        <v>599</v>
      </c>
      <c r="Y27">
        <v>1.1801838220375576</v>
      </c>
      <c r="Z27">
        <v>0.84151077725250512</v>
      </c>
      <c r="AE27" t="s">
        <v>601</v>
      </c>
      <c r="AF27">
        <v>0.42287720689968328</v>
      </c>
      <c r="AG27">
        <v>0.29822272040080777</v>
      </c>
      <c r="AL27" t="s">
        <v>605</v>
      </c>
      <c r="AM27">
        <v>1.1968849366948704E-2</v>
      </c>
      <c r="AN27">
        <v>0.75506024676823169</v>
      </c>
      <c r="AR27" t="s">
        <v>608</v>
      </c>
      <c r="AS27">
        <v>1.561796529281132</v>
      </c>
      <c r="AT27">
        <v>1.3976023351964593</v>
      </c>
      <c r="AX27" t="s">
        <v>612</v>
      </c>
      <c r="AY27">
        <v>1.3196876721945343</v>
      </c>
      <c r="AZ27">
        <v>1.7887008769641433</v>
      </c>
    </row>
    <row r="28" spans="1:52">
      <c r="A28" t="s">
        <v>12</v>
      </c>
      <c r="B28" t="s">
        <v>332</v>
      </c>
      <c r="C28" t="s">
        <v>335</v>
      </c>
      <c r="D28" t="s">
        <v>553</v>
      </c>
      <c r="E28">
        <v>38.442668646540483</v>
      </c>
      <c r="F28">
        <v>25.5</v>
      </c>
      <c r="G28" t="e">
        <f>(F28-#REF!)/#REF!</f>
        <v>#REF!</v>
      </c>
      <c r="H28" t="e">
        <f>#REF!*BA_AGB!E28+#REF!</f>
        <v>#REF!</v>
      </c>
      <c r="I28" s="29" t="e">
        <f t="shared" si="3"/>
        <v>#REF!</v>
      </c>
      <c r="J28" s="29" t="e">
        <f t="shared" si="4"/>
        <v>#REF!</v>
      </c>
      <c r="K28">
        <f t="shared" si="1"/>
        <v>0.26048299860522234</v>
      </c>
      <c r="L28">
        <f t="shared" si="5"/>
        <v>-4.2259019167152745E-2</v>
      </c>
      <c r="O28" t="s">
        <v>594</v>
      </c>
      <c r="P28">
        <v>47.191245550339858</v>
      </c>
      <c r="Q28">
        <v>53.58</v>
      </c>
      <c r="R28">
        <v>0.45589855543966257</v>
      </c>
      <c r="S28">
        <v>0.56010273433823354</v>
      </c>
      <c r="X28" t="s">
        <v>601</v>
      </c>
      <c r="Y28">
        <v>0.42287720689968328</v>
      </c>
      <c r="Z28">
        <v>0.29822272040080777</v>
      </c>
      <c r="AE28" t="s">
        <v>603</v>
      </c>
      <c r="AF28">
        <v>0.85762730077512939</v>
      </c>
      <c r="AG28">
        <v>0.59489095859450614</v>
      </c>
      <c r="AL28" t="s">
        <v>608</v>
      </c>
      <c r="AM28">
        <v>1.561796529281132</v>
      </c>
      <c r="AN28">
        <v>1.3976023351964593</v>
      </c>
      <c r="AR28" t="s">
        <v>610</v>
      </c>
      <c r="AS28">
        <v>1.0606090933315773</v>
      </c>
      <c r="AT28">
        <v>1.4045958441964319</v>
      </c>
      <c r="AX28" t="s">
        <v>616</v>
      </c>
      <c r="AY28">
        <v>0.14571313948953526</v>
      </c>
      <c r="AZ28">
        <v>0.15652346881675303</v>
      </c>
    </row>
    <row r="29" spans="1:52">
      <c r="A29" t="s">
        <v>12</v>
      </c>
      <c r="B29" t="s">
        <v>332</v>
      </c>
      <c r="C29" t="s">
        <v>554</v>
      </c>
      <c r="D29" t="s">
        <v>555</v>
      </c>
      <c r="E29">
        <v>66.08</v>
      </c>
      <c r="H29" s="75" t="e">
        <f>#REF!*BA_AGB!E29+#REF!</f>
        <v>#REF!</v>
      </c>
      <c r="I29" s="29"/>
      <c r="J29" s="29"/>
      <c r="K29">
        <f t="shared" si="1"/>
        <v>0.86648210049226815</v>
      </c>
      <c r="O29" t="s">
        <v>599</v>
      </c>
      <c r="P29">
        <v>79.900000000000006</v>
      </c>
      <c r="Q29">
        <v>66.657499999999999</v>
      </c>
      <c r="R29">
        <v>1.1801838220375576</v>
      </c>
      <c r="S29">
        <v>0.84151077725250512</v>
      </c>
      <c r="X29" t="s">
        <v>603</v>
      </c>
      <c r="Y29">
        <v>0.85762730077512939</v>
      </c>
      <c r="Z29">
        <v>0.59489095859450614</v>
      </c>
      <c r="AE29" t="s">
        <v>605</v>
      </c>
      <c r="AF29">
        <v>1.1968849366948704E-2</v>
      </c>
      <c r="AG29">
        <v>0.75506024676823169</v>
      </c>
      <c r="AL29" t="s">
        <v>610</v>
      </c>
      <c r="AM29">
        <v>1.0606090933315773</v>
      </c>
      <c r="AN29">
        <v>1.4045958441964319</v>
      </c>
      <c r="AR29" t="s">
        <v>612</v>
      </c>
      <c r="AS29">
        <v>1.3196876721945343</v>
      </c>
      <c r="AT29">
        <v>1.7887008769641433</v>
      </c>
      <c r="AX29" t="s">
        <v>619</v>
      </c>
      <c r="AY29">
        <v>-0.1689186414022584</v>
      </c>
      <c r="AZ29">
        <v>2.8703642786489337E-2</v>
      </c>
    </row>
    <row r="30" spans="1:52">
      <c r="A30" t="s">
        <v>12</v>
      </c>
      <c r="B30" t="s">
        <v>332</v>
      </c>
      <c r="C30" t="s">
        <v>355</v>
      </c>
      <c r="D30" t="s">
        <v>556</v>
      </c>
      <c r="E30">
        <v>60.666666666666664</v>
      </c>
      <c r="H30" s="75" t="e">
        <f>#REF!*BA_AGB!E30+#REF!</f>
        <v>#REF!</v>
      </c>
      <c r="I30" s="29"/>
      <c r="J30" s="29"/>
      <c r="K30">
        <f t="shared" si="1"/>
        <v>0.74778485377692727</v>
      </c>
      <c r="O30" t="s">
        <v>601</v>
      </c>
      <c r="P30">
        <v>45.7</v>
      </c>
      <c r="Q30">
        <v>41.41</v>
      </c>
      <c r="R30">
        <v>0.42287720689968328</v>
      </c>
      <c r="S30">
        <v>0.29822272040080777</v>
      </c>
      <c r="X30" t="s">
        <v>605</v>
      </c>
      <c r="Y30">
        <v>1.1968849366948704E-2</v>
      </c>
      <c r="Z30">
        <v>0.75506024676823169</v>
      </c>
      <c r="AE30" t="s">
        <v>608</v>
      </c>
      <c r="AF30">
        <v>1.561796529281132</v>
      </c>
      <c r="AG30">
        <v>1.3976023351964593</v>
      </c>
      <c r="AL30" t="s">
        <v>612</v>
      </c>
      <c r="AM30">
        <v>1.3196876721945343</v>
      </c>
      <c r="AN30">
        <v>1.7887008769641433</v>
      </c>
      <c r="AR30" t="s">
        <v>616</v>
      </c>
      <c r="AS30">
        <v>0.14571313948953526</v>
      </c>
      <c r="AT30">
        <v>0.15652346881675303</v>
      </c>
      <c r="AX30" t="s">
        <v>621</v>
      </c>
      <c r="AY30">
        <v>0.30773117184948012</v>
      </c>
      <c r="AZ30">
        <v>0.17922547495512475</v>
      </c>
    </row>
    <row r="31" spans="1:52">
      <c r="A31" t="s">
        <v>12</v>
      </c>
      <c r="B31" t="s">
        <v>332</v>
      </c>
      <c r="C31" t="s">
        <v>557</v>
      </c>
      <c r="D31" t="s">
        <v>558</v>
      </c>
      <c r="E31">
        <v>57.6</v>
      </c>
      <c r="H31" s="75" t="e">
        <f>#REF!*BA_AGB!E31+#REF!</f>
        <v>#REF!</v>
      </c>
      <c r="I31" s="29"/>
      <c r="J31" s="29"/>
      <c r="K31">
        <f t="shared" si="1"/>
        <v>0.68054257115493633</v>
      </c>
      <c r="O31" t="s">
        <v>603</v>
      </c>
      <c r="P31">
        <v>65.333333333333329</v>
      </c>
      <c r="Q31">
        <v>55.196666666666665</v>
      </c>
      <c r="R31">
        <v>0.85762730077512939</v>
      </c>
      <c r="S31">
        <v>0.59489095859450614</v>
      </c>
      <c r="X31" t="s">
        <v>608</v>
      </c>
      <c r="Y31">
        <v>1.561796529281132</v>
      </c>
      <c r="Z31">
        <v>1.3976023351964593</v>
      </c>
      <c r="AE31" t="s">
        <v>610</v>
      </c>
      <c r="AF31">
        <v>1.0606090933315773</v>
      </c>
      <c r="AG31">
        <v>1.4045958441964319</v>
      </c>
      <c r="AL31" t="s">
        <v>616</v>
      </c>
      <c r="AM31">
        <v>0.14571313948953526</v>
      </c>
      <c r="AN31">
        <v>0.15652346881675303</v>
      </c>
      <c r="AR31" t="s">
        <v>619</v>
      </c>
      <c r="AS31">
        <v>-0.1689186414022584</v>
      </c>
      <c r="AT31">
        <v>2.8703642786489337E-2</v>
      </c>
      <c r="AX31" t="s">
        <v>623</v>
      </c>
      <c r="AY31">
        <v>1.0414235169117378</v>
      </c>
      <c r="AZ31">
        <v>1.1530158703141651</v>
      </c>
    </row>
    <row r="32" spans="1:52">
      <c r="A32" t="s">
        <v>12</v>
      </c>
      <c r="B32" t="s">
        <v>332</v>
      </c>
      <c r="C32" t="s">
        <v>559</v>
      </c>
      <c r="D32" t="s">
        <v>560</v>
      </c>
      <c r="F32">
        <v>40.15</v>
      </c>
      <c r="G32" s="75" t="e">
        <f>(F32-#REF!)/#REF!</f>
        <v>#REF!</v>
      </c>
      <c r="I32" s="29"/>
      <c r="J32" s="29"/>
      <c r="L32">
        <f t="shared" ref="L32:L67" si="6">STANDARDIZE(F32,$F$79,$F$78)</f>
        <v>0.27087602857813475</v>
      </c>
      <c r="O32" t="s">
        <v>605</v>
      </c>
      <c r="P32">
        <v>27.143360527015815</v>
      </c>
      <c r="Q32">
        <v>62.64</v>
      </c>
      <c r="R32">
        <v>1.1968849366948704E-2</v>
      </c>
      <c r="S32">
        <v>0.75506024676823169</v>
      </c>
      <c r="X32" t="s">
        <v>610</v>
      </c>
      <c r="Y32">
        <v>1.0606090933315773</v>
      </c>
      <c r="Z32">
        <v>1.4045958441964319</v>
      </c>
      <c r="AE32" t="s">
        <v>612</v>
      </c>
      <c r="AF32">
        <v>1.3196876721945343</v>
      </c>
      <c r="AG32">
        <v>1.7887008769641433</v>
      </c>
      <c r="AL32" t="s">
        <v>619</v>
      </c>
      <c r="AM32">
        <v>-0.1689186414022584</v>
      </c>
      <c r="AN32">
        <v>2.8703642786489337E-2</v>
      </c>
      <c r="AR32" t="s">
        <v>621</v>
      </c>
      <c r="AS32">
        <v>0.30773117184948012</v>
      </c>
      <c r="AT32">
        <v>0.17922547495512475</v>
      </c>
      <c r="AX32" t="s">
        <v>627</v>
      </c>
      <c r="AY32">
        <v>0.22910096924576251</v>
      </c>
      <c r="AZ32">
        <v>0.39591666150811383</v>
      </c>
    </row>
    <row r="33" spans="1:53">
      <c r="A33" t="s">
        <v>12</v>
      </c>
      <c r="B33" t="s">
        <v>332</v>
      </c>
      <c r="C33" t="s">
        <v>334</v>
      </c>
      <c r="D33" t="s">
        <v>561</v>
      </c>
      <c r="F33">
        <v>52.47</v>
      </c>
      <c r="G33" s="75" t="e">
        <f>(F33-#REF!)/#REF!</f>
        <v>#REF!</v>
      </c>
      <c r="I33" s="29"/>
      <c r="J33" s="29"/>
      <c r="L33">
        <f t="shared" si="6"/>
        <v>0.53420871036802842</v>
      </c>
      <c r="O33" t="s">
        <v>608</v>
      </c>
      <c r="P33">
        <v>97.133646619281379</v>
      </c>
      <c r="Q33">
        <v>92.5</v>
      </c>
      <c r="R33">
        <v>1.561796529281132</v>
      </c>
      <c r="S33">
        <v>1.3976023351964593</v>
      </c>
      <c r="X33" t="s">
        <v>612</v>
      </c>
      <c r="Y33">
        <v>1.3196876721945343</v>
      </c>
      <c r="Z33">
        <v>1.7887008769641433</v>
      </c>
      <c r="AE33" t="s">
        <v>616</v>
      </c>
      <c r="AF33">
        <v>0.14571313948953526</v>
      </c>
      <c r="AG33">
        <v>0.15652346881675303</v>
      </c>
      <c r="AL33" t="s">
        <v>621</v>
      </c>
      <c r="AM33">
        <v>0.30773117184948012</v>
      </c>
      <c r="AN33">
        <v>0.17922547495512475</v>
      </c>
      <c r="AR33" t="s">
        <v>623</v>
      </c>
      <c r="AS33">
        <v>1.0414235169117378</v>
      </c>
      <c r="AT33">
        <v>1.1530158703141651</v>
      </c>
      <c r="AX33" t="s">
        <v>629</v>
      </c>
      <c r="AY33">
        <v>-7.003888272223989E-2</v>
      </c>
      <c r="AZ33">
        <v>-0.12698262679751032</v>
      </c>
    </row>
    <row r="34" spans="1:53">
      <c r="A34" t="s">
        <v>12</v>
      </c>
      <c r="B34" t="s">
        <v>332</v>
      </c>
      <c r="C34" t="s">
        <v>562</v>
      </c>
      <c r="D34" t="s">
        <v>561</v>
      </c>
      <c r="F34">
        <v>87.2</v>
      </c>
      <c r="G34" s="75" t="e">
        <f>(F34-#REF!)/#REF!</f>
        <v>#REF!</v>
      </c>
      <c r="I34" s="29"/>
      <c r="J34" s="29"/>
      <c r="L34">
        <f t="shared" si="6"/>
        <v>1.2765418303812597</v>
      </c>
      <c r="O34" t="s">
        <v>610</v>
      </c>
      <c r="P34">
        <v>74.5</v>
      </c>
      <c r="Q34">
        <v>92.825000000000003</v>
      </c>
      <c r="R34">
        <v>1.0606090933315773</v>
      </c>
      <c r="S34">
        <v>1.4045958441964319</v>
      </c>
      <c r="X34" t="s">
        <v>616</v>
      </c>
      <c r="Y34">
        <v>0.14571313948953526</v>
      </c>
      <c r="Z34">
        <v>0.15652346881675303</v>
      </c>
      <c r="AE34" t="s">
        <v>619</v>
      </c>
      <c r="AF34">
        <v>-0.1689186414022584</v>
      </c>
      <c r="AG34">
        <v>2.8703642786489337E-2</v>
      </c>
      <c r="AL34" t="s">
        <v>623</v>
      </c>
      <c r="AM34">
        <v>1.0414235169117378</v>
      </c>
      <c r="AN34">
        <v>1.1530158703141651</v>
      </c>
      <c r="AR34" t="s">
        <v>627</v>
      </c>
      <c r="AS34">
        <v>0.22910096924576251</v>
      </c>
      <c r="AT34">
        <v>0.39591666150811383</v>
      </c>
      <c r="AX34" t="s">
        <v>632</v>
      </c>
      <c r="AY34">
        <v>4.8876822755003081E-2</v>
      </c>
      <c r="AZ34">
        <v>-2.7931514574425123E-2</v>
      </c>
    </row>
    <row r="35" spans="1:53">
      <c r="A35" t="s">
        <v>12</v>
      </c>
      <c r="B35" t="s">
        <v>332</v>
      </c>
      <c r="C35" t="s">
        <v>563</v>
      </c>
      <c r="D35" t="s">
        <v>564</v>
      </c>
      <c r="E35">
        <v>53.9</v>
      </c>
      <c r="F35">
        <v>47.55</v>
      </c>
      <c r="G35" t="e">
        <f>(F35-#REF!)/#REF!</f>
        <v>#REF!</v>
      </c>
      <c r="H35" t="e">
        <f>#REF!*BA_AGB!E35+#REF!</f>
        <v>#REF!</v>
      </c>
      <c r="I35" s="29" t="e">
        <f t="shared" si="3"/>
        <v>#REF!</v>
      </c>
      <c r="J35" s="29" t="e">
        <f t="shared" si="4"/>
        <v>#REF!</v>
      </c>
      <c r="K35">
        <f t="shared" si="1"/>
        <v>0.59941329538275134</v>
      </c>
      <c r="L35">
        <f t="shared" si="6"/>
        <v>0.42904663289998646</v>
      </c>
      <c r="O35" t="s">
        <v>612</v>
      </c>
      <c r="P35">
        <v>86.2</v>
      </c>
      <c r="Q35">
        <v>110.675</v>
      </c>
      <c r="R35">
        <v>1.3196876721945343</v>
      </c>
      <c r="S35">
        <v>1.7887008769641433</v>
      </c>
      <c r="X35" t="s">
        <v>619</v>
      </c>
      <c r="Y35">
        <v>-0.1689186414022584</v>
      </c>
      <c r="Z35">
        <v>2.8703642786489337E-2</v>
      </c>
      <c r="AE35" t="s">
        <v>621</v>
      </c>
      <c r="AF35">
        <v>0.30773117184948012</v>
      </c>
      <c r="AG35">
        <v>0.17922547495512475</v>
      </c>
      <c r="AL35" t="s">
        <v>627</v>
      </c>
      <c r="AM35">
        <v>0.22910096924576251</v>
      </c>
      <c r="AN35">
        <v>0.39591666150811383</v>
      </c>
      <c r="AR35" t="s">
        <v>629</v>
      </c>
      <c r="AS35">
        <v>-7.003888272223989E-2</v>
      </c>
      <c r="AT35">
        <v>-0.12698262679751032</v>
      </c>
      <c r="AX35" t="s">
        <v>634</v>
      </c>
      <c r="AY35">
        <v>0.10512830278385633</v>
      </c>
      <c r="AZ35">
        <v>4.1937513663360036E-2</v>
      </c>
    </row>
    <row r="36" spans="1:53">
      <c r="A36" t="s">
        <v>12</v>
      </c>
      <c r="B36" t="s">
        <v>565</v>
      </c>
      <c r="C36" t="s">
        <v>566</v>
      </c>
      <c r="D36" t="s">
        <v>567</v>
      </c>
      <c r="E36">
        <v>70.993173583070003</v>
      </c>
      <c r="F36">
        <v>87.083333333333329</v>
      </c>
      <c r="G36" t="e">
        <f>(F36-#REF!)/#REF!</f>
        <v>#REF!</v>
      </c>
      <c r="H36" t="e">
        <f>#REF!*BA_AGB!E36+#REF!</f>
        <v>#REF!</v>
      </c>
      <c r="I36" s="29" t="e">
        <f t="shared" si="3"/>
        <v>#REF!</v>
      </c>
      <c r="J36" s="29" t="e">
        <f t="shared" si="4"/>
        <v>#REF!</v>
      </c>
      <c r="K36">
        <f t="shared" si="1"/>
        <v>0.97421242874564651</v>
      </c>
      <c r="L36">
        <f t="shared" si="6"/>
        <v>1.2740481496824916</v>
      </c>
      <c r="O36" t="s">
        <v>616</v>
      </c>
      <c r="P36">
        <v>33.183258542906927</v>
      </c>
      <c r="Q36">
        <v>34.825000000000003</v>
      </c>
      <c r="R36">
        <v>0.14571313948953526</v>
      </c>
      <c r="S36">
        <v>0.15652346881675303</v>
      </c>
      <c r="X36" t="s">
        <v>621</v>
      </c>
      <c r="Y36">
        <v>0.30773117184948012</v>
      </c>
      <c r="Z36">
        <v>0.17922547495512475</v>
      </c>
      <c r="AE36" t="s">
        <v>623</v>
      </c>
      <c r="AF36">
        <v>1.0414235169117378</v>
      </c>
      <c r="AG36">
        <v>1.1530158703141651</v>
      </c>
      <c r="AL36" t="s">
        <v>629</v>
      </c>
      <c r="AM36">
        <v>-7.003888272223989E-2</v>
      </c>
      <c r="AN36">
        <v>-0.12698262679751032</v>
      </c>
      <c r="AR36" t="s">
        <v>631</v>
      </c>
      <c r="AS36">
        <v>0.33043911222194378</v>
      </c>
      <c r="AT36">
        <v>0.26034701613688677</v>
      </c>
      <c r="AX36" t="s">
        <v>637</v>
      </c>
      <c r="AY36">
        <v>-0.36601029270962548</v>
      </c>
      <c r="AZ36">
        <v>-0.42071000479634846</v>
      </c>
    </row>
    <row r="37" spans="1:53">
      <c r="A37" t="s">
        <v>12</v>
      </c>
      <c r="B37" t="s">
        <v>568</v>
      </c>
      <c r="C37" t="s">
        <v>401</v>
      </c>
      <c r="D37" t="s">
        <v>569</v>
      </c>
      <c r="E37">
        <v>17.110495892217592</v>
      </c>
      <c r="F37">
        <v>22.6</v>
      </c>
      <c r="G37" t="e">
        <f>(F37-#REF!)/#REF!</f>
        <v>#REF!</v>
      </c>
      <c r="H37" t="e">
        <f>#REF!*BA_AGB!E37+#REF!</f>
        <v>#REF!</v>
      </c>
      <c r="I37" s="29" t="e">
        <f t="shared" si="3"/>
        <v>#REF!</v>
      </c>
      <c r="J37" s="29" t="e">
        <f t="shared" si="4"/>
        <v>#REF!</v>
      </c>
      <c r="K37">
        <f t="shared" si="1"/>
        <v>-0.20726395442325091</v>
      </c>
      <c r="L37">
        <f t="shared" si="6"/>
        <v>-0.10424479653652703</v>
      </c>
      <c r="O37" t="s">
        <v>619</v>
      </c>
      <c r="P37">
        <v>18.974473499427123</v>
      </c>
      <c r="Q37">
        <v>28.885000000000002</v>
      </c>
      <c r="R37">
        <v>-0.1689186414022584</v>
      </c>
      <c r="S37">
        <v>2.8703642786489337E-2</v>
      </c>
      <c r="X37" t="s">
        <v>623</v>
      </c>
      <c r="Y37">
        <v>1.0414235169117378</v>
      </c>
      <c r="Z37">
        <v>1.1530158703141651</v>
      </c>
      <c r="AE37" t="s">
        <v>625</v>
      </c>
      <c r="AF37">
        <v>5.3019028814445417E-2</v>
      </c>
      <c r="AG37">
        <v>0.20225025843195676</v>
      </c>
      <c r="AL37" t="s">
        <v>631</v>
      </c>
      <c r="AM37">
        <v>0.33043911222194378</v>
      </c>
      <c r="AN37">
        <v>0.26034701613688677</v>
      </c>
      <c r="AR37" t="s">
        <v>632</v>
      </c>
      <c r="AS37">
        <v>4.8876822755003081E-2</v>
      </c>
      <c r="AT37">
        <v>-2.7931514574425123E-2</v>
      </c>
      <c r="AX37" t="s">
        <v>643</v>
      </c>
      <c r="AY37">
        <v>0.39445800418348731</v>
      </c>
      <c r="AZ37">
        <v>0.2076067483637048</v>
      </c>
    </row>
    <row r="38" spans="1:53">
      <c r="A38" t="s">
        <v>12</v>
      </c>
      <c r="B38" t="s">
        <v>568</v>
      </c>
      <c r="C38" t="s">
        <v>402</v>
      </c>
      <c r="D38" t="s">
        <v>570</v>
      </c>
      <c r="E38">
        <v>36.226490286707303</v>
      </c>
      <c r="F38">
        <v>39.700000000000003</v>
      </c>
      <c r="G38" t="e">
        <f>(F38-#REF!)/#REF!</f>
        <v>#REF!</v>
      </c>
      <c r="H38" t="e">
        <f>#REF!*BA_AGB!E38+#REF!</f>
        <v>#REF!</v>
      </c>
      <c r="I38" s="29" t="e">
        <f t="shared" si="3"/>
        <v>#REF!</v>
      </c>
      <c r="J38" s="29" t="e">
        <f t="shared" si="4"/>
        <v>#REF!</v>
      </c>
      <c r="K38">
        <f t="shared" si="1"/>
        <v>0.21188922960109952</v>
      </c>
      <c r="L38">
        <f t="shared" si="6"/>
        <v>0.26125754588288713</v>
      </c>
      <c r="O38" t="s">
        <v>621</v>
      </c>
      <c r="P38">
        <v>40.5</v>
      </c>
      <c r="Q38">
        <v>35.880000000000003</v>
      </c>
      <c r="R38">
        <v>0.30773117184948012</v>
      </c>
      <c r="S38">
        <v>0.17922547495512475</v>
      </c>
      <c r="X38" t="s">
        <v>625</v>
      </c>
      <c r="Y38">
        <v>5.3019028814445417E-2</v>
      </c>
      <c r="Z38">
        <v>0.20225025843195676</v>
      </c>
      <c r="AE38" t="s">
        <v>627</v>
      </c>
      <c r="AF38">
        <v>0.22910096924576251</v>
      </c>
      <c r="AG38">
        <v>0.39591666150811383</v>
      </c>
      <c r="AL38" t="s">
        <v>632</v>
      </c>
      <c r="AM38">
        <v>4.8876822755003081E-2</v>
      </c>
      <c r="AN38">
        <v>-2.7931514574425123E-2</v>
      </c>
      <c r="AR38" t="s">
        <v>634</v>
      </c>
      <c r="AS38">
        <v>0.10512830278385633</v>
      </c>
      <c r="AT38">
        <v>4.1937513663360036E-2</v>
      </c>
      <c r="AX38" t="s">
        <v>645</v>
      </c>
      <c r="AY38">
        <v>0.12271417839291195</v>
      </c>
      <c r="AZ38">
        <v>0.19794656058581989</v>
      </c>
    </row>
    <row r="39" spans="1:53">
      <c r="A39" t="s">
        <v>12</v>
      </c>
      <c r="B39" t="s">
        <v>568</v>
      </c>
      <c r="C39" t="s">
        <v>571</v>
      </c>
      <c r="D39" t="s">
        <v>572</v>
      </c>
      <c r="E39">
        <v>16.597917561848696</v>
      </c>
      <c r="F39">
        <v>20.5</v>
      </c>
      <c r="G39" t="e">
        <f>(F39-#REF!)/#REF!</f>
        <v>#REF!</v>
      </c>
      <c r="H39" t="e">
        <f>#REF!*BA_AGB!E39+#REF!</f>
        <v>#REF!</v>
      </c>
      <c r="I39" s="29" t="e">
        <f t="shared" si="3"/>
        <v>#REF!</v>
      </c>
      <c r="J39" s="29" t="e">
        <f t="shared" si="4"/>
        <v>#REF!</v>
      </c>
      <c r="K39">
        <f t="shared" si="1"/>
        <v>-0.21850317299604666</v>
      </c>
      <c r="L39">
        <f t="shared" si="6"/>
        <v>-0.14913104911434985</v>
      </c>
      <c r="O39" t="s">
        <v>623</v>
      </c>
      <c r="P39">
        <v>73.633578526263037</v>
      </c>
      <c r="Q39">
        <v>81.133659999999992</v>
      </c>
      <c r="R39">
        <v>1.0414235169117378</v>
      </c>
      <c r="S39">
        <v>1.1530158703141651</v>
      </c>
      <c r="X39" t="s">
        <v>627</v>
      </c>
      <c r="Y39">
        <v>0.22910096924576251</v>
      </c>
      <c r="Z39">
        <v>0.39591666150811383</v>
      </c>
      <c r="AE39" t="s">
        <v>629</v>
      </c>
      <c r="AF39">
        <v>-7.003888272223989E-2</v>
      </c>
      <c r="AG39">
        <v>-0.12698262679751032</v>
      </c>
      <c r="AL39" t="s">
        <v>634</v>
      </c>
      <c r="AM39">
        <v>0.10512830278385633</v>
      </c>
      <c r="AN39">
        <v>4.1937513663360036E-2</v>
      </c>
      <c r="AR39" t="s">
        <v>637</v>
      </c>
      <c r="AS39">
        <v>-0.36601029270962548</v>
      </c>
      <c r="AT39">
        <v>-0.42071000479634846</v>
      </c>
      <c r="AX39" t="s">
        <v>647</v>
      </c>
      <c r="AY39">
        <v>0.23657881858342006</v>
      </c>
      <c r="AZ39">
        <v>0.30984270458537733</v>
      </c>
    </row>
    <row r="40" spans="1:53">
      <c r="A40" t="s">
        <v>12</v>
      </c>
      <c r="B40" t="s">
        <v>573</v>
      </c>
      <c r="C40" t="s">
        <v>574</v>
      </c>
      <c r="D40" t="s">
        <v>575</v>
      </c>
      <c r="E40">
        <v>46.4</v>
      </c>
      <c r="F40">
        <v>43.930000000000007</v>
      </c>
      <c r="G40" t="e">
        <f>(F40-#REF!)/#REF!</f>
        <v>#REF!</v>
      </c>
      <c r="H40" t="e">
        <f>#REF!*BA_AGB!E40+#REF!</f>
        <v>#REF!</v>
      </c>
      <c r="I40" s="29" t="e">
        <f t="shared" si="3"/>
        <v>#REF!</v>
      </c>
      <c r="J40" s="29" t="e">
        <f t="shared" si="4"/>
        <v>#REF!</v>
      </c>
      <c r="K40">
        <f t="shared" si="1"/>
        <v>0.43496206070940352</v>
      </c>
      <c r="L40">
        <f t="shared" si="6"/>
        <v>0.35167128321821595</v>
      </c>
      <c r="O40" t="s">
        <v>625</v>
      </c>
      <c r="P40">
        <v>28.99718843375976</v>
      </c>
      <c r="Q40">
        <v>36.950000000000003</v>
      </c>
      <c r="R40">
        <v>5.3019028814445417E-2</v>
      </c>
      <c r="S40">
        <v>0.20225025843195676</v>
      </c>
      <c r="X40" t="s">
        <v>629</v>
      </c>
      <c r="Y40">
        <v>-7.003888272223989E-2</v>
      </c>
      <c r="Z40">
        <v>-0.12698262679751032</v>
      </c>
      <c r="AE40" t="s">
        <v>631</v>
      </c>
      <c r="AF40">
        <v>0.33043911222194378</v>
      </c>
      <c r="AG40">
        <v>0.26034701613688677</v>
      </c>
      <c r="AL40" t="s">
        <v>637</v>
      </c>
      <c r="AM40">
        <v>-0.36601029270962548</v>
      </c>
      <c r="AN40">
        <v>-0.42071000479634846</v>
      </c>
      <c r="AR40" t="s">
        <v>643</v>
      </c>
      <c r="AS40">
        <v>0.39445800418348731</v>
      </c>
      <c r="AT40">
        <v>0.2076067483637048</v>
      </c>
      <c r="AW40" t="s">
        <v>662</v>
      </c>
      <c r="AX40" t="s">
        <v>493</v>
      </c>
      <c r="AY40" t="s">
        <v>658</v>
      </c>
      <c r="AZ40" t="s">
        <v>657</v>
      </c>
      <c r="BA40" t="s">
        <v>663</v>
      </c>
    </row>
    <row r="41" spans="1:53">
      <c r="A41" t="s">
        <v>12</v>
      </c>
      <c r="B41" t="s">
        <v>568</v>
      </c>
      <c r="C41" t="s">
        <v>576</v>
      </c>
      <c r="D41" t="s">
        <v>577</v>
      </c>
      <c r="E41">
        <v>11.189347722437693</v>
      </c>
      <c r="F41">
        <v>11.654999999999999</v>
      </c>
      <c r="G41" t="e">
        <f>(F41-#REF!)/#REF!</f>
        <v>#REF!</v>
      </c>
      <c r="H41" t="e">
        <f>#REF!*BA_AGB!E41+#REF!</f>
        <v>#REF!</v>
      </c>
      <c r="I41" s="29" t="e">
        <f t="shared" si="3"/>
        <v>#REF!</v>
      </c>
      <c r="J41" s="29" t="e">
        <f t="shared" si="4"/>
        <v>#REF!</v>
      </c>
      <c r="K41">
        <f t="shared" si="1"/>
        <v>-0.33709597138380265</v>
      </c>
      <c r="L41">
        <f t="shared" si="6"/>
        <v>-0.33818767009094158</v>
      </c>
      <c r="O41" t="s">
        <v>627</v>
      </c>
      <c r="P41">
        <v>36.94905659703295</v>
      </c>
      <c r="Q41">
        <v>45.95</v>
      </c>
      <c r="R41">
        <v>0.22910096924576251</v>
      </c>
      <c r="S41">
        <v>0.39591666150811383</v>
      </c>
      <c r="X41" t="s">
        <v>631</v>
      </c>
      <c r="Y41">
        <v>0.33043911222194378</v>
      </c>
      <c r="Z41">
        <v>0.26034701613688677</v>
      </c>
      <c r="AE41" t="s">
        <v>632</v>
      </c>
      <c r="AF41">
        <v>4.8876822755003081E-2</v>
      </c>
      <c r="AG41">
        <v>-2.7931514574425123E-2</v>
      </c>
      <c r="AL41" t="s">
        <v>641</v>
      </c>
      <c r="AM41">
        <v>0.33820694363615067</v>
      </c>
      <c r="AN41">
        <v>0.35114811173684146</v>
      </c>
      <c r="AR41" t="s">
        <v>645</v>
      </c>
      <c r="AS41">
        <v>0.12271417839291195</v>
      </c>
      <c r="AT41">
        <v>0.19794656058581989</v>
      </c>
      <c r="AX41" t="s">
        <v>594</v>
      </c>
      <c r="AY41">
        <v>0.45589855543966257</v>
      </c>
      <c r="AZ41">
        <v>0.56010273433823354</v>
      </c>
    </row>
    <row r="42" spans="1:53">
      <c r="A42" t="s">
        <v>12</v>
      </c>
      <c r="B42" t="s">
        <v>341</v>
      </c>
      <c r="C42" t="s">
        <v>578</v>
      </c>
      <c r="D42" t="s">
        <v>579</v>
      </c>
      <c r="E42">
        <v>103.41267510803563</v>
      </c>
      <c r="F42">
        <v>108.60000000000001</v>
      </c>
      <c r="G42" t="e">
        <f>(F42-#REF!)/#REF!</f>
        <v>#REF!</v>
      </c>
      <c r="H42" t="e">
        <f>#REF!*BA_AGB!E42+#REF!</f>
        <v>#REF!</v>
      </c>
      <c r="I42" s="29" t="e">
        <f t="shared" si="3"/>
        <v>#REF!</v>
      </c>
      <c r="J42" s="29" t="e">
        <f t="shared" si="4"/>
        <v>#REF!</v>
      </c>
      <c r="K42">
        <f t="shared" si="1"/>
        <v>1.6850693691823238</v>
      </c>
      <c r="L42">
        <f t="shared" si="6"/>
        <v>1.7339541185552636</v>
      </c>
      <c r="O42" t="s">
        <v>629</v>
      </c>
      <c r="P42">
        <v>23.439887744146176</v>
      </c>
      <c r="Q42">
        <v>21.65</v>
      </c>
      <c r="R42">
        <v>-7.003888272223989E-2</v>
      </c>
      <c r="S42">
        <v>-0.12698262679751032</v>
      </c>
      <c r="X42" t="s">
        <v>632</v>
      </c>
      <c r="Y42">
        <v>4.8876822755003081E-2</v>
      </c>
      <c r="Z42">
        <v>-2.7931514574425123E-2</v>
      </c>
      <c r="AE42" t="s">
        <v>634</v>
      </c>
      <c r="AF42">
        <v>0.10512830278385633</v>
      </c>
      <c r="AG42">
        <v>4.1937513663360036E-2</v>
      </c>
      <c r="AL42" t="s">
        <v>643</v>
      </c>
      <c r="AM42">
        <v>0.39445800418348731</v>
      </c>
      <c r="AN42">
        <v>0.2076067483637048</v>
      </c>
      <c r="AR42" t="s">
        <v>647</v>
      </c>
      <c r="AS42">
        <v>0.23657881858342006</v>
      </c>
      <c r="AT42">
        <v>0.30984270458537733</v>
      </c>
      <c r="AX42" t="s">
        <v>649</v>
      </c>
      <c r="AY42">
        <v>0.14720468149972055</v>
      </c>
      <c r="AZ42">
        <v>0.31177936861613886</v>
      </c>
    </row>
    <row r="43" spans="1:53">
      <c r="A43" t="s">
        <v>12</v>
      </c>
      <c r="B43" t="s">
        <v>341</v>
      </c>
      <c r="C43" t="s">
        <v>580</v>
      </c>
      <c r="D43" t="s">
        <v>581</v>
      </c>
      <c r="E43">
        <v>100.99010318518286</v>
      </c>
      <c r="F43">
        <v>108.64999999999999</v>
      </c>
      <c r="G43" t="e">
        <f>(F43-#REF!)/#REF!</f>
        <v>#REF!</v>
      </c>
      <c r="H43" t="e">
        <f>#REF!*BA_AGB!E43+#REF!</f>
        <v>#REF!</v>
      </c>
      <c r="I43" s="29" t="e">
        <f t="shared" si="3"/>
        <v>#REF!</v>
      </c>
      <c r="J43" s="29" t="e">
        <f t="shared" si="4"/>
        <v>#REF!</v>
      </c>
      <c r="K43">
        <f t="shared" si="1"/>
        <v>1.6319500433425738</v>
      </c>
      <c r="L43">
        <f t="shared" si="6"/>
        <v>1.7350228388547351</v>
      </c>
      <c r="O43" t="s">
        <v>631</v>
      </c>
      <c r="P43">
        <v>41.525491584537221</v>
      </c>
      <c r="Q43">
        <v>39.649852999999993</v>
      </c>
      <c r="R43">
        <v>0.33043911222194378</v>
      </c>
      <c r="S43">
        <v>0.26034701613688677</v>
      </c>
      <c r="X43" t="s">
        <v>634</v>
      </c>
      <c r="Y43">
        <v>0.10512830278385633</v>
      </c>
      <c r="Z43">
        <v>4.1937513663360036E-2</v>
      </c>
      <c r="AE43" t="s">
        <v>637</v>
      </c>
      <c r="AF43">
        <v>-0.36601029270962548</v>
      </c>
      <c r="AG43">
        <v>-0.42071000479634846</v>
      </c>
      <c r="AL43" t="s">
        <v>645</v>
      </c>
      <c r="AM43">
        <v>0.12271417839291195</v>
      </c>
      <c r="AN43">
        <v>0.19794656058581989</v>
      </c>
      <c r="AQ43" t="s">
        <v>662</v>
      </c>
      <c r="AR43" t="s">
        <v>493</v>
      </c>
      <c r="AS43" t="s">
        <v>658</v>
      </c>
      <c r="AT43" t="s">
        <v>657</v>
      </c>
      <c r="AU43" t="s">
        <v>663</v>
      </c>
      <c r="AX43" t="s">
        <v>511</v>
      </c>
      <c r="AY43">
        <v>-0.13185835378866134</v>
      </c>
      <c r="AZ43">
        <v>-6.5830308177290631E-2</v>
      </c>
    </row>
    <row r="44" spans="1:53">
      <c r="A44" t="s">
        <v>12</v>
      </c>
      <c r="B44" t="s">
        <v>341</v>
      </c>
      <c r="C44" t="s">
        <v>582</v>
      </c>
      <c r="D44" t="s">
        <v>583</v>
      </c>
      <c r="E44">
        <v>103.02629818749874</v>
      </c>
      <c r="F44">
        <v>109.9</v>
      </c>
      <c r="G44" t="e">
        <f>(F44-#REF!)/#REF!</f>
        <v>#REF!</v>
      </c>
      <c r="H44" t="e">
        <f>#REF!*BA_AGB!E44+#REF!</f>
        <v>#REF!</v>
      </c>
      <c r="I44" s="29" t="e">
        <f t="shared" si="3"/>
        <v>#REF!</v>
      </c>
      <c r="J44" s="29" t="e">
        <f t="shared" si="4"/>
        <v>#REF!</v>
      </c>
      <c r="K44">
        <f t="shared" si="1"/>
        <v>1.6765973476314466</v>
      </c>
      <c r="L44">
        <f t="shared" si="6"/>
        <v>1.7617408463415347</v>
      </c>
      <c r="O44" t="s">
        <v>632</v>
      </c>
      <c r="P44">
        <v>28.810126226192569</v>
      </c>
      <c r="Q44">
        <v>26.253070000000001</v>
      </c>
      <c r="R44">
        <v>4.8876822755003081E-2</v>
      </c>
      <c r="S44">
        <v>-2.7931514574425123E-2</v>
      </c>
      <c r="X44" t="s">
        <v>637</v>
      </c>
      <c r="Y44">
        <v>-0.36601029270962548</v>
      </c>
      <c r="Z44">
        <v>-0.42071000479634846</v>
      </c>
      <c r="AE44" t="s">
        <v>641</v>
      </c>
      <c r="AF44">
        <v>0.33820694363615067</v>
      </c>
      <c r="AG44">
        <v>0.35114811173684146</v>
      </c>
      <c r="AL44" t="s">
        <v>647</v>
      </c>
      <c r="AM44">
        <v>0.23657881858342006</v>
      </c>
      <c r="AN44">
        <v>0.30984270458537733</v>
      </c>
      <c r="AR44" t="s">
        <v>594</v>
      </c>
      <c r="AS44">
        <v>0.45589855543966257</v>
      </c>
      <c r="AT44">
        <v>0.56010273433823354</v>
      </c>
      <c r="AX44" t="s">
        <v>579</v>
      </c>
      <c r="AY44">
        <v>1.7008359974440783</v>
      </c>
      <c r="AZ44">
        <v>1.744050011810474</v>
      </c>
    </row>
    <row r="45" spans="1:53">
      <c r="A45" t="s">
        <v>12</v>
      </c>
      <c r="B45" t="s">
        <v>341</v>
      </c>
      <c r="C45" t="s">
        <v>584</v>
      </c>
      <c r="D45" t="s">
        <v>585</v>
      </c>
      <c r="E45">
        <v>104.33799836625894</v>
      </c>
      <c r="F45">
        <v>112.02500000000001</v>
      </c>
      <c r="G45" t="e">
        <f>(F45-#REF!)/#REF!</f>
        <v>#REF!</v>
      </c>
      <c r="H45" t="e">
        <f>#REF!*BA_AGB!E45+#REF!</f>
        <v>#REF!</v>
      </c>
      <c r="I45" s="29" t="e">
        <f t="shared" si="3"/>
        <v>#REF!</v>
      </c>
      <c r="J45" s="29" t="e">
        <f t="shared" si="4"/>
        <v>#REF!</v>
      </c>
      <c r="K45">
        <f t="shared" si="1"/>
        <v>1.7053587761538955</v>
      </c>
      <c r="L45">
        <f t="shared" si="6"/>
        <v>1.8071614590690934</v>
      </c>
      <c r="O45" t="s">
        <v>634</v>
      </c>
      <c r="P45">
        <v>31.350445534820999</v>
      </c>
      <c r="Q45">
        <v>29.5</v>
      </c>
      <c r="R45">
        <v>0.10512830278385633</v>
      </c>
      <c r="S45">
        <v>4.1937513663360036E-2</v>
      </c>
      <c r="X45" t="s">
        <v>639</v>
      </c>
      <c r="Y45">
        <v>5.4638276163539182E-2</v>
      </c>
      <c r="Z45">
        <v>1.8267175509607474E-2</v>
      </c>
      <c r="AE45" t="s">
        <v>643</v>
      </c>
      <c r="AF45">
        <v>0.39445800418348731</v>
      </c>
      <c r="AG45">
        <v>0.2076067483637048</v>
      </c>
      <c r="AK45" t="s">
        <v>662</v>
      </c>
      <c r="AL45" t="s">
        <v>493</v>
      </c>
      <c r="AM45" t="s">
        <v>658</v>
      </c>
      <c r="AN45" t="s">
        <v>657</v>
      </c>
      <c r="AO45" t="s">
        <v>663</v>
      </c>
      <c r="AR45" t="s">
        <v>649</v>
      </c>
      <c r="AS45">
        <v>0.14720468149972055</v>
      </c>
      <c r="AT45">
        <v>0.31177936861613886</v>
      </c>
      <c r="AX45" t="s">
        <v>639</v>
      </c>
      <c r="AY45">
        <v>5.4638276163539182E-2</v>
      </c>
      <c r="AZ45">
        <v>1.8267175509607474E-2</v>
      </c>
    </row>
    <row r="46" spans="1:53">
      <c r="A46" t="s">
        <v>12</v>
      </c>
      <c r="B46" t="s">
        <v>341</v>
      </c>
      <c r="C46" t="s">
        <v>586</v>
      </c>
      <c r="D46" t="s">
        <v>587</v>
      </c>
      <c r="E46">
        <v>88.3</v>
      </c>
      <c r="F46">
        <v>84.9</v>
      </c>
      <c r="G46" t="e">
        <f>(F46-#REF!)/#REF!</f>
        <v>#REF!</v>
      </c>
      <c r="H46" t="e">
        <f>#REF!*BA_AGB!E46+#REF!</f>
        <v>#REF!</v>
      </c>
      <c r="I46" s="29" t="e">
        <f t="shared" si="3"/>
        <v>#REF!</v>
      </c>
      <c r="J46" s="29" t="e">
        <f t="shared" si="4"/>
        <v>#REF!</v>
      </c>
      <c r="K46">
        <f t="shared" si="1"/>
        <v>1.353696291751173</v>
      </c>
      <c r="L46">
        <f t="shared" si="6"/>
        <v>1.2273806966055492</v>
      </c>
      <c r="O46" t="s">
        <v>637</v>
      </c>
      <c r="P46">
        <v>10.073805870259802</v>
      </c>
      <c r="Q46">
        <v>8</v>
      </c>
      <c r="R46">
        <v>-0.36601029270962548</v>
      </c>
      <c r="S46">
        <v>-0.42071000479634846</v>
      </c>
      <c r="X46" t="s">
        <v>641</v>
      </c>
      <c r="Y46">
        <v>0.33820694363615067</v>
      </c>
      <c r="Z46">
        <v>0.35114811173684146</v>
      </c>
      <c r="AE46" t="s">
        <v>645</v>
      </c>
      <c r="AF46">
        <v>0.12271417839291195</v>
      </c>
      <c r="AG46">
        <v>0.19794656058581989</v>
      </c>
      <c r="AL46" t="s">
        <v>594</v>
      </c>
      <c r="AM46">
        <v>0.45589855543966257</v>
      </c>
      <c r="AN46">
        <v>0.56010273433823354</v>
      </c>
      <c r="AR46" t="s">
        <v>511</v>
      </c>
      <c r="AS46">
        <v>-0.13185835378866134</v>
      </c>
      <c r="AT46">
        <v>-6.5830308177290631E-2</v>
      </c>
      <c r="AX46" t="s">
        <v>590</v>
      </c>
      <c r="AY46">
        <v>-0.27801879244310546</v>
      </c>
      <c r="AZ46">
        <v>-0.25491004527392741</v>
      </c>
    </row>
    <row r="47" spans="1:53">
      <c r="A47" t="s">
        <v>12</v>
      </c>
      <c r="B47" t="s">
        <v>588</v>
      </c>
      <c r="C47" t="s">
        <v>589</v>
      </c>
      <c r="D47" t="s">
        <v>590</v>
      </c>
      <c r="E47">
        <v>14.047505886820614</v>
      </c>
      <c r="F47">
        <v>15.704999999999998</v>
      </c>
      <c r="G47" t="e">
        <f>(F47-#REF!)/#REF!</f>
        <v>#REF!</v>
      </c>
      <c r="H47" t="e">
        <f>#REF!*BA_AGB!E47+#REF!</f>
        <v>#REF!</v>
      </c>
      <c r="I47" s="29" t="e">
        <f t="shared" si="3"/>
        <v>#REF!</v>
      </c>
      <c r="J47" s="29" t="e">
        <f t="shared" si="4"/>
        <v>#REF!</v>
      </c>
      <c r="K47">
        <f t="shared" si="1"/>
        <v>-0.2744256195138719</v>
      </c>
      <c r="L47">
        <f t="shared" si="6"/>
        <v>-0.25162132583371194</v>
      </c>
      <c r="O47" t="s">
        <v>639</v>
      </c>
      <c r="P47">
        <v>29.070313715161038</v>
      </c>
      <c r="Q47">
        <v>28.4</v>
      </c>
      <c r="R47">
        <v>5.4638276163539182E-2</v>
      </c>
      <c r="S47">
        <v>1.8267175509607474E-2</v>
      </c>
      <c r="X47" t="s">
        <v>643</v>
      </c>
      <c r="Y47">
        <v>0.39445800418348731</v>
      </c>
      <c r="Z47">
        <v>0.2076067483637048</v>
      </c>
      <c r="AE47" t="s">
        <v>647</v>
      </c>
      <c r="AF47">
        <v>0.23657881858342006</v>
      </c>
      <c r="AG47">
        <v>0.30984270458537733</v>
      </c>
      <c r="AL47" t="s">
        <v>649</v>
      </c>
      <c r="AM47">
        <v>0.14720468149972055</v>
      </c>
      <c r="AN47">
        <v>0.31177936861613886</v>
      </c>
      <c r="AR47" t="s">
        <v>579</v>
      </c>
      <c r="AS47">
        <v>1.7008359974440783</v>
      </c>
      <c r="AT47">
        <v>1.744050011810474</v>
      </c>
      <c r="AX47" t="s">
        <v>523</v>
      </c>
      <c r="AY47">
        <v>-0.1182060739244349</v>
      </c>
      <c r="AZ47">
        <v>-0.1246183305582894</v>
      </c>
    </row>
    <row r="48" spans="1:53">
      <c r="A48" t="s">
        <v>12</v>
      </c>
      <c r="B48" t="s">
        <v>588</v>
      </c>
      <c r="C48" t="s">
        <v>591</v>
      </c>
      <c r="D48" t="s">
        <v>592</v>
      </c>
      <c r="E48">
        <v>19.228431995561689</v>
      </c>
      <c r="F48">
        <v>21.814999999999998</v>
      </c>
      <c r="G48" t="e">
        <f>(F48-#REF!)/#REF!</f>
        <v>#REF!</v>
      </c>
      <c r="H48" t="e">
        <f>#REF!*BA_AGB!E48+#REF!</f>
        <v>#REF!</v>
      </c>
      <c r="I48" s="29" t="e">
        <f t="shared" si="3"/>
        <v>#REF!</v>
      </c>
      <c r="J48" s="29" t="e">
        <f t="shared" si="4"/>
        <v>#REF!</v>
      </c>
      <c r="K48">
        <f t="shared" si="1"/>
        <v>-0.16082432680269149</v>
      </c>
      <c r="L48">
        <f t="shared" si="6"/>
        <v>-0.12102370523823706</v>
      </c>
      <c r="O48" t="s">
        <v>641</v>
      </c>
      <c r="P48">
        <v>41.876287192360493</v>
      </c>
      <c r="Q48">
        <v>43.869530999999995</v>
      </c>
      <c r="R48">
        <v>0.33820694363615067</v>
      </c>
      <c r="S48">
        <v>0.35114811173684146</v>
      </c>
      <c r="X48" t="s">
        <v>645</v>
      </c>
      <c r="Y48">
        <v>0.12271417839291195</v>
      </c>
      <c r="Z48">
        <v>0.19794656058581989</v>
      </c>
      <c r="AD48" t="s">
        <v>662</v>
      </c>
      <c r="AE48" t="s">
        <v>493</v>
      </c>
      <c r="AF48" t="s">
        <v>658</v>
      </c>
      <c r="AG48" t="s">
        <v>657</v>
      </c>
      <c r="AH48" t="s">
        <v>663</v>
      </c>
      <c r="AL48" t="s">
        <v>511</v>
      </c>
      <c r="AM48">
        <v>-0.13185835378866134</v>
      </c>
      <c r="AN48">
        <v>-6.5830308177290631E-2</v>
      </c>
      <c r="AR48" t="s">
        <v>639</v>
      </c>
      <c r="AS48">
        <v>5.4638276163539182E-2</v>
      </c>
      <c r="AT48">
        <v>1.8267175509607474E-2</v>
      </c>
      <c r="AX48" t="s">
        <v>625</v>
      </c>
      <c r="AY48">
        <v>5.3019028814445417E-2</v>
      </c>
      <c r="AZ48">
        <v>0.20225025843195676</v>
      </c>
    </row>
    <row r="49" spans="1:52">
      <c r="A49" t="s">
        <v>12</v>
      </c>
      <c r="B49" t="s">
        <v>588</v>
      </c>
      <c r="C49" t="s">
        <v>593</v>
      </c>
      <c r="D49" t="s">
        <v>594</v>
      </c>
      <c r="E49">
        <v>47.191245550339858</v>
      </c>
      <c r="F49">
        <v>53.58</v>
      </c>
      <c r="G49" t="e">
        <f>(F49-#REF!)/#REF!</f>
        <v>#REF!</v>
      </c>
      <c r="H49" t="e">
        <f>#REF!*BA_AGB!E49+#REF!</f>
        <v>#REF!</v>
      </c>
      <c r="I49" s="29" t="e">
        <f t="shared" si="3"/>
        <v>#REF!</v>
      </c>
      <c r="J49" s="29" t="e">
        <f t="shared" si="4"/>
        <v>#REF!</v>
      </c>
      <c r="K49">
        <f t="shared" si="1"/>
        <v>0.45231156840049452</v>
      </c>
      <c r="L49">
        <f t="shared" si="6"/>
        <v>0.55793430101630614</v>
      </c>
      <c r="O49" t="s">
        <v>643</v>
      </c>
      <c r="P49">
        <v>44.41658755718521</v>
      </c>
      <c r="Q49">
        <v>37.198925000000003</v>
      </c>
      <c r="R49">
        <v>0.39445800418348731</v>
      </c>
      <c r="S49">
        <v>0.2076067483637048</v>
      </c>
      <c r="X49" t="s">
        <v>647</v>
      </c>
      <c r="Y49">
        <v>0.23657881858342006</v>
      </c>
      <c r="Z49">
        <v>0.30984270458537733</v>
      </c>
      <c r="AE49" t="s">
        <v>594</v>
      </c>
      <c r="AF49">
        <v>0.45589855543966257</v>
      </c>
      <c r="AG49">
        <v>0.56010273433823354</v>
      </c>
      <c r="AL49" t="s">
        <v>579</v>
      </c>
      <c r="AM49">
        <v>1.7008359974440783</v>
      </c>
      <c r="AN49">
        <v>1.744050011810474</v>
      </c>
      <c r="AR49" t="s">
        <v>590</v>
      </c>
      <c r="AS49">
        <v>-0.27801879244310546</v>
      </c>
      <c r="AT49">
        <v>-0.25491004527392741</v>
      </c>
      <c r="AX49" t="s">
        <v>577</v>
      </c>
      <c r="AY49">
        <v>-0.34130832709215542</v>
      </c>
      <c r="AZ49">
        <v>-0.34205992665819801</v>
      </c>
    </row>
    <row r="50" spans="1:52">
      <c r="A50" t="s">
        <v>12</v>
      </c>
      <c r="B50" t="s">
        <v>363</v>
      </c>
      <c r="C50" t="s">
        <v>595</v>
      </c>
      <c r="D50" t="s">
        <v>596</v>
      </c>
      <c r="F50">
        <v>84.2</v>
      </c>
      <c r="G50" s="75" t="e">
        <f>(F50-#REF!)/#REF!</f>
        <v>#REF!</v>
      </c>
      <c r="I50" s="29"/>
      <c r="J50" s="29"/>
      <c r="L50">
        <f t="shared" si="6"/>
        <v>1.2124186124129415</v>
      </c>
      <c r="O50" t="s">
        <v>645</v>
      </c>
      <c r="P50">
        <v>32.144624449685232</v>
      </c>
      <c r="Q50">
        <v>36.75</v>
      </c>
      <c r="R50">
        <v>0.12271417839291195</v>
      </c>
      <c r="S50">
        <v>0.19794656058581989</v>
      </c>
      <c r="W50" t="s">
        <v>662</v>
      </c>
      <c r="X50" t="s">
        <v>493</v>
      </c>
      <c r="Y50" t="s">
        <v>658</v>
      </c>
      <c r="Z50" t="s">
        <v>657</v>
      </c>
      <c r="AA50" t="s">
        <v>663</v>
      </c>
      <c r="AE50" t="s">
        <v>649</v>
      </c>
      <c r="AF50">
        <v>0.14720468149972055</v>
      </c>
      <c r="AG50">
        <v>0.31177936861613886</v>
      </c>
      <c r="AL50" t="s">
        <v>639</v>
      </c>
      <c r="AM50">
        <v>5.4638276163539182E-2</v>
      </c>
      <c r="AN50">
        <v>1.8267175509607474E-2</v>
      </c>
      <c r="AR50" t="s">
        <v>523</v>
      </c>
      <c r="AS50">
        <v>-0.1182060739244349</v>
      </c>
      <c r="AT50">
        <v>-0.1246183305582894</v>
      </c>
      <c r="AX50" t="s">
        <v>641</v>
      </c>
      <c r="AY50">
        <v>0.33820694363615067</v>
      </c>
      <c r="AZ50">
        <v>0.35114811173684146</v>
      </c>
    </row>
    <row r="51" spans="1:52">
      <c r="A51" t="s">
        <v>12</v>
      </c>
      <c r="B51" t="s">
        <v>363</v>
      </c>
      <c r="C51" t="s">
        <v>353</v>
      </c>
      <c r="D51" t="s">
        <v>597</v>
      </c>
      <c r="F51">
        <v>92.3</v>
      </c>
      <c r="G51" s="75" t="e">
        <f>(F51-#REF!)/#REF!</f>
        <v>#REF!</v>
      </c>
      <c r="I51" s="29"/>
      <c r="J51" s="29"/>
      <c r="L51">
        <f t="shared" si="6"/>
        <v>1.3855513009274008</v>
      </c>
      <c r="O51" t="s">
        <v>647</v>
      </c>
      <c r="P51">
        <v>37.286756601543445</v>
      </c>
      <c r="Q51">
        <v>41.95</v>
      </c>
      <c r="R51">
        <v>0.23657881858342006</v>
      </c>
      <c r="S51">
        <v>0.30984270458537733</v>
      </c>
      <c r="X51" t="s">
        <v>594</v>
      </c>
      <c r="Y51">
        <v>0.45589855543966257</v>
      </c>
      <c r="Z51">
        <v>0.56010273433823354</v>
      </c>
      <c r="AE51" t="s">
        <v>511</v>
      </c>
      <c r="AF51">
        <v>-0.13185835378866134</v>
      </c>
      <c r="AG51">
        <v>-6.5830308177290631E-2</v>
      </c>
      <c r="AL51" t="s">
        <v>590</v>
      </c>
      <c r="AM51">
        <v>-0.27801879244310546</v>
      </c>
      <c r="AN51">
        <v>-0.25491004527392741</v>
      </c>
      <c r="AR51" t="s">
        <v>625</v>
      </c>
      <c r="AS51">
        <v>5.3019028814445417E-2</v>
      </c>
      <c r="AT51">
        <v>0.20225025843195676</v>
      </c>
      <c r="AX51" t="s">
        <v>608</v>
      </c>
      <c r="AY51">
        <v>1.561796529281132</v>
      </c>
      <c r="AZ51">
        <v>1.3976023351964593</v>
      </c>
    </row>
    <row r="52" spans="1:52">
      <c r="A52" t="s">
        <v>12</v>
      </c>
      <c r="B52" t="s">
        <v>29</v>
      </c>
      <c r="C52" t="s">
        <v>598</v>
      </c>
      <c r="D52" t="s">
        <v>599</v>
      </c>
      <c r="E52">
        <v>79.900000000000006</v>
      </c>
      <c r="F52">
        <v>66.657499999999999</v>
      </c>
      <c r="G52" t="e">
        <f>(F52-#REF!)/#REF!</f>
        <v>#REF!</v>
      </c>
      <c r="H52" t="e">
        <f>#REF!*BA_AGB!E52+#REF!</f>
        <v>#REF!</v>
      </c>
      <c r="I52" s="29" t="e">
        <f t="shared" si="3"/>
        <v>#REF!</v>
      </c>
      <c r="J52" s="29" t="e">
        <f t="shared" si="4"/>
        <v>#REF!</v>
      </c>
      <c r="K52">
        <f t="shared" si="1"/>
        <v>1.1695109089170237</v>
      </c>
      <c r="L52">
        <f t="shared" si="6"/>
        <v>0.83745809534320037</v>
      </c>
      <c r="O52" t="s">
        <v>649</v>
      </c>
      <c r="P52">
        <v>33.25061664559437</v>
      </c>
      <c r="Q52">
        <v>42.04</v>
      </c>
      <c r="R52">
        <v>0.14720468149972055</v>
      </c>
      <c r="S52">
        <v>0.31177936861613886</v>
      </c>
      <c r="X52" t="s">
        <v>649</v>
      </c>
      <c r="Y52">
        <v>0.14720468149972055</v>
      </c>
      <c r="Z52">
        <v>0.31177936861613886</v>
      </c>
      <c r="AE52" t="s">
        <v>579</v>
      </c>
      <c r="AF52">
        <v>1.7008359974440783</v>
      </c>
      <c r="AG52">
        <v>1.744050011810474</v>
      </c>
      <c r="AL52" t="s">
        <v>523</v>
      </c>
      <c r="AM52">
        <v>-0.1182060739244349</v>
      </c>
      <c r="AN52">
        <v>-0.1246183305582894</v>
      </c>
      <c r="AR52" t="s">
        <v>577</v>
      </c>
      <c r="AS52">
        <v>-0.34130832709215542</v>
      </c>
      <c r="AT52">
        <v>-0.34205992665819801</v>
      </c>
      <c r="AX52" t="s">
        <v>610</v>
      </c>
      <c r="AY52">
        <v>1.0606090933315773</v>
      </c>
      <c r="AZ52">
        <v>1.4045958441964319</v>
      </c>
    </row>
    <row r="53" spans="1:52">
      <c r="A53" t="s">
        <v>12</v>
      </c>
      <c r="B53" t="s">
        <v>29</v>
      </c>
      <c r="C53" t="s">
        <v>600</v>
      </c>
      <c r="D53" t="s">
        <v>601</v>
      </c>
      <c r="E53">
        <v>45.7</v>
      </c>
      <c r="F53">
        <v>41.41</v>
      </c>
      <c r="G53" t="e">
        <f>(F53-#REF!)/#REF!</f>
        <v>#REF!</v>
      </c>
      <c r="H53" t="e">
        <f>#REF!*BA_AGB!E53+#REF!</f>
        <v>#REF!</v>
      </c>
      <c r="I53" s="29" t="e">
        <f t="shared" si="3"/>
        <v>#REF!</v>
      </c>
      <c r="J53" s="29" t="e">
        <f t="shared" si="4"/>
        <v>#REF!</v>
      </c>
      <c r="K53">
        <f t="shared" si="1"/>
        <v>0.4196132788065578</v>
      </c>
      <c r="L53">
        <f t="shared" si="6"/>
        <v>0.29780778012482839</v>
      </c>
      <c r="O53" t="s">
        <v>672</v>
      </c>
      <c r="P53">
        <v>69.7</v>
      </c>
      <c r="Q53">
        <v>68.400000000000006</v>
      </c>
      <c r="R53">
        <v>0.94585722976127073</v>
      </c>
      <c r="S53">
        <v>0.87470299777979865</v>
      </c>
      <c r="X53" t="s">
        <v>511</v>
      </c>
      <c r="Y53">
        <v>-0.13185835378866134</v>
      </c>
      <c r="Z53">
        <v>-6.5830308177290631E-2</v>
      </c>
      <c r="AE53" t="s">
        <v>639</v>
      </c>
      <c r="AF53">
        <v>5.4638276163539182E-2</v>
      </c>
      <c r="AG53">
        <v>1.8267175509607474E-2</v>
      </c>
      <c r="AL53" t="s">
        <v>625</v>
      </c>
      <c r="AM53">
        <v>5.3019028814445417E-2</v>
      </c>
      <c r="AN53">
        <v>0.20225025843195676</v>
      </c>
      <c r="AR53" t="s">
        <v>641</v>
      </c>
      <c r="AS53">
        <v>0.33820694363615067</v>
      </c>
      <c r="AT53">
        <v>0.35114811173684146</v>
      </c>
      <c r="AX53" t="s">
        <v>631</v>
      </c>
      <c r="AY53">
        <v>0.33043911222194378</v>
      </c>
      <c r="AZ53">
        <v>0.26034701613688677</v>
      </c>
    </row>
    <row r="54" spans="1:52">
      <c r="A54" t="s">
        <v>12</v>
      </c>
      <c r="B54" t="s">
        <v>29</v>
      </c>
      <c r="C54" t="s">
        <v>602</v>
      </c>
      <c r="D54" t="s">
        <v>603</v>
      </c>
      <c r="E54">
        <v>65.333333333333329</v>
      </c>
      <c r="F54">
        <v>55.196666666666665</v>
      </c>
      <c r="G54" t="e">
        <f>(F54-#REF!)/#REF!</f>
        <v>#REF!</v>
      </c>
      <c r="H54" t="e">
        <f>#REF!*BA_AGB!E54+#REF!</f>
        <v>#REF!</v>
      </c>
      <c r="I54" s="29" t="e">
        <f t="shared" si="3"/>
        <v>#REF!</v>
      </c>
      <c r="J54" s="29" t="e">
        <f t="shared" si="4"/>
        <v>#REF!</v>
      </c>
      <c r="K54">
        <f t="shared" si="1"/>
        <v>0.85011006646256582</v>
      </c>
      <c r="L54">
        <f t="shared" si="6"/>
        <v>0.59248959069923324</v>
      </c>
    </row>
    <row r="55" spans="1:52">
      <c r="A55" t="s">
        <v>12</v>
      </c>
      <c r="B55" t="s">
        <v>332</v>
      </c>
      <c r="C55" t="s">
        <v>604</v>
      </c>
      <c r="D55" t="s">
        <v>605</v>
      </c>
      <c r="E55">
        <v>27.143360527015815</v>
      </c>
      <c r="F55">
        <v>62.64</v>
      </c>
      <c r="G55" t="e">
        <f>(F55-#REF!)/#REF!</f>
        <v>#REF!</v>
      </c>
      <c r="H55" t="e">
        <f>#REF!*BA_AGB!E55+#REF!</f>
        <v>#REF!</v>
      </c>
      <c r="I55" s="29" t="e">
        <f t="shared" si="3"/>
        <v>#REF!</v>
      </c>
      <c r="J55" s="29" t="e">
        <f t="shared" si="4"/>
        <v>#REF!</v>
      </c>
      <c r="K55">
        <f t="shared" si="1"/>
        <v>1.272497577716698E-2</v>
      </c>
      <c r="L55">
        <f t="shared" si="6"/>
        <v>0.75158641928062753</v>
      </c>
      <c r="W55" t="s">
        <v>660</v>
      </c>
      <c r="X55" t="s">
        <v>493</v>
      </c>
      <c r="Y55" t="s">
        <v>658</v>
      </c>
      <c r="Z55" t="s">
        <v>657</v>
      </c>
      <c r="AD55" t="s">
        <v>660</v>
      </c>
      <c r="AE55" t="s">
        <v>493</v>
      </c>
      <c r="AF55" t="s">
        <v>658</v>
      </c>
      <c r="AG55" t="s">
        <v>657</v>
      </c>
      <c r="AK55" t="s">
        <v>660</v>
      </c>
      <c r="AL55" t="s">
        <v>493</v>
      </c>
      <c r="AM55" t="s">
        <v>658</v>
      </c>
      <c r="AN55" t="s">
        <v>657</v>
      </c>
      <c r="AQ55" t="s">
        <v>660</v>
      </c>
      <c r="AR55" t="s">
        <v>493</v>
      </c>
      <c r="AS55" t="s">
        <v>658</v>
      </c>
      <c r="AT55" t="s">
        <v>657</v>
      </c>
      <c r="AW55" t="s">
        <v>660</v>
      </c>
      <c r="AX55" t="s">
        <v>493</v>
      </c>
      <c r="AY55" t="s">
        <v>658</v>
      </c>
      <c r="AZ55" t="s">
        <v>657</v>
      </c>
    </row>
    <row r="56" spans="1:52">
      <c r="A56" t="s">
        <v>12</v>
      </c>
      <c r="B56" t="s">
        <v>606</v>
      </c>
      <c r="C56" t="s">
        <v>607</v>
      </c>
      <c r="D56" t="s">
        <v>608</v>
      </c>
      <c r="E56">
        <v>97.133646619281379</v>
      </c>
      <c r="F56">
        <v>92.5</v>
      </c>
      <c r="G56" t="e">
        <f>(F56-#REF!)/#REF!</f>
        <v>#REF!</v>
      </c>
      <c r="H56" t="e">
        <f>#REF!*BA_AGB!E56+#REF!</f>
        <v>#REF!</v>
      </c>
      <c r="I56" s="29" t="e">
        <f t="shared" si="3"/>
        <v>#REF!</v>
      </c>
      <c r="J56" s="29" t="e">
        <f t="shared" si="4"/>
        <v>#REF!</v>
      </c>
      <c r="K56">
        <f t="shared" si="1"/>
        <v>1.5473901708456888</v>
      </c>
      <c r="L56">
        <f t="shared" si="6"/>
        <v>1.3898261821252886</v>
      </c>
      <c r="X56" t="s">
        <v>505</v>
      </c>
      <c r="Y56">
        <v>5.3709138518002505E-2</v>
      </c>
      <c r="Z56">
        <v>0.18962213302692982</v>
      </c>
      <c r="AE56" t="s">
        <v>505</v>
      </c>
      <c r="AF56">
        <v>5.3709138518002505E-2</v>
      </c>
      <c r="AG56">
        <v>0.18962213302692982</v>
      </c>
      <c r="AL56" t="s">
        <v>505</v>
      </c>
      <c r="AM56">
        <v>5.3709138518002505E-2</v>
      </c>
      <c r="AN56">
        <v>0.18962213302692982</v>
      </c>
      <c r="AR56" t="s">
        <v>505</v>
      </c>
      <c r="AS56">
        <v>5.3709138518002505E-2</v>
      </c>
      <c r="AT56">
        <v>0.18962213302692982</v>
      </c>
      <c r="AX56" t="s">
        <v>505</v>
      </c>
      <c r="AY56">
        <v>5.3709138518002505E-2</v>
      </c>
      <c r="AZ56">
        <v>0.18962213302692982</v>
      </c>
    </row>
    <row r="57" spans="1:52">
      <c r="A57" t="s">
        <v>12</v>
      </c>
      <c r="B57" t="s">
        <v>364</v>
      </c>
      <c r="C57" t="s">
        <v>609</v>
      </c>
      <c r="D57" t="s">
        <v>610</v>
      </c>
      <c r="E57">
        <v>74.5</v>
      </c>
      <c r="F57">
        <v>92.825000000000003</v>
      </c>
      <c r="G57" t="e">
        <f>(F57-#REF!)/#REF!</f>
        <v>#REF!</v>
      </c>
      <c r="H57" t="e">
        <f>#REF!*BA_AGB!E57+#REF!</f>
        <v>#REF!</v>
      </c>
      <c r="I57" s="29" t="e">
        <f t="shared" si="3"/>
        <v>#REF!</v>
      </c>
      <c r="J57" s="29" t="e">
        <f t="shared" si="4"/>
        <v>#REF!</v>
      </c>
      <c r="K57">
        <f t="shared" si="1"/>
        <v>1.0511060199522133</v>
      </c>
      <c r="L57">
        <f t="shared" si="6"/>
        <v>1.3967728640718564</v>
      </c>
      <c r="X57" t="s">
        <v>507</v>
      </c>
      <c r="Y57">
        <v>4.8101551520968067E-2</v>
      </c>
      <c r="Z57">
        <v>0.53800324589832094</v>
      </c>
      <c r="AE57" t="s">
        <v>507</v>
      </c>
      <c r="AF57">
        <v>4.8101551520968067E-2</v>
      </c>
      <c r="AG57">
        <v>0.53800324589832094</v>
      </c>
      <c r="AL57" t="s">
        <v>507</v>
      </c>
      <c r="AM57">
        <v>4.8101551520968067E-2</v>
      </c>
      <c r="AN57">
        <v>0.53800324589832094</v>
      </c>
      <c r="AR57" t="s">
        <v>507</v>
      </c>
      <c r="AS57">
        <v>4.8101551520968067E-2</v>
      </c>
      <c r="AT57">
        <v>0.53800324589832094</v>
      </c>
      <c r="AX57" t="s">
        <v>507</v>
      </c>
      <c r="AY57">
        <v>4.8101551520968067E-2</v>
      </c>
      <c r="AZ57">
        <v>0.53800324589832094</v>
      </c>
    </row>
    <row r="58" spans="1:52">
      <c r="A58" t="s">
        <v>12</v>
      </c>
      <c r="B58" t="s">
        <v>364</v>
      </c>
      <c r="C58" t="s">
        <v>611</v>
      </c>
      <c r="D58" t="s">
        <v>612</v>
      </c>
      <c r="E58">
        <v>86.2</v>
      </c>
      <c r="F58">
        <v>110.675</v>
      </c>
      <c r="G58" t="e">
        <f>(F58-#REF!)/#REF!</f>
        <v>#REF!</v>
      </c>
      <c r="H58" t="e">
        <f>#REF!*BA_AGB!E58+#REF!</f>
        <v>#REF!</v>
      </c>
      <c r="I58" s="29" t="e">
        <f t="shared" si="3"/>
        <v>#REF!</v>
      </c>
      <c r="J58" s="29" t="e">
        <f t="shared" si="4"/>
        <v>#REF!</v>
      </c>
      <c r="K58">
        <f t="shared" si="1"/>
        <v>1.3076499460426358</v>
      </c>
      <c r="L58">
        <f t="shared" si="6"/>
        <v>1.7783060109833499</v>
      </c>
      <c r="X58" t="s">
        <v>509</v>
      </c>
      <c r="Y58">
        <v>0.1204905959189746</v>
      </c>
      <c r="Z58">
        <v>0.28731499820977413</v>
      </c>
      <c r="AE58" t="s">
        <v>509</v>
      </c>
      <c r="AF58">
        <v>0.1204905959189746</v>
      </c>
      <c r="AG58">
        <v>0.28731499820977413</v>
      </c>
      <c r="AL58" t="s">
        <v>509</v>
      </c>
      <c r="AM58">
        <v>0.1204905959189746</v>
      </c>
      <c r="AN58">
        <v>0.28731499820977413</v>
      </c>
      <c r="AR58" t="s">
        <v>509</v>
      </c>
      <c r="AS58">
        <v>0.1204905959189746</v>
      </c>
      <c r="AT58">
        <v>0.28731499820977413</v>
      </c>
      <c r="AX58" t="s">
        <v>509</v>
      </c>
      <c r="AY58">
        <v>0.1204905959189746</v>
      </c>
      <c r="AZ58">
        <v>0.28731499820977413</v>
      </c>
    </row>
    <row r="59" spans="1:52">
      <c r="A59" t="s">
        <v>613</v>
      </c>
      <c r="B59" t="s">
        <v>614</v>
      </c>
      <c r="C59" t="s">
        <v>615</v>
      </c>
      <c r="D59" t="s">
        <v>616</v>
      </c>
      <c r="E59">
        <v>33.183258542906927</v>
      </c>
      <c r="F59">
        <v>34.825000000000003</v>
      </c>
      <c r="G59" t="e">
        <f>(F59-#REF!)/#REF!</f>
        <v>#REF!</v>
      </c>
      <c r="H59" t="e">
        <f>#REF!*BA_AGB!E59+#REF!</f>
        <v>#REF!</v>
      </c>
      <c r="I59" s="29" t="e">
        <f t="shared" si="3"/>
        <v>#REF!</v>
      </c>
      <c r="J59" s="29" t="e">
        <f t="shared" si="4"/>
        <v>#REF!</v>
      </c>
      <c r="K59">
        <f t="shared" si="1"/>
        <v>0.14516080057908656</v>
      </c>
      <c r="L59">
        <f t="shared" si="6"/>
        <v>0.15705731668436992</v>
      </c>
      <c r="X59" t="s">
        <v>511</v>
      </c>
      <c r="Y59">
        <v>-0.13185835378866134</v>
      </c>
      <c r="Z59">
        <v>-6.5830308177290631E-2</v>
      </c>
      <c r="AE59" t="s">
        <v>511</v>
      </c>
      <c r="AF59">
        <v>-0.13185835378866134</v>
      </c>
      <c r="AG59">
        <v>-6.5830308177290631E-2</v>
      </c>
      <c r="AL59" t="s">
        <v>511</v>
      </c>
      <c r="AM59">
        <v>-0.13185835378866134</v>
      </c>
      <c r="AN59">
        <v>-6.5830308177290631E-2</v>
      </c>
      <c r="AR59" t="s">
        <v>511</v>
      </c>
      <c r="AS59">
        <v>-0.13185835378866134</v>
      </c>
      <c r="AT59">
        <v>-6.5830308177290631E-2</v>
      </c>
      <c r="AX59" t="s">
        <v>511</v>
      </c>
      <c r="AY59">
        <v>-0.13185835378866134</v>
      </c>
      <c r="AZ59">
        <v>-6.5830308177290631E-2</v>
      </c>
    </row>
    <row r="60" spans="1:52">
      <c r="A60" t="s">
        <v>613</v>
      </c>
      <c r="B60" t="s">
        <v>617</v>
      </c>
      <c r="C60" t="s">
        <v>618</v>
      </c>
      <c r="D60" t="s">
        <v>619</v>
      </c>
      <c r="E60">
        <v>18.974473499427123</v>
      </c>
      <c r="F60">
        <v>28.885000000000002</v>
      </c>
      <c r="G60" t="e">
        <f>(F60-#REF!)/#REF!</f>
        <v>#REF!</v>
      </c>
      <c r="H60" t="e">
        <f>#REF!*BA_AGB!E60+#REF!</f>
        <v>#REF!</v>
      </c>
      <c r="I60" s="29" t="e">
        <f t="shared" si="3"/>
        <v>#REF!</v>
      </c>
      <c r="J60" s="29" t="e">
        <f t="shared" si="4"/>
        <v>#REF!</v>
      </c>
      <c r="K60">
        <f t="shared" si="1"/>
        <v>-0.16639283190204027</v>
      </c>
      <c r="L60">
        <f t="shared" si="6"/>
        <v>3.0093345107099736E-2</v>
      </c>
      <c r="X60" t="s">
        <v>523</v>
      </c>
      <c r="Y60">
        <v>-0.1182060739244349</v>
      </c>
      <c r="Z60">
        <v>-0.1246183305582894</v>
      </c>
      <c r="AE60" t="s">
        <v>523</v>
      </c>
      <c r="AF60">
        <v>-0.1182060739244349</v>
      </c>
      <c r="AG60">
        <v>-0.1246183305582894</v>
      </c>
      <c r="AL60" t="s">
        <v>523</v>
      </c>
      <c r="AM60">
        <v>-0.1182060739244349</v>
      </c>
      <c r="AN60">
        <v>-0.1246183305582894</v>
      </c>
      <c r="AR60" t="s">
        <v>523</v>
      </c>
      <c r="AS60">
        <v>-0.1182060739244349</v>
      </c>
      <c r="AT60">
        <v>-0.1246183305582894</v>
      </c>
      <c r="AX60" t="s">
        <v>523</v>
      </c>
      <c r="AY60">
        <v>-0.1182060739244349</v>
      </c>
      <c r="AZ60">
        <v>-0.1246183305582894</v>
      </c>
    </row>
    <row r="61" spans="1:52">
      <c r="A61" t="s">
        <v>613</v>
      </c>
      <c r="B61" t="s">
        <v>620</v>
      </c>
      <c r="C61" t="s">
        <v>618</v>
      </c>
      <c r="D61" t="s">
        <v>621</v>
      </c>
      <c r="E61">
        <v>40.5</v>
      </c>
      <c r="F61">
        <v>35.880000000000003</v>
      </c>
      <c r="G61" t="e">
        <f>(F61-#REF!)/#REF!</f>
        <v>#REF!</v>
      </c>
      <c r="H61" t="e">
        <f>#REF!*BA_AGB!E61+#REF!</f>
        <v>#REF!</v>
      </c>
      <c r="I61" s="29" t="e">
        <f t="shared" si="3"/>
        <v>#REF!</v>
      </c>
      <c r="J61" s="29" t="e">
        <f t="shared" si="4"/>
        <v>#REF!</v>
      </c>
      <c r="K61">
        <f t="shared" si="1"/>
        <v>0.3055937560997033</v>
      </c>
      <c r="L61">
        <f t="shared" si="6"/>
        <v>0.17960731500322852</v>
      </c>
      <c r="X61" t="s">
        <v>537</v>
      </c>
      <c r="Y61">
        <v>3.4289431285834268E-2</v>
      </c>
      <c r="Z61">
        <v>-8.2482391068455521E-2</v>
      </c>
      <c r="AE61" t="s">
        <v>537</v>
      </c>
      <c r="AF61">
        <v>3.4289431285834268E-2</v>
      </c>
      <c r="AG61">
        <v>-8.2482391068455521E-2</v>
      </c>
      <c r="AL61" t="s">
        <v>537</v>
      </c>
      <c r="AM61">
        <v>3.4289431285834268E-2</v>
      </c>
      <c r="AN61">
        <v>-8.2482391068455521E-2</v>
      </c>
      <c r="AR61" t="s">
        <v>537</v>
      </c>
      <c r="AS61">
        <v>3.4289431285834268E-2</v>
      </c>
      <c r="AT61">
        <v>-8.2482391068455521E-2</v>
      </c>
      <c r="AX61" t="s">
        <v>537</v>
      </c>
      <c r="AY61">
        <v>3.4289431285834268E-2</v>
      </c>
      <c r="AZ61">
        <v>-8.2482391068455521E-2</v>
      </c>
    </row>
    <row r="62" spans="1:52">
      <c r="A62" t="s">
        <v>8</v>
      </c>
      <c r="B62" t="s">
        <v>30</v>
      </c>
      <c r="C62" t="s">
        <v>622</v>
      </c>
      <c r="D62" t="s">
        <v>623</v>
      </c>
      <c r="E62">
        <v>73.633578526263037</v>
      </c>
      <c r="F62">
        <v>81.133659999999992</v>
      </c>
      <c r="G62" t="e">
        <f>(F62-#REF!)/#REF!</f>
        <v>#REF!</v>
      </c>
      <c r="H62" t="e">
        <f>#REF!*BA_AGB!E62+#REF!</f>
        <v>#REF!</v>
      </c>
      <c r="I62" s="29" t="e">
        <f t="shared" si="3"/>
        <v>#REF!</v>
      </c>
      <c r="J62" s="29" t="e">
        <f t="shared" si="4"/>
        <v>#REF!</v>
      </c>
      <c r="K62">
        <f t="shared" si="1"/>
        <v>1.0321081424717407</v>
      </c>
      <c r="L62">
        <f t="shared" si="6"/>
        <v>1.1468774163512836</v>
      </c>
      <c r="X62" t="s">
        <v>539</v>
      </c>
      <c r="Y62">
        <v>-0.13943523885142664</v>
      </c>
      <c r="Z62">
        <v>-0.18615847218189163</v>
      </c>
      <c r="AE62" t="s">
        <v>539</v>
      </c>
      <c r="AF62">
        <v>-0.13943523885142664</v>
      </c>
      <c r="AG62">
        <v>-0.18615847218189163</v>
      </c>
      <c r="AL62" t="s">
        <v>539</v>
      </c>
      <c r="AM62">
        <v>-0.13943523885142664</v>
      </c>
      <c r="AN62">
        <v>-0.18615847218189163</v>
      </c>
      <c r="AR62" t="s">
        <v>539</v>
      </c>
      <c r="AS62">
        <v>-0.13943523885142664</v>
      </c>
      <c r="AT62">
        <v>-0.18615847218189163</v>
      </c>
      <c r="AX62" t="s">
        <v>539</v>
      </c>
      <c r="AY62">
        <v>-0.13943523885142664</v>
      </c>
      <c r="AZ62">
        <v>-0.18615847218189163</v>
      </c>
    </row>
    <row r="63" spans="1:52">
      <c r="A63" t="s">
        <v>8</v>
      </c>
      <c r="B63" t="s">
        <v>9</v>
      </c>
      <c r="C63" t="s">
        <v>624</v>
      </c>
      <c r="D63" t="s">
        <v>625</v>
      </c>
      <c r="E63">
        <v>28.99718843375976</v>
      </c>
      <c r="F63">
        <v>36.950000000000003</v>
      </c>
      <c r="G63" t="e">
        <f>(F63-#REF!)/#REF!</f>
        <v>#REF!</v>
      </c>
      <c r="H63" t="e">
        <f>#REF!*BA_AGB!E63+#REF!</f>
        <v>#REF!</v>
      </c>
      <c r="I63" s="29" t="e">
        <f t="shared" si="3"/>
        <v>#REF!</v>
      </c>
      <c r="J63" s="29" t="e">
        <f t="shared" si="4"/>
        <v>#REF!</v>
      </c>
      <c r="K63">
        <f t="shared" si="1"/>
        <v>5.337354752862692E-2</v>
      </c>
      <c r="L63">
        <f t="shared" si="6"/>
        <v>0.20247792941192871</v>
      </c>
      <c r="X63" t="s">
        <v>541</v>
      </c>
      <c r="Y63">
        <v>-3.7492560947381408E-3</v>
      </c>
      <c r="Z63">
        <v>-6.0275310182389519E-2</v>
      </c>
      <c r="AE63" t="s">
        <v>541</v>
      </c>
      <c r="AF63">
        <v>-3.7492560947381408E-3</v>
      </c>
      <c r="AG63">
        <v>-6.0275310182389519E-2</v>
      </c>
      <c r="AL63" t="s">
        <v>541</v>
      </c>
      <c r="AM63">
        <v>-3.7492560947381408E-3</v>
      </c>
      <c r="AN63">
        <v>-6.0275310182389519E-2</v>
      </c>
      <c r="AR63" t="s">
        <v>541</v>
      </c>
      <c r="AS63">
        <v>-3.7492560947381408E-3</v>
      </c>
      <c r="AT63">
        <v>-6.0275310182389519E-2</v>
      </c>
      <c r="AX63" t="s">
        <v>541</v>
      </c>
      <c r="AY63">
        <v>-3.7492560947381408E-3</v>
      </c>
      <c r="AZ63">
        <v>-6.0275310182389519E-2</v>
      </c>
    </row>
    <row r="64" spans="1:52">
      <c r="A64" t="s">
        <v>8</v>
      </c>
      <c r="B64" t="s">
        <v>9</v>
      </c>
      <c r="C64" t="s">
        <v>626</v>
      </c>
      <c r="D64" t="s">
        <v>627</v>
      </c>
      <c r="E64">
        <v>36.94905659703295</v>
      </c>
      <c r="F64">
        <v>45.95</v>
      </c>
      <c r="G64" t="e">
        <f>(F64-#REF!)/#REF!</f>
        <v>#REF!</v>
      </c>
      <c r="H64" t="e">
        <f>#REF!*BA_AGB!E64+#REF!</f>
        <v>#REF!</v>
      </c>
      <c r="I64" s="29" t="e">
        <f t="shared" si="3"/>
        <v>#REF!</v>
      </c>
      <c r="J64" s="29" t="e">
        <f t="shared" si="4"/>
        <v>#REF!</v>
      </c>
      <c r="K64">
        <f t="shared" si="1"/>
        <v>0.22773281918328855</v>
      </c>
      <c r="L64">
        <f t="shared" si="6"/>
        <v>0.39484758331688352</v>
      </c>
      <c r="X64" t="s">
        <v>543</v>
      </c>
      <c r="Y64">
        <v>-0.10528702583755305</v>
      </c>
      <c r="Z64">
        <v>-0.14613408221281912</v>
      </c>
      <c r="AE64" t="s">
        <v>543</v>
      </c>
      <c r="AF64">
        <v>-0.10528702583755305</v>
      </c>
      <c r="AG64">
        <v>-0.14613408221281912</v>
      </c>
      <c r="AL64" t="s">
        <v>546</v>
      </c>
      <c r="AM64">
        <v>-0.10624027580715399</v>
      </c>
      <c r="AN64">
        <v>-0.15487058884047691</v>
      </c>
      <c r="AR64" t="s">
        <v>546</v>
      </c>
      <c r="AS64">
        <v>-0.10624027580715399</v>
      </c>
      <c r="AT64">
        <v>-0.15487058884047691</v>
      </c>
      <c r="AX64" t="s">
        <v>553</v>
      </c>
      <c r="AY64">
        <v>0.26217472028499328</v>
      </c>
      <c r="AZ64">
        <v>-4.4136443259376434E-2</v>
      </c>
    </row>
    <row r="65" spans="1:52">
      <c r="A65" t="s">
        <v>8</v>
      </c>
      <c r="B65" t="s">
        <v>9</v>
      </c>
      <c r="C65" t="s">
        <v>628</v>
      </c>
      <c r="D65" t="s">
        <v>629</v>
      </c>
      <c r="E65">
        <v>23.439887744146176</v>
      </c>
      <c r="F65">
        <v>21.65</v>
      </c>
      <c r="G65" t="e">
        <f>(F65-#REF!)/#REF!</f>
        <v>#REF!</v>
      </c>
      <c r="H65" t="e">
        <f>#REF!*BA_AGB!E65+#REF!</f>
        <v>#REF!</v>
      </c>
      <c r="I65" s="29" t="e">
        <f t="shared" si="3"/>
        <v>#REF!</v>
      </c>
      <c r="J65" s="29" t="e">
        <f t="shared" si="4"/>
        <v>#REF!</v>
      </c>
      <c r="K65">
        <f t="shared" si="1"/>
        <v>-6.848044711910653E-2</v>
      </c>
      <c r="L65">
        <f t="shared" si="6"/>
        <v>-0.12455048222649455</v>
      </c>
      <c r="X65" t="s">
        <v>546</v>
      </c>
      <c r="Y65">
        <v>-0.10624027580715399</v>
      </c>
      <c r="Z65">
        <v>-0.15487058884047691</v>
      </c>
      <c r="AE65" t="s">
        <v>546</v>
      </c>
      <c r="AF65">
        <v>-0.10624027580715399</v>
      </c>
      <c r="AG65">
        <v>-0.15487058884047691</v>
      </c>
      <c r="AL65" t="s">
        <v>552</v>
      </c>
      <c r="AM65">
        <v>0.98762685593398714</v>
      </c>
      <c r="AN65">
        <v>0.82051518731012685</v>
      </c>
      <c r="AR65" t="s">
        <v>552</v>
      </c>
      <c r="AS65">
        <v>0.98762685593398714</v>
      </c>
      <c r="AT65">
        <v>0.82051518731012685</v>
      </c>
      <c r="AX65" t="s">
        <v>567</v>
      </c>
      <c r="AY65">
        <v>0.98295579380873122</v>
      </c>
      <c r="AZ65">
        <v>1.2810438518635869</v>
      </c>
    </row>
    <row r="66" spans="1:52">
      <c r="A66" t="s">
        <v>8</v>
      </c>
      <c r="B66" t="s">
        <v>630</v>
      </c>
      <c r="C66" t="s">
        <v>615</v>
      </c>
      <c r="D66" t="s">
        <v>631</v>
      </c>
      <c r="E66">
        <v>41.525491584537221</v>
      </c>
      <c r="F66">
        <v>39.649852999999993</v>
      </c>
      <c r="G66" t="e">
        <f>(F66-#REF!)/#REF!</f>
        <v>#REF!</v>
      </c>
      <c r="H66" t="e">
        <f>#REF!*BA_AGB!E66+#REF!</f>
        <v>#REF!</v>
      </c>
      <c r="I66" s="29" t="e">
        <f t="shared" si="3"/>
        <v>#REF!</v>
      </c>
      <c r="J66" s="29" t="e">
        <f t="shared" si="4"/>
        <v>#REF!</v>
      </c>
      <c r="K66">
        <f t="shared" si="1"/>
        <v>0.3280795370629398</v>
      </c>
      <c r="L66">
        <f t="shared" si="6"/>
        <v>0.26018568354573451</v>
      </c>
      <c r="X66" t="s">
        <v>552</v>
      </c>
      <c r="Y66">
        <v>0.98762685593398714</v>
      </c>
      <c r="Z66">
        <v>0.82051518731012685</v>
      </c>
      <c r="AE66" t="s">
        <v>552</v>
      </c>
      <c r="AF66">
        <v>0.98762685593398714</v>
      </c>
      <c r="AG66">
        <v>0.82051518731012685</v>
      </c>
      <c r="AL66" t="s">
        <v>553</v>
      </c>
      <c r="AM66">
        <v>0.26217472028499328</v>
      </c>
      <c r="AN66">
        <v>-4.4136443259376434E-2</v>
      </c>
      <c r="AR66" t="s">
        <v>553</v>
      </c>
      <c r="AS66">
        <v>0.26217472028499328</v>
      </c>
      <c r="AT66">
        <v>-4.4136443259376434E-2</v>
      </c>
      <c r="AX66" t="s">
        <v>572</v>
      </c>
      <c r="AY66">
        <v>-0.22154383241902262</v>
      </c>
      <c r="AZ66">
        <v>-0.15172888941279702</v>
      </c>
    </row>
    <row r="67" spans="1:52">
      <c r="A67" t="s">
        <v>8</v>
      </c>
      <c r="B67" t="s">
        <v>27</v>
      </c>
      <c r="C67" t="s">
        <v>622</v>
      </c>
      <c r="D67" t="s">
        <v>632</v>
      </c>
      <c r="E67">
        <v>28.810126226192569</v>
      </c>
      <c r="F67">
        <v>26.253070000000001</v>
      </c>
      <c r="G67" t="e">
        <f>(F67-#REF!)/#REF!</f>
        <v>#REF!</v>
      </c>
      <c r="H67" t="e">
        <f>#REF!*BA_AGB!E67+#REF!</f>
        <v>#REF!</v>
      </c>
      <c r="I67" s="29" t="e">
        <f t="shared" si="3"/>
        <v>#REF!</v>
      </c>
      <c r="J67" s="29" t="e">
        <f t="shared" si="4"/>
        <v>#REF!</v>
      </c>
      <c r="K67">
        <f t="shared" si="1"/>
        <v>4.9271866062607368E-2</v>
      </c>
      <c r="L67">
        <f t="shared" si="6"/>
        <v>-2.6162595248685576E-2</v>
      </c>
      <c r="X67" t="s">
        <v>553</v>
      </c>
      <c r="Y67">
        <v>0.26217472028499328</v>
      </c>
      <c r="Z67">
        <v>-4.4136443259376434E-2</v>
      </c>
      <c r="AE67" t="s">
        <v>553</v>
      </c>
      <c r="AF67">
        <v>0.26217472028499328</v>
      </c>
      <c r="AG67">
        <v>-4.4136443259376434E-2</v>
      </c>
      <c r="AL67" t="s">
        <v>567</v>
      </c>
      <c r="AM67">
        <v>0.98295579380873122</v>
      </c>
      <c r="AN67">
        <v>1.2810438518635869</v>
      </c>
      <c r="AR67" t="s">
        <v>567</v>
      </c>
      <c r="AS67">
        <v>0.98295579380873122</v>
      </c>
      <c r="AT67">
        <v>1.2810438518635869</v>
      </c>
      <c r="AX67" t="s">
        <v>575</v>
      </c>
      <c r="AY67">
        <v>0.43837763469490282</v>
      </c>
      <c r="AZ67">
        <v>0.35244931326213197</v>
      </c>
    </row>
    <row r="68" spans="1:52">
      <c r="A68" t="s">
        <v>8</v>
      </c>
      <c r="B68" t="s">
        <v>27</v>
      </c>
      <c r="C68" t="s">
        <v>633</v>
      </c>
      <c r="D68" t="s">
        <v>634</v>
      </c>
      <c r="E68">
        <v>31.350445534820999</v>
      </c>
      <c r="F68">
        <v>29.5</v>
      </c>
      <c r="G68" t="e">
        <f>(F68-#REF!)/#REF!</f>
        <v>#REF!</v>
      </c>
      <c r="H68" t="e">
        <f>#REF!*BA_AGB!E68+#REF!</f>
        <v>#REF!</v>
      </c>
      <c r="I68" s="29" t="e">
        <f t="shared" si="3"/>
        <v>#REF!</v>
      </c>
      <c r="J68" s="29" t="e">
        <f t="shared" si="4"/>
        <v>#REF!</v>
      </c>
      <c r="K68">
        <f t="shared" ref="K68:K76" si="7">STANDARDIZE(E68,$E$79,$E$78)</f>
        <v>0.10497301896507276</v>
      </c>
      <c r="L68">
        <f t="shared" ref="L68:L76" si="8">STANDARDIZE(F68,$F$79,$F$78)</f>
        <v>4.3238604790604943E-2</v>
      </c>
      <c r="X68" t="s">
        <v>564</v>
      </c>
      <c r="Y68">
        <v>0.6044536467865419</v>
      </c>
      <c r="Z68">
        <v>0.4303462442772083</v>
      </c>
      <c r="AE68" t="s">
        <v>567</v>
      </c>
      <c r="AF68">
        <v>0.98295579380873122</v>
      </c>
      <c r="AG68">
        <v>1.2810438518635869</v>
      </c>
      <c r="AL68" t="s">
        <v>572</v>
      </c>
      <c r="AM68">
        <v>-0.22154383241902262</v>
      </c>
      <c r="AN68">
        <v>-0.15172888941279702</v>
      </c>
      <c r="AR68" t="s">
        <v>572</v>
      </c>
      <c r="AS68">
        <v>-0.22154383241902262</v>
      </c>
      <c r="AT68">
        <v>-0.15172888941279702</v>
      </c>
      <c r="AX68" t="s">
        <v>577</v>
      </c>
      <c r="AY68">
        <v>-0.34130832709215542</v>
      </c>
      <c r="AZ68">
        <v>-0.34205992665819801</v>
      </c>
    </row>
    <row r="69" spans="1:52">
      <c r="A69" t="s">
        <v>8</v>
      </c>
      <c r="B69" t="s">
        <v>635</v>
      </c>
      <c r="C69" t="s">
        <v>636</v>
      </c>
      <c r="D69" t="s">
        <v>637</v>
      </c>
      <c r="E69">
        <v>10.073805870259802</v>
      </c>
      <c r="F69">
        <v>8</v>
      </c>
      <c r="G69" t="e">
        <f>(F69-#REF!)/#REF!</f>
        <v>#REF!</v>
      </c>
      <c r="H69" t="e">
        <f>#REF!*BA_AGB!E69+#REF!</f>
        <v>#REF!</v>
      </c>
      <c r="I69" s="29" t="e">
        <f t="shared" si="3"/>
        <v>#REF!</v>
      </c>
      <c r="J69" s="29" t="e">
        <f t="shared" si="4"/>
        <v>#REF!</v>
      </c>
      <c r="K69">
        <f t="shared" si="7"/>
        <v>-0.36155626937319557</v>
      </c>
      <c r="L69">
        <f t="shared" si="8"/>
        <v>-0.41631112398234266</v>
      </c>
      <c r="X69" t="s">
        <v>567</v>
      </c>
      <c r="Y69">
        <v>0.98295579380873122</v>
      </c>
      <c r="Z69">
        <v>1.2810438518635869</v>
      </c>
      <c r="AE69" t="s">
        <v>572</v>
      </c>
      <c r="AF69">
        <v>-0.22154383241902262</v>
      </c>
      <c r="AG69">
        <v>-0.15172888941279702</v>
      </c>
      <c r="AL69" t="s">
        <v>575</v>
      </c>
      <c r="AM69">
        <v>0.43837763469490282</v>
      </c>
      <c r="AN69">
        <v>0.35244931326213197</v>
      </c>
      <c r="AR69" t="s">
        <v>575</v>
      </c>
      <c r="AS69">
        <v>0.43837763469490282</v>
      </c>
      <c r="AT69">
        <v>0.35244931326213197</v>
      </c>
      <c r="AX69" t="s">
        <v>579</v>
      </c>
      <c r="AY69">
        <v>1.7008359974440783</v>
      </c>
      <c r="AZ69">
        <v>1.744050011810474</v>
      </c>
    </row>
    <row r="70" spans="1:52">
      <c r="A70" t="s">
        <v>8</v>
      </c>
      <c r="B70" t="s">
        <v>635</v>
      </c>
      <c r="C70" t="s">
        <v>638</v>
      </c>
      <c r="D70" t="s">
        <v>639</v>
      </c>
      <c r="E70">
        <v>29.070313715161038</v>
      </c>
      <c r="F70">
        <v>28.4</v>
      </c>
      <c r="G70" t="e">
        <f>(F70-#REF!)/#REF!</f>
        <v>#REF!</v>
      </c>
      <c r="H70" t="e">
        <f>#REF!*BA_AGB!E70+#REF!</f>
        <v>#REF!</v>
      </c>
      <c r="I70" s="29" t="e">
        <f t="shared" si="3"/>
        <v>#REF!</v>
      </c>
      <c r="J70" s="29" t="e">
        <f t="shared" si="4"/>
        <v>#REF!</v>
      </c>
      <c r="K70">
        <f t="shared" si="7"/>
        <v>5.4976953236930415E-2</v>
      </c>
      <c r="L70">
        <f t="shared" si="8"/>
        <v>1.9726758202221552E-2</v>
      </c>
      <c r="X70" t="s">
        <v>572</v>
      </c>
      <c r="Y70">
        <v>-0.22154383241902262</v>
      </c>
      <c r="Z70">
        <v>-0.15172888941279702</v>
      </c>
      <c r="AE70" t="s">
        <v>575</v>
      </c>
      <c r="AF70">
        <v>0.43837763469490282</v>
      </c>
      <c r="AG70">
        <v>0.35244931326213197</v>
      </c>
      <c r="AL70" t="s">
        <v>577</v>
      </c>
      <c r="AM70">
        <v>-0.34130832709215542</v>
      </c>
      <c r="AN70">
        <v>-0.34205992665819801</v>
      </c>
      <c r="AR70" t="s">
        <v>577</v>
      </c>
      <c r="AS70">
        <v>-0.34130832709215542</v>
      </c>
      <c r="AT70">
        <v>-0.34205992665819801</v>
      </c>
      <c r="AX70" t="s">
        <v>581</v>
      </c>
      <c r="AY70">
        <v>1.6471918529170699</v>
      </c>
      <c r="AZ70">
        <v>1.7451259362720077</v>
      </c>
    </row>
    <row r="71" spans="1:52">
      <c r="A71" t="s">
        <v>8</v>
      </c>
      <c r="B71" t="s">
        <v>640</v>
      </c>
      <c r="C71" t="s">
        <v>615</v>
      </c>
      <c r="D71" t="s">
        <v>641</v>
      </c>
      <c r="E71">
        <v>41.876287192360493</v>
      </c>
      <c r="F71">
        <v>43.869530999999995</v>
      </c>
      <c r="G71" t="e">
        <f>(F71-#REF!)/#REF!</f>
        <v>#REF!</v>
      </c>
      <c r="H71" t="e">
        <f>#REF!*BA_AGB!E71+#REF!</f>
        <v>#REF!</v>
      </c>
      <c r="I71" s="29" t="e">
        <f t="shared" si="3"/>
        <v>#REF!</v>
      </c>
      <c r="J71" s="29" t="e">
        <f t="shared" si="4"/>
        <v>#REF!</v>
      </c>
      <c r="K71">
        <f t="shared" si="7"/>
        <v>0.33577137317287642</v>
      </c>
      <c r="L71">
        <f t="shared" si="8"/>
        <v>0.35037879426244029</v>
      </c>
      <c r="X71" t="s">
        <v>575</v>
      </c>
      <c r="Y71">
        <v>0.43837763469490282</v>
      </c>
      <c r="Z71">
        <v>0.35244931326213197</v>
      </c>
      <c r="AE71" t="s">
        <v>577</v>
      </c>
      <c r="AF71">
        <v>-0.34130832709215542</v>
      </c>
      <c r="AG71">
        <v>-0.34205992665819801</v>
      </c>
      <c r="AL71" t="s">
        <v>579</v>
      </c>
      <c r="AM71">
        <v>1.7008359974440783</v>
      </c>
      <c r="AN71">
        <v>1.744050011810474</v>
      </c>
      <c r="AR71" t="s">
        <v>579</v>
      </c>
      <c r="AS71">
        <v>1.7008359974440783</v>
      </c>
      <c r="AT71">
        <v>1.744050011810474</v>
      </c>
      <c r="AX71" t="s">
        <v>585</v>
      </c>
      <c r="AY71">
        <v>1.7213258636602609</v>
      </c>
      <c r="AZ71">
        <v>1.8177508374255666</v>
      </c>
    </row>
    <row r="72" spans="1:52">
      <c r="A72" t="s">
        <v>8</v>
      </c>
      <c r="B72" t="s">
        <v>642</v>
      </c>
      <c r="C72" t="s">
        <v>615</v>
      </c>
      <c r="D72" t="s">
        <v>643</v>
      </c>
      <c r="E72">
        <v>44.41658755718521</v>
      </c>
      <c r="F72">
        <v>37.198925000000003</v>
      </c>
      <c r="G72" t="e">
        <f>(F72-#REF!)/#REF!</f>
        <v>#REF!</v>
      </c>
      <c r="H72" t="e">
        <f>#REF!*BA_AGB!E72+#REF!</f>
        <v>#REF!</v>
      </c>
      <c r="I72" s="29" t="e">
        <f t="shared" si="3"/>
        <v>#REF!</v>
      </c>
      <c r="J72" s="29" t="e">
        <f t="shared" si="4"/>
        <v>#REF!</v>
      </c>
      <c r="K72">
        <f t="shared" si="7"/>
        <v>0.39147211069775384</v>
      </c>
      <c r="L72">
        <f t="shared" si="8"/>
        <v>0.20779855342284992</v>
      </c>
      <c r="X72" t="s">
        <v>577</v>
      </c>
      <c r="Y72">
        <v>-0.34130832709215542</v>
      </c>
      <c r="Z72">
        <v>-0.34205992665819801</v>
      </c>
      <c r="AE72" t="s">
        <v>579</v>
      </c>
      <c r="AF72">
        <v>1.7008359974440783</v>
      </c>
      <c r="AG72">
        <v>1.744050011810474</v>
      </c>
      <c r="AL72" t="s">
        <v>581</v>
      </c>
      <c r="AM72">
        <v>1.6471918529170699</v>
      </c>
      <c r="AN72">
        <v>1.7451259362720077</v>
      </c>
      <c r="AR72" t="s">
        <v>581</v>
      </c>
      <c r="AS72">
        <v>1.6471918529170699</v>
      </c>
      <c r="AT72">
        <v>1.7451259362720077</v>
      </c>
      <c r="AX72" t="s">
        <v>590</v>
      </c>
      <c r="AY72">
        <v>-0.27801879244310546</v>
      </c>
      <c r="AZ72">
        <v>-0.25491004527392741</v>
      </c>
    </row>
    <row r="73" spans="1:52">
      <c r="A73" t="s">
        <v>8</v>
      </c>
      <c r="B73" t="s">
        <v>9</v>
      </c>
      <c r="C73" t="s">
        <v>644</v>
      </c>
      <c r="D73" t="s">
        <v>645</v>
      </c>
      <c r="E73">
        <v>32.144624449685232</v>
      </c>
      <c r="F73">
        <v>36.75</v>
      </c>
      <c r="G73" t="e">
        <f>(F73-#REF!)/#REF!</f>
        <v>#REF!</v>
      </c>
      <c r="H73" t="e">
        <f>#REF!*BA_AGB!E73+#REF!</f>
        <v>#REF!</v>
      </c>
      <c r="I73" s="29" t="e">
        <f t="shared" si="3"/>
        <v>#REF!</v>
      </c>
      <c r="J73" s="29" t="e">
        <f t="shared" si="4"/>
        <v>#REF!</v>
      </c>
      <c r="K73">
        <f t="shared" si="7"/>
        <v>0.12238684604520111</v>
      </c>
      <c r="L73">
        <f t="shared" si="8"/>
        <v>0.19820304821404075</v>
      </c>
      <c r="X73" t="s">
        <v>579</v>
      </c>
      <c r="Y73">
        <v>1.7008359974440783</v>
      </c>
      <c r="Z73">
        <v>1.744050011810474</v>
      </c>
      <c r="AE73" t="s">
        <v>581</v>
      </c>
      <c r="AF73">
        <v>1.6471918529170699</v>
      </c>
      <c r="AG73">
        <v>1.7451259362720077</v>
      </c>
      <c r="AL73" t="s">
        <v>585</v>
      </c>
      <c r="AM73">
        <v>1.7213258636602609</v>
      </c>
      <c r="AN73">
        <v>1.8177508374255666</v>
      </c>
      <c r="AR73" t="s">
        <v>585</v>
      </c>
      <c r="AS73">
        <v>1.7213258636602609</v>
      </c>
      <c r="AT73">
        <v>1.8177508374255666</v>
      </c>
      <c r="AX73" t="s">
        <v>592</v>
      </c>
      <c r="AY73">
        <v>-0.16329511949894926</v>
      </c>
      <c r="AZ73">
        <v>-0.12343207607444745</v>
      </c>
    </row>
    <row r="74" spans="1:52">
      <c r="A74" t="s">
        <v>8</v>
      </c>
      <c r="B74" t="s">
        <v>9</v>
      </c>
      <c r="C74" t="s">
        <v>646</v>
      </c>
      <c r="D74" t="s">
        <v>647</v>
      </c>
      <c r="E74">
        <v>37.286756601543445</v>
      </c>
      <c r="F74">
        <v>41.95</v>
      </c>
      <c r="G74" t="e">
        <f>(F74-#REF!)/#REF!</f>
        <v>#REF!</v>
      </c>
      <c r="H74" t="e">
        <f>#REF!*BA_AGB!E74+#REF!</f>
        <v>#REF!</v>
      </c>
      <c r="I74" s="29" t="e">
        <f t="shared" si="3"/>
        <v>#REF!</v>
      </c>
      <c r="J74" s="29" t="e">
        <f t="shared" si="4"/>
        <v>#REF!</v>
      </c>
      <c r="K74">
        <f t="shared" si="7"/>
        <v>0.23513751020874804</v>
      </c>
      <c r="L74">
        <f t="shared" si="8"/>
        <v>0.30934995935912579</v>
      </c>
      <c r="X74" t="s">
        <v>581</v>
      </c>
      <c r="Y74">
        <v>1.6471918529170699</v>
      </c>
      <c r="Z74">
        <v>1.7451259362720077</v>
      </c>
      <c r="AE74" t="s">
        <v>583</v>
      </c>
      <c r="AF74">
        <v>1.6922802723604764</v>
      </c>
      <c r="AG74">
        <v>1.772024047810363</v>
      </c>
      <c r="AL74" t="s">
        <v>587</v>
      </c>
      <c r="AM74">
        <v>1.3661889555801932</v>
      </c>
      <c r="AN74">
        <v>1.2340618170432602</v>
      </c>
      <c r="AR74" t="s">
        <v>590</v>
      </c>
      <c r="AS74">
        <v>-0.27801879244310546</v>
      </c>
      <c r="AT74">
        <v>-0.25491004527392741</v>
      </c>
      <c r="AX74" t="s">
        <v>594</v>
      </c>
      <c r="AY74">
        <v>0.45589855543966257</v>
      </c>
      <c r="AZ74">
        <v>0.56010273433823354</v>
      </c>
    </row>
    <row r="75" spans="1:52">
      <c r="A75" t="s">
        <v>8</v>
      </c>
      <c r="B75" t="s">
        <v>16</v>
      </c>
      <c r="C75" t="s">
        <v>648</v>
      </c>
      <c r="D75" t="s">
        <v>649</v>
      </c>
      <c r="E75">
        <v>33.25061664559437</v>
      </c>
      <c r="F75">
        <v>42.04</v>
      </c>
      <c r="G75" t="e">
        <f>(F75-#REF!)/#REF!</f>
        <v>#REF!</v>
      </c>
      <c r="H75" t="e">
        <f>#REF!*BA_AGB!E75+#REF!</f>
        <v>#REF!</v>
      </c>
      <c r="I75" s="29" t="e">
        <f t="shared" si="3"/>
        <v>#REF!</v>
      </c>
      <c r="J75" s="29" t="e">
        <f>(((H75-F75)/F75)^2)^(1/2)</f>
        <v>#REF!</v>
      </c>
      <c r="K75">
        <f t="shared" si="7"/>
        <v>0.14663775033271378</v>
      </c>
      <c r="L75">
        <f t="shared" si="8"/>
        <v>0.31127365589817529</v>
      </c>
      <c r="X75" t="s">
        <v>583</v>
      </c>
      <c r="Y75">
        <v>1.6922802723604764</v>
      </c>
      <c r="Z75">
        <v>1.772024047810363</v>
      </c>
      <c r="AE75" t="s">
        <v>585</v>
      </c>
      <c r="AF75">
        <v>1.7213258636602609</v>
      </c>
      <c r="AG75">
        <v>1.8177508374255666</v>
      </c>
      <c r="AL75" t="s">
        <v>590</v>
      </c>
      <c r="AM75">
        <v>-0.27801879244310546</v>
      </c>
      <c r="AN75">
        <v>-0.25491004527392741</v>
      </c>
      <c r="AR75" t="s">
        <v>592</v>
      </c>
      <c r="AS75">
        <v>-0.16329511949894926</v>
      </c>
      <c r="AT75">
        <v>-0.12343207607444745</v>
      </c>
      <c r="AX75" t="s">
        <v>599</v>
      </c>
      <c r="AY75">
        <v>1.1801838220375576</v>
      </c>
      <c r="AZ75">
        <v>0.84151077725250512</v>
      </c>
    </row>
    <row r="76" spans="1:52">
      <c r="A76" t="s">
        <v>12</v>
      </c>
      <c r="B76" t="s">
        <v>332</v>
      </c>
      <c r="C76" t="s">
        <v>674</v>
      </c>
      <c r="D76" t="s">
        <v>672</v>
      </c>
      <c r="E76">
        <v>69.7</v>
      </c>
      <c r="F76">
        <v>68.400000000000006</v>
      </c>
      <c r="G76" t="e">
        <f>(F76-#REF!)/#REF!</f>
        <v>#REF!</v>
      </c>
      <c r="H76" t="e">
        <f>#REF!*BA_AGB!E76+#REF!</f>
        <v>#REF!</v>
      </c>
      <c r="I76" s="29" t="e">
        <f t="shared" si="3"/>
        <v>#REF!</v>
      </c>
      <c r="J76" s="29" t="e">
        <f>(((H76-F76)/F76)^2)^(1/2)</f>
        <v>#REF!</v>
      </c>
      <c r="K76">
        <f t="shared" si="7"/>
        <v>0.94585722976127073</v>
      </c>
      <c r="L76">
        <f t="shared" si="8"/>
        <v>0.87470299777979865</v>
      </c>
      <c r="X76" t="s">
        <v>585</v>
      </c>
      <c r="Y76">
        <v>1.7213258636602609</v>
      </c>
      <c r="Z76">
        <v>1.8177508374255666</v>
      </c>
      <c r="AE76" t="s">
        <v>587</v>
      </c>
      <c r="AF76">
        <v>1.3661889555801932</v>
      </c>
      <c r="AG76">
        <v>1.2340618170432602</v>
      </c>
      <c r="AL76" t="s">
        <v>592</v>
      </c>
      <c r="AM76">
        <v>-0.16329511949894926</v>
      </c>
      <c r="AN76">
        <v>-0.12343207607444745</v>
      </c>
      <c r="AR76" t="s">
        <v>594</v>
      </c>
      <c r="AS76">
        <v>0.45589855543966257</v>
      </c>
      <c r="AT76">
        <v>0.56010273433823354</v>
      </c>
      <c r="AX76" t="s">
        <v>601</v>
      </c>
      <c r="AY76">
        <v>0.42287720689968328</v>
      </c>
      <c r="AZ76">
        <v>0.29822272040080777</v>
      </c>
    </row>
    <row r="77" spans="1:52">
      <c r="X77" t="s">
        <v>587</v>
      </c>
      <c r="Y77">
        <v>1.3661889555801932</v>
      </c>
      <c r="Z77">
        <v>1.2340618170432602</v>
      </c>
      <c r="AE77" t="s">
        <v>590</v>
      </c>
      <c r="AF77">
        <v>-0.27801879244310546</v>
      </c>
      <c r="AG77">
        <v>-0.25491004527392741</v>
      </c>
      <c r="AL77" t="s">
        <v>594</v>
      </c>
      <c r="AM77">
        <v>0.45589855543966257</v>
      </c>
      <c r="AN77">
        <v>0.56010273433823354</v>
      </c>
      <c r="AR77" t="s">
        <v>599</v>
      </c>
      <c r="AS77">
        <v>1.1801838220375576</v>
      </c>
      <c r="AT77">
        <v>0.84151077725250512</v>
      </c>
      <c r="AX77" t="s">
        <v>603</v>
      </c>
      <c r="AY77">
        <v>0.85762730077512939</v>
      </c>
      <c r="AZ77">
        <v>0.59489095859450614</v>
      </c>
    </row>
    <row r="78" spans="1:52">
      <c r="A78" t="s">
        <v>652</v>
      </c>
      <c r="D78" t="s">
        <v>650</v>
      </c>
      <c r="E78">
        <f>AVERAGE(E3:E76)</f>
        <v>45.606224938945424</v>
      </c>
      <c r="F78">
        <f>AVERAGE(F3:F76)</f>
        <v>46.784925882575443</v>
      </c>
      <c r="I78" s="29" t="e">
        <f>AVERAGE(I2:I76)</f>
        <v>#REF!</v>
      </c>
      <c r="J78" s="29" t="e">
        <f>AVERAGE(J2:J76)</f>
        <v>#REF!</v>
      </c>
      <c r="X78" t="s">
        <v>590</v>
      </c>
      <c r="Y78">
        <v>-0.27801879244310546</v>
      </c>
      <c r="Z78">
        <v>-0.25491004527392741</v>
      </c>
      <c r="AE78" t="s">
        <v>592</v>
      </c>
      <c r="AF78">
        <v>-0.16329511949894926</v>
      </c>
      <c r="AG78">
        <v>-0.12343207607444745</v>
      </c>
      <c r="AL78" t="s">
        <v>599</v>
      </c>
      <c r="AM78">
        <v>1.1801838220375576</v>
      </c>
      <c r="AN78">
        <v>0.84151077725250512</v>
      </c>
      <c r="AR78" t="s">
        <v>601</v>
      </c>
      <c r="AS78">
        <v>0.42287720689968328</v>
      </c>
      <c r="AT78">
        <v>0.29822272040080777</v>
      </c>
      <c r="AX78" t="s">
        <v>605</v>
      </c>
      <c r="AY78">
        <v>1.1968849366948704E-2</v>
      </c>
      <c r="AZ78">
        <v>0.75506024676823169</v>
      </c>
    </row>
    <row r="79" spans="1:52">
      <c r="D79" t="s">
        <v>651</v>
      </c>
      <c r="E79">
        <f>_xlfn.STDEV.P(E3:E76)</f>
        <v>26.563022419379706</v>
      </c>
      <c r="F79">
        <f>_xlfn.STDEV.P(F3:F76)</f>
        <v>27.477085079605576</v>
      </c>
      <c r="X79" t="s">
        <v>592</v>
      </c>
      <c r="Y79">
        <v>-0.16329511949894926</v>
      </c>
      <c r="Z79">
        <v>-0.12343207607444745</v>
      </c>
      <c r="AE79" t="s">
        <v>594</v>
      </c>
      <c r="AF79">
        <v>0.45589855543966257</v>
      </c>
      <c r="AG79">
        <v>0.56010273433823354</v>
      </c>
      <c r="AL79" t="s">
        <v>601</v>
      </c>
      <c r="AM79">
        <v>0.42287720689968328</v>
      </c>
      <c r="AN79">
        <v>0.29822272040080777</v>
      </c>
      <c r="AR79" t="s">
        <v>603</v>
      </c>
      <c r="AS79">
        <v>0.85762730077512939</v>
      </c>
      <c r="AT79">
        <v>0.59489095859450614</v>
      </c>
      <c r="AX79" t="s">
        <v>608</v>
      </c>
      <c r="AY79">
        <v>1.561796529281132</v>
      </c>
      <c r="AZ79">
        <v>1.3976023351964593</v>
      </c>
    </row>
    <row r="80" spans="1:52">
      <c r="A80" t="s">
        <v>653</v>
      </c>
      <c r="X80" t="s">
        <v>594</v>
      </c>
      <c r="Y80">
        <v>0.45589855543966257</v>
      </c>
      <c r="Z80">
        <v>0.56010273433823354</v>
      </c>
      <c r="AE80" t="s">
        <v>599</v>
      </c>
      <c r="AF80">
        <v>1.1801838220375576</v>
      </c>
      <c r="AG80">
        <v>0.84151077725250512</v>
      </c>
      <c r="AL80" t="s">
        <v>603</v>
      </c>
      <c r="AM80">
        <v>0.85762730077512939</v>
      </c>
      <c r="AN80">
        <v>0.59489095859450614</v>
      </c>
      <c r="AR80" t="s">
        <v>605</v>
      </c>
      <c r="AS80">
        <v>1.1968849366948704E-2</v>
      </c>
      <c r="AT80">
        <v>0.75506024676823169</v>
      </c>
      <c r="AX80" t="s">
        <v>610</v>
      </c>
      <c r="AY80">
        <v>1.0606090933315773</v>
      </c>
      <c r="AZ80">
        <v>1.4045958441964319</v>
      </c>
    </row>
    <row r="81" spans="1:53">
      <c r="X81" t="s">
        <v>599</v>
      </c>
      <c r="Y81">
        <v>1.1801838220375576</v>
      </c>
      <c r="Z81">
        <v>0.84151077725250512</v>
      </c>
      <c r="AE81" t="s">
        <v>601</v>
      </c>
      <c r="AF81">
        <v>0.42287720689968328</v>
      </c>
      <c r="AG81">
        <v>0.29822272040080777</v>
      </c>
      <c r="AL81" t="s">
        <v>605</v>
      </c>
      <c r="AM81">
        <v>1.1968849366948704E-2</v>
      </c>
      <c r="AN81">
        <v>0.75506024676823169</v>
      </c>
      <c r="AR81" t="s">
        <v>608</v>
      </c>
      <c r="AS81">
        <v>1.561796529281132</v>
      </c>
      <c r="AT81">
        <v>1.3976023351964593</v>
      </c>
      <c r="AX81" t="s">
        <v>612</v>
      </c>
      <c r="AY81">
        <v>1.3196876721945343</v>
      </c>
      <c r="AZ81">
        <v>1.7887008769641433</v>
      </c>
    </row>
    <row r="82" spans="1:53">
      <c r="A82" t="s">
        <v>654</v>
      </c>
      <c r="I82" t="s">
        <v>667</v>
      </c>
      <c r="X82" t="s">
        <v>601</v>
      </c>
      <c r="Y82">
        <v>0.42287720689968328</v>
      </c>
      <c r="Z82">
        <v>0.29822272040080777</v>
      </c>
      <c r="AE82" t="s">
        <v>603</v>
      </c>
      <c r="AF82">
        <v>0.85762730077512939</v>
      </c>
      <c r="AG82">
        <v>0.59489095859450614</v>
      </c>
      <c r="AL82" t="s">
        <v>608</v>
      </c>
      <c r="AM82">
        <v>1.561796529281132</v>
      </c>
      <c r="AN82">
        <v>1.3976023351964593</v>
      </c>
      <c r="AR82" t="s">
        <v>610</v>
      </c>
      <c r="AS82">
        <v>1.0606090933315773</v>
      </c>
      <c r="AT82">
        <v>1.4045958441964319</v>
      </c>
      <c r="AX82" t="s">
        <v>616</v>
      </c>
      <c r="AY82">
        <v>0.14571313948953526</v>
      </c>
      <c r="AZ82">
        <v>0.15652346881675303</v>
      </c>
    </row>
    <row r="83" spans="1:53">
      <c r="I83" t="s">
        <v>668</v>
      </c>
      <c r="X83" t="s">
        <v>603</v>
      </c>
      <c r="Y83">
        <v>0.85762730077512939</v>
      </c>
      <c r="Z83">
        <v>0.59489095859450614</v>
      </c>
      <c r="AE83" t="s">
        <v>605</v>
      </c>
      <c r="AF83">
        <v>1.1968849366948704E-2</v>
      </c>
      <c r="AG83">
        <v>0.75506024676823169</v>
      </c>
      <c r="AL83" t="s">
        <v>610</v>
      </c>
      <c r="AM83">
        <v>1.0606090933315773</v>
      </c>
      <c r="AN83">
        <v>1.4045958441964319</v>
      </c>
      <c r="AR83" t="s">
        <v>612</v>
      </c>
      <c r="AS83">
        <v>1.3196876721945343</v>
      </c>
      <c r="AT83">
        <v>1.7887008769641433</v>
      </c>
      <c r="AX83" t="s">
        <v>619</v>
      </c>
      <c r="AY83">
        <v>-0.1689186414022584</v>
      </c>
      <c r="AZ83">
        <v>2.8703642786489337E-2</v>
      </c>
    </row>
    <row r="84" spans="1:53">
      <c r="A84" t="s">
        <v>655</v>
      </c>
      <c r="I84" t="s">
        <v>724</v>
      </c>
      <c r="X84" t="s">
        <v>605</v>
      </c>
      <c r="Y84">
        <v>1.1968849366948704E-2</v>
      </c>
      <c r="Z84">
        <v>0.75506024676823169</v>
      </c>
      <c r="AE84" t="s">
        <v>608</v>
      </c>
      <c r="AF84">
        <v>1.561796529281132</v>
      </c>
      <c r="AG84">
        <v>1.3976023351964593</v>
      </c>
      <c r="AL84" t="s">
        <v>612</v>
      </c>
      <c r="AM84">
        <v>1.3196876721945343</v>
      </c>
      <c r="AN84">
        <v>1.7887008769641433</v>
      </c>
      <c r="AR84" t="s">
        <v>616</v>
      </c>
      <c r="AS84">
        <v>0.14571313948953526</v>
      </c>
      <c r="AT84">
        <v>0.15652346881675303</v>
      </c>
      <c r="AX84" t="s">
        <v>621</v>
      </c>
      <c r="AY84">
        <v>0.30773117184948012</v>
      </c>
      <c r="AZ84">
        <v>0.17922547495512475</v>
      </c>
    </row>
    <row r="85" spans="1:53">
      <c r="X85" t="s">
        <v>608</v>
      </c>
      <c r="Y85">
        <v>1.561796529281132</v>
      </c>
      <c r="Z85">
        <v>1.3976023351964593</v>
      </c>
      <c r="AE85" t="s">
        <v>610</v>
      </c>
      <c r="AF85">
        <v>1.0606090933315773</v>
      </c>
      <c r="AG85">
        <v>1.4045958441964319</v>
      </c>
      <c r="AL85" t="s">
        <v>616</v>
      </c>
      <c r="AM85">
        <v>0.14571313948953526</v>
      </c>
      <c r="AN85">
        <v>0.15652346881675303</v>
      </c>
      <c r="AR85" t="s">
        <v>619</v>
      </c>
      <c r="AS85">
        <v>-0.1689186414022584</v>
      </c>
      <c r="AT85">
        <v>2.8703642786489337E-2</v>
      </c>
      <c r="AX85" t="s">
        <v>623</v>
      </c>
      <c r="AY85">
        <v>1.0414235169117378</v>
      </c>
      <c r="AZ85">
        <v>1.1530158703141651</v>
      </c>
    </row>
    <row r="86" spans="1:53">
      <c r="A86" t="s">
        <v>656</v>
      </c>
      <c r="X86" t="s">
        <v>610</v>
      </c>
      <c r="Y86">
        <v>1.0606090933315773</v>
      </c>
      <c r="Z86">
        <v>1.4045958441964319</v>
      </c>
      <c r="AE86" t="s">
        <v>612</v>
      </c>
      <c r="AF86">
        <v>1.3196876721945343</v>
      </c>
      <c r="AG86">
        <v>1.7887008769641433</v>
      </c>
      <c r="AL86" t="s">
        <v>619</v>
      </c>
      <c r="AM86">
        <v>-0.1689186414022584</v>
      </c>
      <c r="AN86">
        <v>2.8703642786489337E-2</v>
      </c>
      <c r="AR86" t="s">
        <v>621</v>
      </c>
      <c r="AS86">
        <v>0.30773117184948012</v>
      </c>
      <c r="AT86">
        <v>0.17922547495512475</v>
      </c>
      <c r="AX86" t="s">
        <v>625</v>
      </c>
      <c r="AY86">
        <v>5.3019028814445417E-2</v>
      </c>
      <c r="AZ86">
        <v>0.20225025843195676</v>
      </c>
    </row>
    <row r="87" spans="1:53">
      <c r="X87" t="s">
        <v>612</v>
      </c>
      <c r="Y87">
        <v>1.3196876721945343</v>
      </c>
      <c r="Z87">
        <v>1.7887008769641433</v>
      </c>
      <c r="AE87" t="s">
        <v>616</v>
      </c>
      <c r="AF87">
        <v>0.14571313948953526</v>
      </c>
      <c r="AG87">
        <v>0.15652346881675303</v>
      </c>
      <c r="AL87" t="s">
        <v>621</v>
      </c>
      <c r="AM87">
        <v>0.30773117184948012</v>
      </c>
      <c r="AN87">
        <v>0.17922547495512475</v>
      </c>
      <c r="AR87" t="s">
        <v>623</v>
      </c>
      <c r="AS87">
        <v>1.0414235169117378</v>
      </c>
      <c r="AT87">
        <v>1.1530158703141651</v>
      </c>
      <c r="AX87" t="s">
        <v>627</v>
      </c>
      <c r="AY87">
        <v>0.22910096924576251</v>
      </c>
      <c r="AZ87">
        <v>0.39591666150811383</v>
      </c>
    </row>
    <row r="88" spans="1:53">
      <c r="X88" t="s">
        <v>616</v>
      </c>
      <c r="Y88">
        <v>0.14571313948953526</v>
      </c>
      <c r="Z88">
        <v>0.15652346881675303</v>
      </c>
      <c r="AE88" t="s">
        <v>619</v>
      </c>
      <c r="AF88">
        <v>-0.1689186414022584</v>
      </c>
      <c r="AG88">
        <v>2.8703642786489337E-2</v>
      </c>
      <c r="AL88" t="s">
        <v>623</v>
      </c>
      <c r="AM88">
        <v>1.0414235169117378</v>
      </c>
      <c r="AN88">
        <v>1.1530158703141651</v>
      </c>
      <c r="AR88" t="s">
        <v>625</v>
      </c>
      <c r="AS88">
        <v>5.3019028814445417E-2</v>
      </c>
      <c r="AT88">
        <v>0.20225025843195676</v>
      </c>
      <c r="AX88" t="s">
        <v>629</v>
      </c>
      <c r="AY88">
        <v>-7.003888272223989E-2</v>
      </c>
      <c r="AZ88">
        <v>-0.12698262679751032</v>
      </c>
    </row>
    <row r="89" spans="1:53">
      <c r="X89" t="s">
        <v>619</v>
      </c>
      <c r="Y89">
        <v>-0.1689186414022584</v>
      </c>
      <c r="Z89">
        <v>2.8703642786489337E-2</v>
      </c>
      <c r="AE89" t="s">
        <v>621</v>
      </c>
      <c r="AF89">
        <v>0.30773117184948012</v>
      </c>
      <c r="AG89">
        <v>0.17922547495512475</v>
      </c>
      <c r="AL89" t="s">
        <v>625</v>
      </c>
      <c r="AM89">
        <v>5.3019028814445417E-2</v>
      </c>
      <c r="AN89">
        <v>0.20225025843195676</v>
      </c>
      <c r="AR89" t="s">
        <v>627</v>
      </c>
      <c r="AS89">
        <v>0.22910096924576251</v>
      </c>
      <c r="AT89">
        <v>0.39591666150811383</v>
      </c>
      <c r="AX89" t="s">
        <v>634</v>
      </c>
      <c r="AY89">
        <v>0.10512830278385633</v>
      </c>
      <c r="AZ89">
        <v>4.1937513663360036E-2</v>
      </c>
    </row>
    <row r="90" spans="1:53">
      <c r="X90" t="s">
        <v>621</v>
      </c>
      <c r="Y90">
        <v>0.30773117184948012</v>
      </c>
      <c r="Z90">
        <v>0.17922547495512475</v>
      </c>
      <c r="AE90" t="s">
        <v>623</v>
      </c>
      <c r="AF90">
        <v>1.0414235169117378</v>
      </c>
      <c r="AG90">
        <v>1.1530158703141651</v>
      </c>
      <c r="AL90" t="s">
        <v>627</v>
      </c>
      <c r="AM90">
        <v>0.22910096924576251</v>
      </c>
      <c r="AN90">
        <v>0.39591666150811383</v>
      </c>
      <c r="AR90" t="s">
        <v>629</v>
      </c>
      <c r="AS90">
        <v>-7.003888272223989E-2</v>
      </c>
      <c r="AT90">
        <v>-0.12698262679751032</v>
      </c>
      <c r="AX90" t="s">
        <v>639</v>
      </c>
      <c r="AY90">
        <v>5.4638276163539182E-2</v>
      </c>
      <c r="AZ90">
        <v>1.8267175509607474E-2</v>
      </c>
    </row>
    <row r="91" spans="1:53">
      <c r="X91" t="s">
        <v>623</v>
      </c>
      <c r="Y91">
        <v>1.0414235169117378</v>
      </c>
      <c r="Z91">
        <v>1.1530158703141651</v>
      </c>
      <c r="AE91" t="s">
        <v>625</v>
      </c>
      <c r="AF91">
        <v>5.3019028814445417E-2</v>
      </c>
      <c r="AG91">
        <v>0.20225025843195676</v>
      </c>
      <c r="AL91" t="s">
        <v>629</v>
      </c>
      <c r="AM91">
        <v>-7.003888272223989E-2</v>
      </c>
      <c r="AN91">
        <v>-0.12698262679751032</v>
      </c>
      <c r="AR91" t="s">
        <v>631</v>
      </c>
      <c r="AS91">
        <v>0.33043911222194378</v>
      </c>
      <c r="AT91">
        <v>0.26034701613688677</v>
      </c>
      <c r="AX91" t="s">
        <v>641</v>
      </c>
      <c r="AY91">
        <v>0.33820694363615067</v>
      </c>
      <c r="AZ91">
        <v>0.35114811173684146</v>
      </c>
    </row>
    <row r="92" spans="1:53">
      <c r="X92" t="s">
        <v>625</v>
      </c>
      <c r="Y92">
        <v>5.3019028814445417E-2</v>
      </c>
      <c r="Z92">
        <v>0.20225025843195676</v>
      </c>
      <c r="AE92" t="s">
        <v>627</v>
      </c>
      <c r="AF92">
        <v>0.22910096924576251</v>
      </c>
      <c r="AG92">
        <v>0.39591666150811383</v>
      </c>
      <c r="AL92" t="s">
        <v>631</v>
      </c>
      <c r="AM92">
        <v>0.33043911222194378</v>
      </c>
      <c r="AN92">
        <v>0.26034701613688677</v>
      </c>
      <c r="AR92" t="s">
        <v>634</v>
      </c>
      <c r="AS92">
        <v>0.10512830278385633</v>
      </c>
      <c r="AT92">
        <v>4.1937513663360036E-2</v>
      </c>
      <c r="AX92" t="s">
        <v>647</v>
      </c>
      <c r="AY92">
        <v>0.23657881858342006</v>
      </c>
      <c r="AZ92">
        <v>0.30984270458537733</v>
      </c>
    </row>
    <row r="93" spans="1:53">
      <c r="X93" t="s">
        <v>627</v>
      </c>
      <c r="Y93">
        <v>0.22910096924576251</v>
      </c>
      <c r="Z93">
        <v>0.39591666150811383</v>
      </c>
      <c r="AE93" t="s">
        <v>629</v>
      </c>
      <c r="AF93">
        <v>-7.003888272223989E-2</v>
      </c>
      <c r="AG93">
        <v>-0.12698262679751032</v>
      </c>
      <c r="AL93" t="s">
        <v>634</v>
      </c>
      <c r="AM93">
        <v>0.10512830278385633</v>
      </c>
      <c r="AN93">
        <v>4.1937513663360036E-2</v>
      </c>
      <c r="AR93" t="s">
        <v>639</v>
      </c>
      <c r="AS93">
        <v>5.4638276163539182E-2</v>
      </c>
      <c r="AT93">
        <v>1.8267175509607474E-2</v>
      </c>
      <c r="AX93" t="s">
        <v>649</v>
      </c>
      <c r="AY93">
        <v>0.14720468149972055</v>
      </c>
      <c r="AZ93">
        <v>0.31177936861613886</v>
      </c>
    </row>
    <row r="94" spans="1:53">
      <c r="X94" t="s">
        <v>629</v>
      </c>
      <c r="Y94">
        <v>-7.003888272223989E-2</v>
      </c>
      <c r="Z94">
        <v>-0.12698262679751032</v>
      </c>
      <c r="AE94" t="s">
        <v>631</v>
      </c>
      <c r="AF94">
        <v>0.33043911222194378</v>
      </c>
      <c r="AG94">
        <v>0.26034701613688677</v>
      </c>
      <c r="AL94" t="s">
        <v>639</v>
      </c>
      <c r="AM94">
        <v>5.4638276163539182E-2</v>
      </c>
      <c r="AN94">
        <v>1.8267175509607474E-2</v>
      </c>
      <c r="AR94" t="s">
        <v>641</v>
      </c>
      <c r="AS94">
        <v>0.33820694363615067</v>
      </c>
      <c r="AT94">
        <v>0.35114811173684146</v>
      </c>
      <c r="AW94" t="s">
        <v>662</v>
      </c>
      <c r="AX94" t="s">
        <v>493</v>
      </c>
      <c r="AY94" t="s">
        <v>658</v>
      </c>
      <c r="AZ94" t="s">
        <v>657</v>
      </c>
      <c r="BA94" t="s">
        <v>663</v>
      </c>
    </row>
    <row r="95" spans="1:53">
      <c r="X95" t="s">
        <v>631</v>
      </c>
      <c r="Y95">
        <v>0.33043911222194378</v>
      </c>
      <c r="Z95">
        <v>0.26034701613688677</v>
      </c>
      <c r="AE95" t="s">
        <v>634</v>
      </c>
      <c r="AF95">
        <v>0.10512830278385633</v>
      </c>
      <c r="AG95">
        <v>4.1937513663360036E-2</v>
      </c>
      <c r="AL95" t="s">
        <v>641</v>
      </c>
      <c r="AM95">
        <v>0.33820694363615067</v>
      </c>
      <c r="AN95">
        <v>0.35114811173684146</v>
      </c>
      <c r="AR95" t="s">
        <v>647</v>
      </c>
      <c r="AS95">
        <v>0.23657881858342006</v>
      </c>
      <c r="AT95">
        <v>0.30984270458537733</v>
      </c>
      <c r="AX95" t="s">
        <v>569</v>
      </c>
      <c r="AY95">
        <v>-0.21019357042005501</v>
      </c>
      <c r="AZ95">
        <v>-0.10654006202836033</v>
      </c>
    </row>
    <row r="96" spans="1:53">
      <c r="X96" t="s">
        <v>634</v>
      </c>
      <c r="Y96">
        <v>0.10512830278385633</v>
      </c>
      <c r="Z96">
        <v>4.1937513663360036E-2</v>
      </c>
      <c r="AE96" t="s">
        <v>639</v>
      </c>
      <c r="AF96">
        <v>5.4638276163539182E-2</v>
      </c>
      <c r="AG96">
        <v>1.8267175509607474E-2</v>
      </c>
      <c r="AL96" t="s">
        <v>645</v>
      </c>
      <c r="AM96">
        <v>0.12271417839291195</v>
      </c>
      <c r="AN96">
        <v>0.19794656058581989</v>
      </c>
      <c r="AR96" t="s">
        <v>649</v>
      </c>
      <c r="AS96">
        <v>0.14720468149972055</v>
      </c>
      <c r="AT96">
        <v>0.31177936861613886</v>
      </c>
      <c r="AX96" t="s">
        <v>570</v>
      </c>
      <c r="AY96">
        <v>0.21310084507367544</v>
      </c>
      <c r="AZ96">
        <v>0.26142610381633807</v>
      </c>
    </row>
    <row r="97" spans="23:52">
      <c r="X97" t="s">
        <v>637</v>
      </c>
      <c r="Y97">
        <v>-0.36601029270962548</v>
      </c>
      <c r="Z97">
        <v>-0.42071000479634846</v>
      </c>
      <c r="AE97" t="s">
        <v>641</v>
      </c>
      <c r="AF97">
        <v>0.33820694363615067</v>
      </c>
      <c r="AG97">
        <v>0.35114811173684146</v>
      </c>
      <c r="AL97" t="s">
        <v>647</v>
      </c>
      <c r="AM97">
        <v>0.23657881858342006</v>
      </c>
      <c r="AN97">
        <v>0.30984270458537733</v>
      </c>
      <c r="AQ97" t="s">
        <v>662</v>
      </c>
      <c r="AR97" t="s">
        <v>493</v>
      </c>
      <c r="AS97" t="s">
        <v>658</v>
      </c>
      <c r="AT97" t="s">
        <v>657</v>
      </c>
      <c r="AU97" t="s">
        <v>663</v>
      </c>
      <c r="AX97" t="s">
        <v>632</v>
      </c>
      <c r="AY97">
        <v>4.8876822755003081E-2</v>
      </c>
      <c r="AZ97">
        <v>-2.7931514574425123E-2</v>
      </c>
    </row>
    <row r="98" spans="23:52">
      <c r="X98" t="s">
        <v>639</v>
      </c>
      <c r="Y98">
        <v>5.4638276163539182E-2</v>
      </c>
      <c r="Z98">
        <v>1.8267175509607474E-2</v>
      </c>
      <c r="AE98" t="s">
        <v>643</v>
      </c>
      <c r="AF98">
        <v>0.39445800418348731</v>
      </c>
      <c r="AG98">
        <v>0.2076067483637048</v>
      </c>
      <c r="AL98" t="s">
        <v>649</v>
      </c>
      <c r="AM98">
        <v>0.14720468149972055</v>
      </c>
      <c r="AN98">
        <v>0.31177936861613886</v>
      </c>
      <c r="AR98" t="s">
        <v>569</v>
      </c>
      <c r="AS98">
        <v>-0.21019357042005501</v>
      </c>
      <c r="AT98">
        <v>-0.10654006202836033</v>
      </c>
      <c r="AX98" t="s">
        <v>637</v>
      </c>
      <c r="AY98">
        <v>-0.36601029270962548</v>
      </c>
      <c r="AZ98">
        <v>-0.42071000479634846</v>
      </c>
    </row>
    <row r="99" spans="23:52">
      <c r="X99" t="s">
        <v>641</v>
      </c>
      <c r="Y99">
        <v>0.33820694363615067</v>
      </c>
      <c r="Z99">
        <v>0.35114811173684146</v>
      </c>
      <c r="AE99" t="s">
        <v>645</v>
      </c>
      <c r="AF99">
        <v>0.12271417839291195</v>
      </c>
      <c r="AG99">
        <v>0.19794656058581989</v>
      </c>
      <c r="AK99" t="s">
        <v>662</v>
      </c>
      <c r="AL99" t="s">
        <v>493</v>
      </c>
      <c r="AM99" t="s">
        <v>658</v>
      </c>
      <c r="AN99" t="s">
        <v>657</v>
      </c>
      <c r="AO99" t="s">
        <v>663</v>
      </c>
      <c r="AR99" t="s">
        <v>570</v>
      </c>
      <c r="AS99">
        <v>0.21310084507367544</v>
      </c>
      <c r="AT99">
        <v>0.26142610381633807</v>
      </c>
      <c r="AX99" t="s">
        <v>564</v>
      </c>
      <c r="AY99">
        <v>0.6044536467865419</v>
      </c>
      <c r="AZ99">
        <v>0.4303462442772083</v>
      </c>
    </row>
    <row r="100" spans="23:52">
      <c r="X100" t="s">
        <v>643</v>
      </c>
      <c r="Y100">
        <v>0.39445800418348731</v>
      </c>
      <c r="Z100">
        <v>0.2076067483637048</v>
      </c>
      <c r="AE100" t="s">
        <v>647</v>
      </c>
      <c r="AF100">
        <v>0.23657881858342006</v>
      </c>
      <c r="AG100">
        <v>0.30984270458537733</v>
      </c>
      <c r="AL100" t="s">
        <v>569</v>
      </c>
      <c r="AM100">
        <v>-0.21019357042005501</v>
      </c>
      <c r="AN100">
        <v>-0.10654006202836033</v>
      </c>
      <c r="AR100" t="s">
        <v>632</v>
      </c>
      <c r="AS100">
        <v>4.8876822755003081E-2</v>
      </c>
      <c r="AT100">
        <v>-2.7931514574425123E-2</v>
      </c>
      <c r="AX100" t="s">
        <v>543</v>
      </c>
      <c r="AY100">
        <v>-0.10528702583755305</v>
      </c>
      <c r="AZ100">
        <v>-0.14613408221281912</v>
      </c>
    </row>
    <row r="101" spans="23:52">
      <c r="X101" t="s">
        <v>645</v>
      </c>
      <c r="Y101">
        <v>0.12271417839291195</v>
      </c>
      <c r="Z101">
        <v>0.19794656058581989</v>
      </c>
      <c r="AE101" t="s">
        <v>649</v>
      </c>
      <c r="AF101">
        <v>0.14720468149972055</v>
      </c>
      <c r="AG101">
        <v>0.31177936861613886</v>
      </c>
      <c r="AL101" t="s">
        <v>570</v>
      </c>
      <c r="AM101">
        <v>0.21310084507367544</v>
      </c>
      <c r="AN101">
        <v>0.26142610381633807</v>
      </c>
      <c r="AR101" t="s">
        <v>637</v>
      </c>
      <c r="AS101">
        <v>-0.36601029270962548</v>
      </c>
      <c r="AT101">
        <v>-0.42071000479634846</v>
      </c>
      <c r="AX101" t="s">
        <v>643</v>
      </c>
      <c r="AY101">
        <v>0.39445800418348731</v>
      </c>
      <c r="AZ101">
        <v>0.2076067483637048</v>
      </c>
    </row>
    <row r="102" spans="23:52">
      <c r="X102" t="s">
        <v>647</v>
      </c>
      <c r="Y102">
        <v>0.23657881858342006</v>
      </c>
      <c r="Z102">
        <v>0.30984270458537733</v>
      </c>
      <c r="AD102" t="s">
        <v>662</v>
      </c>
      <c r="AE102" t="s">
        <v>493</v>
      </c>
      <c r="AF102" t="s">
        <v>658</v>
      </c>
      <c r="AG102" t="s">
        <v>657</v>
      </c>
      <c r="AH102" t="s">
        <v>663</v>
      </c>
      <c r="AL102" t="s">
        <v>632</v>
      </c>
      <c r="AM102">
        <v>4.8876822755003081E-2</v>
      </c>
      <c r="AN102">
        <v>-2.7931514574425123E-2</v>
      </c>
      <c r="AR102" t="s">
        <v>564</v>
      </c>
      <c r="AS102">
        <v>0.6044536467865419</v>
      </c>
      <c r="AT102">
        <v>0.4303462442772083</v>
      </c>
      <c r="AX102" t="s">
        <v>583</v>
      </c>
      <c r="AY102">
        <v>1.6922802723604764</v>
      </c>
      <c r="AZ102">
        <v>1.772024047810363</v>
      </c>
    </row>
    <row r="103" spans="23:52">
      <c r="X103" t="s">
        <v>649</v>
      </c>
      <c r="Y103">
        <v>0.14720468149972055</v>
      </c>
      <c r="Z103">
        <v>0.31177936861613886</v>
      </c>
      <c r="AE103" t="s">
        <v>569</v>
      </c>
      <c r="AF103">
        <v>-0.21019357042005501</v>
      </c>
      <c r="AG103">
        <v>-0.10654006202836033</v>
      </c>
      <c r="AL103" t="s">
        <v>637</v>
      </c>
      <c r="AM103">
        <v>-0.36601029270962548</v>
      </c>
      <c r="AN103">
        <v>-0.42071000479634846</v>
      </c>
      <c r="AR103" t="s">
        <v>543</v>
      </c>
      <c r="AS103">
        <v>-0.10528702583755305</v>
      </c>
      <c r="AT103">
        <v>-0.14613408221281912</v>
      </c>
      <c r="AX103" t="s">
        <v>587</v>
      </c>
      <c r="AY103">
        <v>1.3661889555801932</v>
      </c>
      <c r="AZ103">
        <v>1.2340618170432602</v>
      </c>
    </row>
    <row r="104" spans="23:52">
      <c r="W104" t="s">
        <v>662</v>
      </c>
      <c r="X104" t="s">
        <v>493</v>
      </c>
      <c r="Y104" t="s">
        <v>658</v>
      </c>
      <c r="Z104" t="s">
        <v>657</v>
      </c>
      <c r="AA104" t="s">
        <v>663</v>
      </c>
      <c r="AE104" t="s">
        <v>570</v>
      </c>
      <c r="AF104">
        <v>0.21310084507367544</v>
      </c>
      <c r="AG104">
        <v>0.26142610381633807</v>
      </c>
      <c r="AL104" t="s">
        <v>564</v>
      </c>
      <c r="AM104">
        <v>0.6044536467865419</v>
      </c>
      <c r="AN104">
        <v>0.4303462442772083</v>
      </c>
      <c r="AR104" t="s">
        <v>643</v>
      </c>
      <c r="AS104">
        <v>0.39445800418348731</v>
      </c>
      <c r="AT104">
        <v>0.2076067483637048</v>
      </c>
      <c r="AX104" t="s">
        <v>645</v>
      </c>
      <c r="AY104">
        <v>0.12271417839291195</v>
      </c>
      <c r="AZ104">
        <v>0.19794656058581989</v>
      </c>
    </row>
    <row r="105" spans="23:52">
      <c r="X105" t="s">
        <v>569</v>
      </c>
      <c r="Y105">
        <v>-0.21019357042005501</v>
      </c>
      <c r="Z105">
        <v>-0.10654006202836033</v>
      </c>
      <c r="AE105" t="s">
        <v>632</v>
      </c>
      <c r="AF105">
        <v>4.8876822755003081E-2</v>
      </c>
      <c r="AG105">
        <v>-2.7931514574425123E-2</v>
      </c>
      <c r="AL105" t="s">
        <v>543</v>
      </c>
      <c r="AM105">
        <v>-0.10528702583755305</v>
      </c>
      <c r="AN105">
        <v>-0.14613408221281912</v>
      </c>
      <c r="AR105" t="s">
        <v>583</v>
      </c>
      <c r="AS105">
        <v>1.6922802723604764</v>
      </c>
      <c r="AT105">
        <v>1.772024047810363</v>
      </c>
      <c r="AX105" t="s">
        <v>546</v>
      </c>
      <c r="AY105">
        <v>-0.10624027580715399</v>
      </c>
      <c r="AZ105">
        <v>-0.15487058884047691</v>
      </c>
    </row>
    <row r="106" spans="23:52">
      <c r="X106" t="s">
        <v>570</v>
      </c>
      <c r="Y106">
        <v>0.21310084507367544</v>
      </c>
      <c r="Z106">
        <v>0.26142610381633807</v>
      </c>
      <c r="AE106" t="s">
        <v>637</v>
      </c>
      <c r="AF106">
        <v>-0.36601029270962548</v>
      </c>
      <c r="AG106">
        <v>-0.42071000479634846</v>
      </c>
      <c r="AL106" t="s">
        <v>643</v>
      </c>
      <c r="AM106">
        <v>0.39445800418348731</v>
      </c>
      <c r="AN106">
        <v>0.2076067483637048</v>
      </c>
      <c r="AR106" t="s">
        <v>587</v>
      </c>
      <c r="AS106">
        <v>1.3661889555801932</v>
      </c>
      <c r="AT106">
        <v>1.2340618170432602</v>
      </c>
      <c r="AX106" t="s">
        <v>552</v>
      </c>
      <c r="AY106">
        <v>0.98762685593398714</v>
      </c>
      <c r="AZ106">
        <v>0.82051518731012685</v>
      </c>
    </row>
    <row r="107" spans="23:52">
      <c r="X107" t="s">
        <v>632</v>
      </c>
      <c r="Y107">
        <v>4.8876822755003081E-2</v>
      </c>
      <c r="Z107">
        <v>-2.7931514574425123E-2</v>
      </c>
      <c r="AE107" t="s">
        <v>564</v>
      </c>
      <c r="AF107">
        <v>0.6044536467865419</v>
      </c>
      <c r="AG107">
        <v>0.4303462442772083</v>
      </c>
      <c r="AL107" t="s">
        <v>583</v>
      </c>
      <c r="AM107">
        <v>1.6922802723604764</v>
      </c>
      <c r="AN107">
        <v>1.772024047810363</v>
      </c>
      <c r="AR107" t="s">
        <v>645</v>
      </c>
      <c r="AS107">
        <v>0.12271417839291195</v>
      </c>
      <c r="AT107">
        <v>0.19794656058581989</v>
      </c>
      <c r="AX107" t="s">
        <v>631</v>
      </c>
      <c r="AY107">
        <v>0.33043911222194378</v>
      </c>
      <c r="AZ107">
        <v>0.26034701613688677</v>
      </c>
    </row>
    <row r="109" spans="23:52">
      <c r="W109" t="s">
        <v>661</v>
      </c>
      <c r="X109" t="s">
        <v>493</v>
      </c>
      <c r="Y109" t="s">
        <v>658</v>
      </c>
      <c r="Z109" t="s">
        <v>657</v>
      </c>
      <c r="AD109" t="s">
        <v>661</v>
      </c>
      <c r="AE109" t="s">
        <v>493</v>
      </c>
      <c r="AF109" t="s">
        <v>658</v>
      </c>
      <c r="AG109" t="s">
        <v>657</v>
      </c>
      <c r="AK109" t="s">
        <v>661</v>
      </c>
      <c r="AL109" t="s">
        <v>493</v>
      </c>
      <c r="AM109" t="s">
        <v>658</v>
      </c>
      <c r="AN109" t="s">
        <v>657</v>
      </c>
      <c r="AQ109" t="s">
        <v>661</v>
      </c>
      <c r="AR109" t="s">
        <v>493</v>
      </c>
      <c r="AS109" t="s">
        <v>658</v>
      </c>
      <c r="AT109" t="s">
        <v>657</v>
      </c>
      <c r="AW109" t="s">
        <v>661</v>
      </c>
      <c r="AX109" t="s">
        <v>493</v>
      </c>
      <c r="AY109" t="s">
        <v>658</v>
      </c>
      <c r="AZ109" t="s">
        <v>657</v>
      </c>
    </row>
    <row r="110" spans="23:52">
      <c r="X110" t="s">
        <v>505</v>
      </c>
      <c r="Y110">
        <v>5.3709138518002505E-2</v>
      </c>
      <c r="Z110">
        <v>0.18962213302692982</v>
      </c>
      <c r="AE110" t="s">
        <v>505</v>
      </c>
      <c r="AF110">
        <v>5.3709138518002505E-2</v>
      </c>
      <c r="AG110">
        <v>0.18962213302692982</v>
      </c>
      <c r="AL110" t="s">
        <v>505</v>
      </c>
      <c r="AM110">
        <v>5.3709138518002505E-2</v>
      </c>
      <c r="AN110">
        <v>0.18962213302692982</v>
      </c>
      <c r="AR110" t="s">
        <v>505</v>
      </c>
      <c r="AS110">
        <v>5.3709138518002505E-2</v>
      </c>
      <c r="AT110">
        <v>0.18962213302692982</v>
      </c>
      <c r="AX110" t="s">
        <v>505</v>
      </c>
      <c r="AY110">
        <v>5.3709138518002505E-2</v>
      </c>
      <c r="AZ110">
        <v>0.18962213302692982</v>
      </c>
    </row>
    <row r="111" spans="23:52">
      <c r="X111" t="s">
        <v>507</v>
      </c>
      <c r="Y111">
        <v>4.8101551520968067E-2</v>
      </c>
      <c r="Z111">
        <v>0.53800324589832094</v>
      </c>
      <c r="AE111" t="s">
        <v>507</v>
      </c>
      <c r="AF111">
        <v>4.8101551520968067E-2</v>
      </c>
      <c r="AG111">
        <v>0.53800324589832094</v>
      </c>
      <c r="AL111" t="s">
        <v>507</v>
      </c>
      <c r="AM111">
        <v>4.8101551520968067E-2</v>
      </c>
      <c r="AN111">
        <v>0.53800324589832094</v>
      </c>
      <c r="AR111" t="s">
        <v>507</v>
      </c>
      <c r="AS111">
        <v>4.8101551520968067E-2</v>
      </c>
      <c r="AT111">
        <v>0.53800324589832094</v>
      </c>
      <c r="AX111" t="s">
        <v>507</v>
      </c>
      <c r="AY111">
        <v>4.8101551520968067E-2</v>
      </c>
      <c r="AZ111">
        <v>0.53800324589832094</v>
      </c>
    </row>
    <row r="112" spans="23:52">
      <c r="X112" t="s">
        <v>509</v>
      </c>
      <c r="Y112">
        <v>0.1204905959189746</v>
      </c>
      <c r="Z112">
        <v>0.28731499820977413</v>
      </c>
      <c r="AE112" t="s">
        <v>509</v>
      </c>
      <c r="AF112">
        <v>0.1204905959189746</v>
      </c>
      <c r="AG112">
        <v>0.28731499820977413</v>
      </c>
      <c r="AL112" t="s">
        <v>509</v>
      </c>
      <c r="AM112">
        <v>0.1204905959189746</v>
      </c>
      <c r="AN112">
        <v>0.28731499820977413</v>
      </c>
      <c r="AR112" t="s">
        <v>509</v>
      </c>
      <c r="AS112">
        <v>0.1204905959189746</v>
      </c>
      <c r="AT112">
        <v>0.28731499820977413</v>
      </c>
      <c r="AX112" t="s">
        <v>509</v>
      </c>
      <c r="AY112">
        <v>0.1204905959189746</v>
      </c>
      <c r="AZ112">
        <v>0.28731499820977413</v>
      </c>
    </row>
    <row r="113" spans="24:52">
      <c r="X113" t="s">
        <v>511</v>
      </c>
      <c r="Y113">
        <v>-0.13185835378866134</v>
      </c>
      <c r="Z113">
        <v>-6.5830308177290631E-2</v>
      </c>
      <c r="AE113" t="s">
        <v>511</v>
      </c>
      <c r="AF113">
        <v>-0.13185835378866134</v>
      </c>
      <c r="AG113">
        <v>-6.5830308177290631E-2</v>
      </c>
      <c r="AL113" t="s">
        <v>511</v>
      </c>
      <c r="AM113">
        <v>-0.13185835378866134</v>
      </c>
      <c r="AN113">
        <v>-6.5830308177290631E-2</v>
      </c>
      <c r="AR113" t="s">
        <v>511</v>
      </c>
      <c r="AS113">
        <v>-0.13185835378866134</v>
      </c>
      <c r="AT113">
        <v>-6.5830308177290631E-2</v>
      </c>
      <c r="AX113" t="s">
        <v>511</v>
      </c>
      <c r="AY113">
        <v>-0.13185835378866134</v>
      </c>
      <c r="AZ113">
        <v>-6.5830308177290631E-2</v>
      </c>
    </row>
    <row r="114" spans="24:52">
      <c r="X114" t="s">
        <v>523</v>
      </c>
      <c r="Y114">
        <v>-0.1182060739244349</v>
      </c>
      <c r="Z114">
        <v>-0.1246183305582894</v>
      </c>
      <c r="AE114" t="s">
        <v>523</v>
      </c>
      <c r="AF114">
        <v>-0.1182060739244349</v>
      </c>
      <c r="AG114">
        <v>-0.1246183305582894</v>
      </c>
      <c r="AL114" t="s">
        <v>523</v>
      </c>
      <c r="AM114">
        <v>-0.1182060739244349</v>
      </c>
      <c r="AN114">
        <v>-0.1246183305582894</v>
      </c>
      <c r="AR114" t="s">
        <v>523</v>
      </c>
      <c r="AS114">
        <v>-0.1182060739244349</v>
      </c>
      <c r="AT114">
        <v>-0.1246183305582894</v>
      </c>
      <c r="AX114" t="s">
        <v>523</v>
      </c>
      <c r="AY114">
        <v>-0.1182060739244349</v>
      </c>
      <c r="AZ114">
        <v>-0.1246183305582894</v>
      </c>
    </row>
    <row r="115" spans="24:52">
      <c r="X115" t="s">
        <v>537</v>
      </c>
      <c r="Y115">
        <v>3.4289431285834268E-2</v>
      </c>
      <c r="Z115">
        <v>-8.2482391068455521E-2</v>
      </c>
      <c r="AE115" t="s">
        <v>537</v>
      </c>
      <c r="AF115">
        <v>3.4289431285834268E-2</v>
      </c>
      <c r="AG115">
        <v>-8.2482391068455521E-2</v>
      </c>
      <c r="AL115" t="s">
        <v>537</v>
      </c>
      <c r="AM115">
        <v>3.4289431285834268E-2</v>
      </c>
      <c r="AN115">
        <v>-8.2482391068455521E-2</v>
      </c>
      <c r="AR115" t="s">
        <v>537</v>
      </c>
      <c r="AS115">
        <v>3.4289431285834268E-2</v>
      </c>
      <c r="AT115">
        <v>-8.2482391068455521E-2</v>
      </c>
      <c r="AX115" t="s">
        <v>537</v>
      </c>
      <c r="AY115">
        <v>3.4289431285834268E-2</v>
      </c>
      <c r="AZ115">
        <v>-8.2482391068455521E-2</v>
      </c>
    </row>
    <row r="116" spans="24:52">
      <c r="X116" t="s">
        <v>539</v>
      </c>
      <c r="Y116">
        <v>-0.13943523885142664</v>
      </c>
      <c r="Z116">
        <v>-0.18615847218189163</v>
      </c>
      <c r="AE116" t="s">
        <v>539</v>
      </c>
      <c r="AF116">
        <v>-0.13943523885142664</v>
      </c>
      <c r="AG116">
        <v>-0.18615847218189163</v>
      </c>
      <c r="AL116" t="s">
        <v>539</v>
      </c>
      <c r="AM116">
        <v>-0.13943523885142664</v>
      </c>
      <c r="AN116">
        <v>-0.18615847218189163</v>
      </c>
      <c r="AR116" t="s">
        <v>539</v>
      </c>
      <c r="AS116">
        <v>-0.13943523885142664</v>
      </c>
      <c r="AT116">
        <v>-0.18615847218189163</v>
      </c>
      <c r="AX116" t="s">
        <v>539</v>
      </c>
      <c r="AY116">
        <v>-0.13943523885142664</v>
      </c>
      <c r="AZ116">
        <v>-0.18615847218189163</v>
      </c>
    </row>
    <row r="117" spans="24:52">
      <c r="X117" t="s">
        <v>541</v>
      </c>
      <c r="Y117">
        <v>-3.7492560947381408E-3</v>
      </c>
      <c r="Z117">
        <v>-6.0275310182389519E-2</v>
      </c>
      <c r="AE117" t="s">
        <v>541</v>
      </c>
      <c r="AF117">
        <v>-3.7492560947381408E-3</v>
      </c>
      <c r="AG117">
        <v>-6.0275310182389519E-2</v>
      </c>
      <c r="AL117" t="s">
        <v>541</v>
      </c>
      <c r="AM117">
        <v>-3.7492560947381408E-3</v>
      </c>
      <c r="AN117">
        <v>-6.0275310182389519E-2</v>
      </c>
      <c r="AR117" t="s">
        <v>541</v>
      </c>
      <c r="AS117">
        <v>-3.7492560947381408E-3</v>
      </c>
      <c r="AT117">
        <v>-6.0275310182389519E-2</v>
      </c>
      <c r="AX117" t="s">
        <v>541</v>
      </c>
      <c r="AY117">
        <v>-3.7492560947381408E-3</v>
      </c>
      <c r="AZ117">
        <v>-6.0275310182389519E-2</v>
      </c>
    </row>
    <row r="118" spans="24:52">
      <c r="X118" t="s">
        <v>543</v>
      </c>
      <c r="Y118">
        <v>-0.10528702583755305</v>
      </c>
      <c r="Z118">
        <v>-0.14613408221281912</v>
      </c>
      <c r="AE118" t="s">
        <v>543</v>
      </c>
      <c r="AF118">
        <v>-0.10528702583755305</v>
      </c>
      <c r="AG118">
        <v>-0.14613408221281912</v>
      </c>
      <c r="AL118" t="s">
        <v>543</v>
      </c>
      <c r="AM118">
        <v>-0.10528702583755305</v>
      </c>
      <c r="AN118">
        <v>-0.14613408221281912</v>
      </c>
      <c r="AR118" t="s">
        <v>543</v>
      </c>
      <c r="AS118">
        <v>-0.10528702583755305</v>
      </c>
      <c r="AT118">
        <v>-0.14613408221281912</v>
      </c>
      <c r="AX118" t="s">
        <v>543</v>
      </c>
      <c r="AY118">
        <v>-0.10528702583755305</v>
      </c>
      <c r="AZ118">
        <v>-0.14613408221281912</v>
      </c>
    </row>
    <row r="119" spans="24:52">
      <c r="X119" t="s">
        <v>546</v>
      </c>
      <c r="Y119">
        <v>-0.10624027580715399</v>
      </c>
      <c r="Z119">
        <v>-0.15487058884047691</v>
      </c>
      <c r="AE119" t="s">
        <v>546</v>
      </c>
      <c r="AF119">
        <v>-0.10624027580715399</v>
      </c>
      <c r="AG119">
        <v>-0.15487058884047691</v>
      </c>
      <c r="AL119" t="s">
        <v>546</v>
      </c>
      <c r="AM119">
        <v>-0.10624027580715399</v>
      </c>
      <c r="AN119">
        <v>-0.15487058884047691</v>
      </c>
      <c r="AR119" t="s">
        <v>546</v>
      </c>
      <c r="AS119">
        <v>-0.10624027580715399</v>
      </c>
      <c r="AT119">
        <v>-0.15487058884047691</v>
      </c>
      <c r="AX119" t="s">
        <v>546</v>
      </c>
      <c r="AY119">
        <v>-0.10624027580715399</v>
      </c>
      <c r="AZ119">
        <v>-0.15487058884047691</v>
      </c>
    </row>
    <row r="120" spans="24:52">
      <c r="X120" t="s">
        <v>552</v>
      </c>
      <c r="Y120">
        <v>0.98762685593398714</v>
      </c>
      <c r="Z120">
        <v>0.82051518731012685</v>
      </c>
      <c r="AE120" t="s">
        <v>552</v>
      </c>
      <c r="AF120">
        <v>0.98762685593398714</v>
      </c>
      <c r="AG120">
        <v>0.82051518731012685</v>
      </c>
      <c r="AL120" t="s">
        <v>552</v>
      </c>
      <c r="AM120">
        <v>0.98762685593398714</v>
      </c>
      <c r="AN120">
        <v>0.82051518731012685</v>
      </c>
      <c r="AR120" t="s">
        <v>552</v>
      </c>
      <c r="AS120">
        <v>0.98762685593398714</v>
      </c>
      <c r="AT120">
        <v>0.82051518731012685</v>
      </c>
      <c r="AX120" t="s">
        <v>552</v>
      </c>
      <c r="AY120">
        <v>0.98762685593398714</v>
      </c>
      <c r="AZ120">
        <v>0.82051518731012685</v>
      </c>
    </row>
    <row r="121" spans="24:52">
      <c r="X121" t="s">
        <v>553</v>
      </c>
      <c r="Y121">
        <v>0.26217472028499328</v>
      </c>
      <c r="Z121">
        <v>-4.4136443259376434E-2</v>
      </c>
      <c r="AE121" t="s">
        <v>553</v>
      </c>
      <c r="AF121">
        <v>0.26217472028499328</v>
      </c>
      <c r="AG121">
        <v>-4.4136443259376434E-2</v>
      </c>
      <c r="AL121" t="s">
        <v>553</v>
      </c>
      <c r="AM121">
        <v>0.26217472028499328</v>
      </c>
      <c r="AN121">
        <v>-4.4136443259376434E-2</v>
      </c>
      <c r="AR121" t="s">
        <v>553</v>
      </c>
      <c r="AS121">
        <v>0.26217472028499328</v>
      </c>
      <c r="AT121">
        <v>-4.4136443259376434E-2</v>
      </c>
      <c r="AX121" t="s">
        <v>553</v>
      </c>
      <c r="AY121">
        <v>0.26217472028499328</v>
      </c>
      <c r="AZ121">
        <v>-4.4136443259376434E-2</v>
      </c>
    </row>
    <row r="122" spans="24:52">
      <c r="X122" t="s">
        <v>564</v>
      </c>
      <c r="Y122">
        <v>0.6044536467865419</v>
      </c>
      <c r="Z122">
        <v>0.4303462442772083</v>
      </c>
      <c r="AE122" t="s">
        <v>564</v>
      </c>
      <c r="AF122">
        <v>0.6044536467865419</v>
      </c>
      <c r="AG122">
        <v>0.4303462442772083</v>
      </c>
      <c r="AL122" t="s">
        <v>564</v>
      </c>
      <c r="AM122">
        <v>0.6044536467865419</v>
      </c>
      <c r="AN122">
        <v>0.4303462442772083</v>
      </c>
      <c r="AR122" t="s">
        <v>564</v>
      </c>
      <c r="AS122">
        <v>0.6044536467865419</v>
      </c>
      <c r="AT122">
        <v>0.4303462442772083</v>
      </c>
      <c r="AX122" t="s">
        <v>564</v>
      </c>
      <c r="AY122">
        <v>0.6044536467865419</v>
      </c>
      <c r="AZ122">
        <v>0.4303462442772083</v>
      </c>
    </row>
    <row r="123" spans="24:52">
      <c r="X123" t="s">
        <v>567</v>
      </c>
      <c r="Y123">
        <v>0.98295579380873122</v>
      </c>
      <c r="Z123">
        <v>1.2810438518635869</v>
      </c>
      <c r="AE123" t="s">
        <v>567</v>
      </c>
      <c r="AF123">
        <v>0.98295579380873122</v>
      </c>
      <c r="AG123">
        <v>1.2810438518635869</v>
      </c>
      <c r="AL123" t="s">
        <v>570</v>
      </c>
      <c r="AM123">
        <v>0.21310084507367544</v>
      </c>
      <c r="AN123">
        <v>0.26142610381633807</v>
      </c>
      <c r="AR123" t="s">
        <v>570</v>
      </c>
      <c r="AS123">
        <v>0.21310084507367544</v>
      </c>
      <c r="AT123">
        <v>0.26142610381633807</v>
      </c>
      <c r="AX123" t="s">
        <v>570</v>
      </c>
      <c r="AY123">
        <v>0.21310084507367544</v>
      </c>
      <c r="AZ123">
        <v>0.26142610381633807</v>
      </c>
    </row>
    <row r="124" spans="24:52">
      <c r="X124" t="s">
        <v>569</v>
      </c>
      <c r="Y124">
        <v>-0.21019357042005501</v>
      </c>
      <c r="Z124">
        <v>-0.10654006202836033</v>
      </c>
      <c r="AE124" t="s">
        <v>569</v>
      </c>
      <c r="AF124">
        <v>-0.21019357042005501</v>
      </c>
      <c r="AG124">
        <v>-0.10654006202836033</v>
      </c>
      <c r="AL124" t="s">
        <v>575</v>
      </c>
      <c r="AM124">
        <v>0.43837763469490282</v>
      </c>
      <c r="AN124">
        <v>0.35244931326213197</v>
      </c>
      <c r="AR124" t="s">
        <v>575</v>
      </c>
      <c r="AS124">
        <v>0.43837763469490282</v>
      </c>
      <c r="AT124">
        <v>0.35244931326213197</v>
      </c>
      <c r="AX124" t="s">
        <v>575</v>
      </c>
      <c r="AY124">
        <v>0.43837763469490282</v>
      </c>
      <c r="AZ124">
        <v>0.35244931326213197</v>
      </c>
    </row>
    <row r="125" spans="24:52">
      <c r="X125" t="s">
        <v>570</v>
      </c>
      <c r="Y125">
        <v>0.21310084507367544</v>
      </c>
      <c r="Z125">
        <v>0.26142610381633807</v>
      </c>
      <c r="AE125" t="s">
        <v>570</v>
      </c>
      <c r="AF125">
        <v>0.21310084507367544</v>
      </c>
      <c r="AG125">
        <v>0.26142610381633807</v>
      </c>
      <c r="AL125" t="s">
        <v>577</v>
      </c>
      <c r="AM125">
        <v>-0.34130832709215542</v>
      </c>
      <c r="AN125">
        <v>-0.34205992665819801</v>
      </c>
      <c r="AR125" t="s">
        <v>577</v>
      </c>
      <c r="AS125">
        <v>-0.34130832709215542</v>
      </c>
      <c r="AT125">
        <v>-0.34205992665819801</v>
      </c>
      <c r="AX125" t="s">
        <v>577</v>
      </c>
      <c r="AY125">
        <v>-0.34130832709215542</v>
      </c>
      <c r="AZ125">
        <v>-0.34205992665819801</v>
      </c>
    </row>
    <row r="126" spans="24:52">
      <c r="X126" t="s">
        <v>575</v>
      </c>
      <c r="Y126">
        <v>0.43837763469490282</v>
      </c>
      <c r="Z126">
        <v>0.35244931326213197</v>
      </c>
      <c r="AE126" t="s">
        <v>575</v>
      </c>
      <c r="AF126">
        <v>0.43837763469490282</v>
      </c>
      <c r="AG126">
        <v>0.35244931326213197</v>
      </c>
      <c r="AL126" t="s">
        <v>579</v>
      </c>
      <c r="AM126">
        <v>1.7008359974440783</v>
      </c>
      <c r="AN126">
        <v>1.744050011810474</v>
      </c>
      <c r="AR126" t="s">
        <v>579</v>
      </c>
      <c r="AS126">
        <v>1.7008359974440783</v>
      </c>
      <c r="AT126">
        <v>1.744050011810474</v>
      </c>
      <c r="AX126" t="s">
        <v>579</v>
      </c>
      <c r="AY126">
        <v>1.7008359974440783</v>
      </c>
      <c r="AZ126">
        <v>1.744050011810474</v>
      </c>
    </row>
    <row r="127" spans="24:52">
      <c r="X127" t="s">
        <v>577</v>
      </c>
      <c r="Y127">
        <v>-0.34130832709215542</v>
      </c>
      <c r="Z127">
        <v>-0.34205992665819801</v>
      </c>
      <c r="AE127" t="s">
        <v>577</v>
      </c>
      <c r="AF127">
        <v>-0.34130832709215542</v>
      </c>
      <c r="AG127">
        <v>-0.34205992665819801</v>
      </c>
      <c r="AL127" t="s">
        <v>581</v>
      </c>
      <c r="AM127">
        <v>1.6471918529170699</v>
      </c>
      <c r="AN127">
        <v>1.7451259362720077</v>
      </c>
      <c r="AR127" t="s">
        <v>581</v>
      </c>
      <c r="AS127">
        <v>1.6471918529170699</v>
      </c>
      <c r="AT127">
        <v>1.7451259362720077</v>
      </c>
      <c r="AX127" t="s">
        <v>581</v>
      </c>
      <c r="AY127">
        <v>1.6471918529170699</v>
      </c>
      <c r="AZ127">
        <v>1.7451259362720077</v>
      </c>
    </row>
    <row r="128" spans="24:52">
      <c r="X128" t="s">
        <v>579</v>
      </c>
      <c r="Y128">
        <v>1.7008359974440783</v>
      </c>
      <c r="Z128">
        <v>1.744050011810474</v>
      </c>
      <c r="AE128" t="s">
        <v>579</v>
      </c>
      <c r="AF128">
        <v>1.7008359974440783</v>
      </c>
      <c r="AG128">
        <v>1.744050011810474</v>
      </c>
      <c r="AL128" t="s">
        <v>585</v>
      </c>
      <c r="AM128">
        <v>1.7213258636602609</v>
      </c>
      <c r="AN128">
        <v>1.8177508374255666</v>
      </c>
      <c r="AR128" t="s">
        <v>585</v>
      </c>
      <c r="AS128">
        <v>1.7213258636602609</v>
      </c>
      <c r="AT128">
        <v>1.8177508374255666</v>
      </c>
      <c r="AX128" t="s">
        <v>594</v>
      </c>
      <c r="AY128">
        <v>0.45589855543966257</v>
      </c>
      <c r="AZ128">
        <v>0.56010273433823354</v>
      </c>
    </row>
    <row r="129" spans="24:52">
      <c r="X129" t="s">
        <v>581</v>
      </c>
      <c r="Y129">
        <v>1.6471918529170699</v>
      </c>
      <c r="Z129">
        <v>1.7451259362720077</v>
      </c>
      <c r="AE129" t="s">
        <v>581</v>
      </c>
      <c r="AF129">
        <v>1.6471918529170699</v>
      </c>
      <c r="AG129">
        <v>1.7451259362720077</v>
      </c>
      <c r="AL129" t="s">
        <v>587</v>
      </c>
      <c r="AM129">
        <v>1.3661889555801932</v>
      </c>
      <c r="AN129">
        <v>1.2340618170432602</v>
      </c>
      <c r="AR129" t="s">
        <v>592</v>
      </c>
      <c r="AS129">
        <v>-0.16329511949894926</v>
      </c>
      <c r="AT129">
        <v>-0.12343207607444745</v>
      </c>
      <c r="AX129" t="s">
        <v>599</v>
      </c>
      <c r="AY129">
        <v>1.1801838220375576</v>
      </c>
      <c r="AZ129">
        <v>0.84151077725250512</v>
      </c>
    </row>
    <row r="130" spans="24:52">
      <c r="X130" t="s">
        <v>583</v>
      </c>
      <c r="Y130">
        <v>1.6922802723604764</v>
      </c>
      <c r="Z130">
        <v>1.772024047810363</v>
      </c>
      <c r="AE130" t="s">
        <v>585</v>
      </c>
      <c r="AF130">
        <v>1.7213258636602609</v>
      </c>
      <c r="AG130">
        <v>1.8177508374255666</v>
      </c>
      <c r="AL130" t="s">
        <v>592</v>
      </c>
      <c r="AM130">
        <v>-0.16329511949894926</v>
      </c>
      <c r="AN130">
        <v>-0.12343207607444745</v>
      </c>
      <c r="AR130" t="s">
        <v>594</v>
      </c>
      <c r="AS130">
        <v>0.45589855543966257</v>
      </c>
      <c r="AT130">
        <v>0.56010273433823354</v>
      </c>
      <c r="AX130" t="s">
        <v>601</v>
      </c>
      <c r="AY130">
        <v>0.42287720689968328</v>
      </c>
      <c r="AZ130">
        <v>0.29822272040080777</v>
      </c>
    </row>
    <row r="131" spans="24:52">
      <c r="X131" t="s">
        <v>585</v>
      </c>
      <c r="Y131">
        <v>1.7213258636602609</v>
      </c>
      <c r="Z131">
        <v>1.8177508374255666</v>
      </c>
      <c r="AE131" t="s">
        <v>587</v>
      </c>
      <c r="AF131">
        <v>1.3661889555801932</v>
      </c>
      <c r="AG131">
        <v>1.2340618170432602</v>
      </c>
      <c r="AL131" t="s">
        <v>594</v>
      </c>
      <c r="AM131">
        <v>0.45589855543966257</v>
      </c>
      <c r="AN131">
        <v>0.56010273433823354</v>
      </c>
      <c r="AR131" t="s">
        <v>599</v>
      </c>
      <c r="AS131">
        <v>1.1801838220375576</v>
      </c>
      <c r="AT131">
        <v>0.84151077725250512</v>
      </c>
      <c r="AX131" t="s">
        <v>603</v>
      </c>
      <c r="AY131">
        <v>0.85762730077512939</v>
      </c>
      <c r="AZ131">
        <v>0.59489095859450614</v>
      </c>
    </row>
    <row r="132" spans="24:52">
      <c r="X132" t="s">
        <v>587</v>
      </c>
      <c r="Y132">
        <v>1.3661889555801932</v>
      </c>
      <c r="Z132">
        <v>1.2340618170432602</v>
      </c>
      <c r="AE132" t="s">
        <v>592</v>
      </c>
      <c r="AF132">
        <v>-0.16329511949894926</v>
      </c>
      <c r="AG132">
        <v>-0.12343207607444745</v>
      </c>
      <c r="AL132" t="s">
        <v>599</v>
      </c>
      <c r="AM132">
        <v>1.1801838220375576</v>
      </c>
      <c r="AN132">
        <v>0.84151077725250512</v>
      </c>
      <c r="AR132" t="s">
        <v>601</v>
      </c>
      <c r="AS132">
        <v>0.42287720689968328</v>
      </c>
      <c r="AT132">
        <v>0.29822272040080777</v>
      </c>
      <c r="AX132" t="s">
        <v>605</v>
      </c>
      <c r="AY132">
        <v>1.1968849366948704E-2</v>
      </c>
      <c r="AZ132">
        <v>0.75506024676823169</v>
      </c>
    </row>
    <row r="133" spans="24:52">
      <c r="X133" t="s">
        <v>592</v>
      </c>
      <c r="Y133">
        <v>-0.16329511949894926</v>
      </c>
      <c r="Z133">
        <v>-0.12343207607444745</v>
      </c>
      <c r="AE133" t="s">
        <v>594</v>
      </c>
      <c r="AF133">
        <v>0.45589855543966257</v>
      </c>
      <c r="AG133">
        <v>0.56010273433823354</v>
      </c>
      <c r="AL133" t="s">
        <v>601</v>
      </c>
      <c r="AM133">
        <v>0.42287720689968328</v>
      </c>
      <c r="AN133">
        <v>0.29822272040080777</v>
      </c>
      <c r="AR133" t="s">
        <v>603</v>
      </c>
      <c r="AS133">
        <v>0.85762730077512939</v>
      </c>
      <c r="AT133">
        <v>0.59489095859450614</v>
      </c>
      <c r="AX133" t="s">
        <v>608</v>
      </c>
      <c r="AY133">
        <v>1.561796529281132</v>
      </c>
      <c r="AZ133">
        <v>1.3976023351964593</v>
      </c>
    </row>
    <row r="134" spans="24:52">
      <c r="X134" t="s">
        <v>594</v>
      </c>
      <c r="Y134">
        <v>0.45589855543966257</v>
      </c>
      <c r="Z134">
        <v>0.56010273433823354</v>
      </c>
      <c r="AE134" t="s">
        <v>599</v>
      </c>
      <c r="AF134">
        <v>1.1801838220375576</v>
      </c>
      <c r="AG134">
        <v>0.84151077725250512</v>
      </c>
      <c r="AL134" t="s">
        <v>603</v>
      </c>
      <c r="AM134">
        <v>0.85762730077512939</v>
      </c>
      <c r="AN134">
        <v>0.59489095859450614</v>
      </c>
      <c r="AR134" t="s">
        <v>605</v>
      </c>
      <c r="AS134">
        <v>1.1968849366948704E-2</v>
      </c>
      <c r="AT134">
        <v>0.75506024676823169</v>
      </c>
      <c r="AX134" t="s">
        <v>610</v>
      </c>
      <c r="AY134">
        <v>1.0606090933315773</v>
      </c>
      <c r="AZ134">
        <v>1.4045958441964319</v>
      </c>
    </row>
    <row r="135" spans="24:52">
      <c r="X135" t="s">
        <v>599</v>
      </c>
      <c r="Y135">
        <v>1.1801838220375576</v>
      </c>
      <c r="Z135">
        <v>0.84151077725250512</v>
      </c>
      <c r="AE135" t="s">
        <v>601</v>
      </c>
      <c r="AF135">
        <v>0.42287720689968328</v>
      </c>
      <c r="AG135">
        <v>0.29822272040080777</v>
      </c>
      <c r="AL135" t="s">
        <v>605</v>
      </c>
      <c r="AM135">
        <v>1.1968849366948704E-2</v>
      </c>
      <c r="AN135">
        <v>0.75506024676823169</v>
      </c>
      <c r="AR135" t="s">
        <v>608</v>
      </c>
      <c r="AS135">
        <v>1.561796529281132</v>
      </c>
      <c r="AT135">
        <v>1.3976023351964593</v>
      </c>
      <c r="AX135" t="s">
        <v>612</v>
      </c>
      <c r="AY135">
        <v>1.3196876721945343</v>
      </c>
      <c r="AZ135">
        <v>1.7887008769641433</v>
      </c>
    </row>
    <row r="136" spans="24:52">
      <c r="X136" t="s">
        <v>601</v>
      </c>
      <c r="Y136">
        <v>0.42287720689968328</v>
      </c>
      <c r="Z136">
        <v>0.29822272040080777</v>
      </c>
      <c r="AE136" t="s">
        <v>603</v>
      </c>
      <c r="AF136">
        <v>0.85762730077512939</v>
      </c>
      <c r="AG136">
        <v>0.59489095859450614</v>
      </c>
      <c r="AL136" t="s">
        <v>608</v>
      </c>
      <c r="AM136">
        <v>1.561796529281132</v>
      </c>
      <c r="AN136">
        <v>1.3976023351964593</v>
      </c>
      <c r="AR136" t="s">
        <v>610</v>
      </c>
      <c r="AS136">
        <v>1.0606090933315773</v>
      </c>
      <c r="AT136">
        <v>1.4045958441964319</v>
      </c>
      <c r="AX136" t="s">
        <v>616</v>
      </c>
      <c r="AY136">
        <v>0.14571313948953526</v>
      </c>
      <c r="AZ136">
        <v>0.15652346881675303</v>
      </c>
    </row>
    <row r="137" spans="24:52">
      <c r="X137" t="s">
        <v>603</v>
      </c>
      <c r="Y137">
        <v>0.85762730077512939</v>
      </c>
      <c r="Z137">
        <v>0.59489095859450614</v>
      </c>
      <c r="AE137" t="s">
        <v>605</v>
      </c>
      <c r="AF137">
        <v>1.1968849366948704E-2</v>
      </c>
      <c r="AG137">
        <v>0.75506024676823169</v>
      </c>
      <c r="AL137" t="s">
        <v>610</v>
      </c>
      <c r="AM137">
        <v>1.0606090933315773</v>
      </c>
      <c r="AN137">
        <v>1.4045958441964319</v>
      </c>
      <c r="AR137" t="s">
        <v>612</v>
      </c>
      <c r="AS137">
        <v>1.3196876721945343</v>
      </c>
      <c r="AT137">
        <v>1.7887008769641433</v>
      </c>
      <c r="AX137" t="s">
        <v>619</v>
      </c>
      <c r="AY137">
        <v>-0.1689186414022584</v>
      </c>
      <c r="AZ137">
        <v>2.8703642786489337E-2</v>
      </c>
    </row>
    <row r="138" spans="24:52">
      <c r="X138" t="s">
        <v>605</v>
      </c>
      <c r="Y138">
        <v>1.1968849366948704E-2</v>
      </c>
      <c r="Z138">
        <v>0.75506024676823169</v>
      </c>
      <c r="AE138" t="s">
        <v>608</v>
      </c>
      <c r="AF138">
        <v>1.561796529281132</v>
      </c>
      <c r="AG138">
        <v>1.3976023351964593</v>
      </c>
      <c r="AL138" t="s">
        <v>612</v>
      </c>
      <c r="AM138">
        <v>1.3196876721945343</v>
      </c>
      <c r="AN138">
        <v>1.7887008769641433</v>
      </c>
      <c r="AR138" t="s">
        <v>616</v>
      </c>
      <c r="AS138">
        <v>0.14571313948953526</v>
      </c>
      <c r="AT138">
        <v>0.15652346881675303</v>
      </c>
      <c r="AX138" t="s">
        <v>621</v>
      </c>
      <c r="AY138">
        <v>0.30773117184948012</v>
      </c>
      <c r="AZ138">
        <v>0.17922547495512475</v>
      </c>
    </row>
    <row r="139" spans="24:52">
      <c r="X139" t="s">
        <v>608</v>
      </c>
      <c r="Y139">
        <v>1.561796529281132</v>
      </c>
      <c r="Z139">
        <v>1.3976023351964593</v>
      </c>
      <c r="AE139" t="s">
        <v>610</v>
      </c>
      <c r="AF139">
        <v>1.0606090933315773</v>
      </c>
      <c r="AG139">
        <v>1.4045958441964319</v>
      </c>
      <c r="AL139" t="s">
        <v>616</v>
      </c>
      <c r="AM139">
        <v>0.14571313948953526</v>
      </c>
      <c r="AN139">
        <v>0.15652346881675303</v>
      </c>
      <c r="AR139" t="s">
        <v>619</v>
      </c>
      <c r="AS139">
        <v>-0.1689186414022584</v>
      </c>
      <c r="AT139">
        <v>2.8703642786489337E-2</v>
      </c>
      <c r="AX139" t="s">
        <v>625</v>
      </c>
      <c r="AY139">
        <v>5.3019028814445417E-2</v>
      </c>
      <c r="AZ139">
        <v>0.20225025843195676</v>
      </c>
    </row>
    <row r="140" spans="24:52">
      <c r="X140" t="s">
        <v>610</v>
      </c>
      <c r="Y140">
        <v>1.0606090933315773</v>
      </c>
      <c r="Z140">
        <v>1.4045958441964319</v>
      </c>
      <c r="AE140" t="s">
        <v>612</v>
      </c>
      <c r="AF140">
        <v>1.3196876721945343</v>
      </c>
      <c r="AG140">
        <v>1.7887008769641433</v>
      </c>
      <c r="AL140" t="s">
        <v>619</v>
      </c>
      <c r="AM140">
        <v>-0.1689186414022584</v>
      </c>
      <c r="AN140">
        <v>2.8703642786489337E-2</v>
      </c>
      <c r="AR140" t="s">
        <v>621</v>
      </c>
      <c r="AS140">
        <v>0.30773117184948012</v>
      </c>
      <c r="AT140">
        <v>0.17922547495512475</v>
      </c>
      <c r="AX140" t="s">
        <v>629</v>
      </c>
      <c r="AY140">
        <v>-7.003888272223989E-2</v>
      </c>
      <c r="AZ140">
        <v>-0.12698262679751032</v>
      </c>
    </row>
    <row r="141" spans="24:52">
      <c r="X141" t="s">
        <v>612</v>
      </c>
      <c r="Y141">
        <v>1.3196876721945343</v>
      </c>
      <c r="Z141">
        <v>1.7887008769641433</v>
      </c>
      <c r="AE141" t="s">
        <v>616</v>
      </c>
      <c r="AF141">
        <v>0.14571313948953526</v>
      </c>
      <c r="AG141">
        <v>0.15652346881675303</v>
      </c>
      <c r="AL141" t="s">
        <v>621</v>
      </c>
      <c r="AM141">
        <v>0.30773117184948012</v>
      </c>
      <c r="AN141">
        <v>0.17922547495512475</v>
      </c>
      <c r="AR141" t="s">
        <v>625</v>
      </c>
      <c r="AS141">
        <v>5.3019028814445417E-2</v>
      </c>
      <c r="AT141">
        <v>0.20225025843195676</v>
      </c>
      <c r="AX141" t="s">
        <v>634</v>
      </c>
      <c r="AY141">
        <v>0.10512830278385633</v>
      </c>
      <c r="AZ141">
        <v>4.1937513663360036E-2</v>
      </c>
    </row>
    <row r="142" spans="24:52">
      <c r="X142" t="s">
        <v>616</v>
      </c>
      <c r="Y142">
        <v>0.14571313948953526</v>
      </c>
      <c r="Z142">
        <v>0.15652346881675303</v>
      </c>
      <c r="AE142" t="s">
        <v>619</v>
      </c>
      <c r="AF142">
        <v>-0.1689186414022584</v>
      </c>
      <c r="AG142">
        <v>2.8703642786489337E-2</v>
      </c>
      <c r="AL142" t="s">
        <v>623</v>
      </c>
      <c r="AM142">
        <v>1.0414235169117378</v>
      </c>
      <c r="AN142">
        <v>1.1530158703141651</v>
      </c>
      <c r="AR142" t="s">
        <v>629</v>
      </c>
      <c r="AS142">
        <v>-7.003888272223989E-2</v>
      </c>
      <c r="AT142">
        <v>-0.12698262679751032</v>
      </c>
      <c r="AX142" t="s">
        <v>637</v>
      </c>
      <c r="AY142">
        <v>-0.36601029270962548</v>
      </c>
      <c r="AZ142">
        <v>-0.42071000479634846</v>
      </c>
    </row>
    <row r="143" spans="24:52">
      <c r="X143" t="s">
        <v>619</v>
      </c>
      <c r="Y143">
        <v>-0.1689186414022584</v>
      </c>
      <c r="Z143">
        <v>2.8703642786489337E-2</v>
      </c>
      <c r="AE143" t="s">
        <v>621</v>
      </c>
      <c r="AF143">
        <v>0.30773117184948012</v>
      </c>
      <c r="AG143">
        <v>0.17922547495512475</v>
      </c>
      <c r="AL143" t="s">
        <v>625</v>
      </c>
      <c r="AM143">
        <v>5.3019028814445417E-2</v>
      </c>
      <c r="AN143">
        <v>0.20225025843195676</v>
      </c>
      <c r="AR143" t="s">
        <v>634</v>
      </c>
      <c r="AS143">
        <v>0.10512830278385633</v>
      </c>
      <c r="AT143">
        <v>4.1937513663360036E-2</v>
      </c>
      <c r="AX143" t="s">
        <v>639</v>
      </c>
      <c r="AY143">
        <v>5.4638276163539182E-2</v>
      </c>
      <c r="AZ143">
        <v>1.8267175509607474E-2</v>
      </c>
    </row>
    <row r="144" spans="24:52">
      <c r="X144" t="s">
        <v>621</v>
      </c>
      <c r="Y144">
        <v>0.30773117184948012</v>
      </c>
      <c r="Z144">
        <v>0.17922547495512475</v>
      </c>
      <c r="AE144" t="s">
        <v>623</v>
      </c>
      <c r="AF144">
        <v>1.0414235169117378</v>
      </c>
      <c r="AG144">
        <v>1.1530158703141651</v>
      </c>
      <c r="AL144" t="s">
        <v>629</v>
      </c>
      <c r="AM144">
        <v>-7.003888272223989E-2</v>
      </c>
      <c r="AN144">
        <v>-0.12698262679751032</v>
      </c>
      <c r="AR144" t="s">
        <v>637</v>
      </c>
      <c r="AS144">
        <v>-0.36601029270962548</v>
      </c>
      <c r="AT144">
        <v>-0.42071000479634846</v>
      </c>
      <c r="AX144" t="s">
        <v>641</v>
      </c>
      <c r="AY144">
        <v>0.33820694363615067</v>
      </c>
      <c r="AZ144">
        <v>0.35114811173684146</v>
      </c>
    </row>
    <row r="145" spans="23:53">
      <c r="X145" t="s">
        <v>623</v>
      </c>
      <c r="Y145">
        <v>1.0414235169117378</v>
      </c>
      <c r="Z145">
        <v>1.1530158703141651</v>
      </c>
      <c r="AE145" t="s">
        <v>625</v>
      </c>
      <c r="AF145">
        <v>5.3019028814445417E-2</v>
      </c>
      <c r="AG145">
        <v>0.20225025843195676</v>
      </c>
      <c r="AL145" t="s">
        <v>634</v>
      </c>
      <c r="AM145">
        <v>0.10512830278385633</v>
      </c>
      <c r="AN145">
        <v>4.1937513663360036E-2</v>
      </c>
      <c r="AR145" t="s">
        <v>639</v>
      </c>
      <c r="AS145">
        <v>5.4638276163539182E-2</v>
      </c>
      <c r="AT145">
        <v>1.8267175509607474E-2</v>
      </c>
      <c r="AX145" t="s">
        <v>643</v>
      </c>
      <c r="AY145">
        <v>0.39445800418348731</v>
      </c>
      <c r="AZ145">
        <v>0.2076067483637048</v>
      </c>
    </row>
    <row r="146" spans="23:53">
      <c r="X146" t="s">
        <v>625</v>
      </c>
      <c r="Y146">
        <v>5.3019028814445417E-2</v>
      </c>
      <c r="Z146">
        <v>0.20225025843195676</v>
      </c>
      <c r="AE146" t="s">
        <v>629</v>
      </c>
      <c r="AF146">
        <v>-7.003888272223989E-2</v>
      </c>
      <c r="AG146">
        <v>-0.12698262679751032</v>
      </c>
      <c r="AL146" t="s">
        <v>637</v>
      </c>
      <c r="AM146">
        <v>-0.36601029270962548</v>
      </c>
      <c r="AN146">
        <v>-0.42071000479634846</v>
      </c>
      <c r="AR146" t="s">
        <v>641</v>
      </c>
      <c r="AS146">
        <v>0.33820694363615067</v>
      </c>
      <c r="AT146">
        <v>0.35114811173684146</v>
      </c>
      <c r="AX146" t="s">
        <v>645</v>
      </c>
      <c r="AY146">
        <v>0.12271417839291195</v>
      </c>
      <c r="AZ146">
        <v>0.19794656058581989</v>
      </c>
    </row>
    <row r="147" spans="23:53">
      <c r="X147" t="s">
        <v>629</v>
      </c>
      <c r="Y147">
        <v>-7.003888272223989E-2</v>
      </c>
      <c r="Z147">
        <v>-0.12698262679751032</v>
      </c>
      <c r="AE147" t="s">
        <v>631</v>
      </c>
      <c r="AF147">
        <v>0.33043911222194378</v>
      </c>
      <c r="AG147">
        <v>0.26034701613688677</v>
      </c>
      <c r="AL147" t="s">
        <v>639</v>
      </c>
      <c r="AM147">
        <v>5.4638276163539182E-2</v>
      </c>
      <c r="AN147">
        <v>1.8267175509607474E-2</v>
      </c>
      <c r="AR147" t="s">
        <v>643</v>
      </c>
      <c r="AS147">
        <v>0.39445800418348731</v>
      </c>
      <c r="AT147">
        <v>0.2076067483637048</v>
      </c>
      <c r="AX147" t="s">
        <v>649</v>
      </c>
      <c r="AY147">
        <v>0.14720468149972055</v>
      </c>
      <c r="AZ147">
        <v>0.31177936861613886</v>
      </c>
    </row>
    <row r="148" spans="23:53">
      <c r="X148" t="s">
        <v>631</v>
      </c>
      <c r="Y148">
        <v>0.33043911222194378</v>
      </c>
      <c r="Z148">
        <v>0.26034701613688677</v>
      </c>
      <c r="AE148" t="s">
        <v>634</v>
      </c>
      <c r="AF148">
        <v>0.10512830278385633</v>
      </c>
      <c r="AG148">
        <v>4.1937513663360036E-2</v>
      </c>
      <c r="AL148" t="s">
        <v>641</v>
      </c>
      <c r="AM148">
        <v>0.33820694363615067</v>
      </c>
      <c r="AN148">
        <v>0.35114811173684146</v>
      </c>
      <c r="AR148" t="s">
        <v>645</v>
      </c>
      <c r="AS148">
        <v>0.12271417839291195</v>
      </c>
      <c r="AT148">
        <v>0.19794656058581989</v>
      </c>
      <c r="AW148" t="s">
        <v>662</v>
      </c>
      <c r="AX148" t="s">
        <v>493</v>
      </c>
      <c r="AY148" t="s">
        <v>658</v>
      </c>
      <c r="AZ148" t="s">
        <v>657</v>
      </c>
      <c r="BA148" t="s">
        <v>663</v>
      </c>
    </row>
    <row r="149" spans="23:53">
      <c r="X149" t="s">
        <v>632</v>
      </c>
      <c r="Y149">
        <v>4.8876822755003081E-2</v>
      </c>
      <c r="Z149">
        <v>-2.7931514574425123E-2</v>
      </c>
      <c r="AE149" t="s">
        <v>637</v>
      </c>
      <c r="AF149">
        <v>-0.36601029270962548</v>
      </c>
      <c r="AG149">
        <v>-0.42071000479634846</v>
      </c>
      <c r="AL149" t="s">
        <v>643</v>
      </c>
      <c r="AM149">
        <v>0.39445800418348731</v>
      </c>
      <c r="AN149">
        <v>0.2076067483637048</v>
      </c>
      <c r="AR149" t="s">
        <v>647</v>
      </c>
      <c r="AS149">
        <v>0.23657881858342006</v>
      </c>
      <c r="AT149">
        <v>0.30984270458537733</v>
      </c>
      <c r="AX149" t="s">
        <v>572</v>
      </c>
      <c r="AY149">
        <v>-0.22154383241902262</v>
      </c>
      <c r="AZ149">
        <v>-0.15172888941279702</v>
      </c>
    </row>
    <row r="150" spans="23:53">
      <c r="X150" t="s">
        <v>634</v>
      </c>
      <c r="Y150">
        <v>0.10512830278385633</v>
      </c>
      <c r="Z150">
        <v>4.1937513663360036E-2</v>
      </c>
      <c r="AE150" t="s">
        <v>639</v>
      </c>
      <c r="AF150">
        <v>5.4638276163539182E-2</v>
      </c>
      <c r="AG150">
        <v>1.8267175509607474E-2</v>
      </c>
      <c r="AL150" t="s">
        <v>645</v>
      </c>
      <c r="AM150">
        <v>0.12271417839291195</v>
      </c>
      <c r="AN150">
        <v>0.19794656058581989</v>
      </c>
      <c r="AR150" t="s">
        <v>649</v>
      </c>
      <c r="AS150">
        <v>0.14720468149972055</v>
      </c>
      <c r="AT150">
        <v>0.31177936861613886</v>
      </c>
      <c r="AX150" t="s">
        <v>590</v>
      </c>
      <c r="AY150">
        <v>-0.27801879244310546</v>
      </c>
      <c r="AZ150">
        <v>-0.25491004527392741</v>
      </c>
    </row>
    <row r="151" spans="23:53">
      <c r="X151" t="s">
        <v>637</v>
      </c>
      <c r="Y151">
        <v>-0.36601029270962548</v>
      </c>
      <c r="Z151">
        <v>-0.42071000479634846</v>
      </c>
      <c r="AE151" t="s">
        <v>641</v>
      </c>
      <c r="AF151">
        <v>0.33820694363615067</v>
      </c>
      <c r="AG151">
        <v>0.35114811173684146</v>
      </c>
      <c r="AL151" t="s">
        <v>647</v>
      </c>
      <c r="AM151">
        <v>0.23657881858342006</v>
      </c>
      <c r="AN151">
        <v>0.30984270458537733</v>
      </c>
      <c r="AQ151" t="s">
        <v>662</v>
      </c>
      <c r="AR151" t="s">
        <v>493</v>
      </c>
      <c r="AS151" t="s">
        <v>658</v>
      </c>
      <c r="AT151" t="s">
        <v>657</v>
      </c>
      <c r="AU151" t="s">
        <v>663</v>
      </c>
      <c r="AX151" t="s">
        <v>627</v>
      </c>
      <c r="AY151">
        <v>0.22910096924576251</v>
      </c>
      <c r="AZ151">
        <v>0.39591666150811383</v>
      </c>
    </row>
    <row r="152" spans="23:53">
      <c r="X152" t="s">
        <v>639</v>
      </c>
      <c r="Y152">
        <v>5.4638276163539182E-2</v>
      </c>
      <c r="Z152">
        <v>1.8267175509607474E-2</v>
      </c>
      <c r="AE152" t="s">
        <v>643</v>
      </c>
      <c r="AF152">
        <v>0.39445800418348731</v>
      </c>
      <c r="AG152">
        <v>0.2076067483637048</v>
      </c>
      <c r="AL152" t="s">
        <v>649</v>
      </c>
      <c r="AM152">
        <v>0.14720468149972055</v>
      </c>
      <c r="AN152">
        <v>0.31177936861613886</v>
      </c>
      <c r="AR152" t="s">
        <v>572</v>
      </c>
      <c r="AS152">
        <v>-0.22154383241902262</v>
      </c>
      <c r="AT152">
        <v>-0.15172888941279702</v>
      </c>
      <c r="AX152" t="s">
        <v>583</v>
      </c>
      <c r="AY152">
        <v>1.6922802723604764</v>
      </c>
      <c r="AZ152">
        <v>1.772024047810363</v>
      </c>
    </row>
    <row r="153" spans="23:53">
      <c r="X153" t="s">
        <v>641</v>
      </c>
      <c r="Y153">
        <v>0.33820694363615067</v>
      </c>
      <c r="Z153">
        <v>0.35114811173684146</v>
      </c>
      <c r="AE153" t="s">
        <v>645</v>
      </c>
      <c r="AF153">
        <v>0.12271417839291195</v>
      </c>
      <c r="AG153">
        <v>0.19794656058581989</v>
      </c>
      <c r="AK153" t="s">
        <v>662</v>
      </c>
      <c r="AL153" t="s">
        <v>493</v>
      </c>
      <c r="AM153" t="s">
        <v>658</v>
      </c>
      <c r="AN153" t="s">
        <v>657</v>
      </c>
      <c r="AO153" t="s">
        <v>663</v>
      </c>
      <c r="AR153" t="s">
        <v>590</v>
      </c>
      <c r="AS153">
        <v>-0.27801879244310546</v>
      </c>
      <c r="AT153">
        <v>-0.25491004527392741</v>
      </c>
      <c r="AX153" t="s">
        <v>632</v>
      </c>
      <c r="AY153">
        <v>4.8876822755003081E-2</v>
      </c>
      <c r="AZ153">
        <v>-2.7931514574425123E-2</v>
      </c>
    </row>
    <row r="154" spans="23:53">
      <c r="X154" t="s">
        <v>643</v>
      </c>
      <c r="Y154">
        <v>0.39445800418348731</v>
      </c>
      <c r="Z154">
        <v>0.2076067483637048</v>
      </c>
      <c r="AE154" t="s">
        <v>647</v>
      </c>
      <c r="AF154">
        <v>0.23657881858342006</v>
      </c>
      <c r="AG154">
        <v>0.30984270458537733</v>
      </c>
      <c r="AL154" t="s">
        <v>572</v>
      </c>
      <c r="AM154">
        <v>-0.22154383241902262</v>
      </c>
      <c r="AN154">
        <v>-0.15172888941279702</v>
      </c>
      <c r="AR154" t="s">
        <v>627</v>
      </c>
      <c r="AS154">
        <v>0.22910096924576251</v>
      </c>
      <c r="AT154">
        <v>0.39591666150811383</v>
      </c>
      <c r="AX154" t="s">
        <v>567</v>
      </c>
      <c r="AY154">
        <v>0.98295579380873122</v>
      </c>
      <c r="AZ154">
        <v>1.2810438518635869</v>
      </c>
    </row>
    <row r="155" spans="23:53">
      <c r="X155" t="s">
        <v>645</v>
      </c>
      <c r="Y155">
        <v>0.12271417839291195</v>
      </c>
      <c r="Z155">
        <v>0.19794656058581989</v>
      </c>
      <c r="AE155" t="s">
        <v>649</v>
      </c>
      <c r="AF155">
        <v>0.14720468149972055</v>
      </c>
      <c r="AG155">
        <v>0.31177936861613886</v>
      </c>
      <c r="AL155" t="s">
        <v>590</v>
      </c>
      <c r="AM155">
        <v>-0.27801879244310546</v>
      </c>
      <c r="AN155">
        <v>-0.25491004527392741</v>
      </c>
      <c r="AR155" t="s">
        <v>583</v>
      </c>
      <c r="AS155">
        <v>1.6922802723604764</v>
      </c>
      <c r="AT155">
        <v>1.772024047810363</v>
      </c>
      <c r="AX155" t="s">
        <v>569</v>
      </c>
      <c r="AY155">
        <v>-0.21019357042005501</v>
      </c>
      <c r="AZ155">
        <v>-0.10654006202836033</v>
      </c>
    </row>
    <row r="156" spans="23:53">
      <c r="X156" t="s">
        <v>647</v>
      </c>
      <c r="Y156">
        <v>0.23657881858342006</v>
      </c>
      <c r="Z156">
        <v>0.30984270458537733</v>
      </c>
      <c r="AD156" t="s">
        <v>662</v>
      </c>
      <c r="AE156" t="s">
        <v>493</v>
      </c>
      <c r="AF156" t="s">
        <v>658</v>
      </c>
      <c r="AG156" t="s">
        <v>657</v>
      </c>
      <c r="AH156" t="s">
        <v>663</v>
      </c>
      <c r="AL156" t="s">
        <v>627</v>
      </c>
      <c r="AM156">
        <v>0.22910096924576251</v>
      </c>
      <c r="AN156">
        <v>0.39591666150811383</v>
      </c>
      <c r="AR156" t="s">
        <v>632</v>
      </c>
      <c r="AS156">
        <v>4.8876822755003081E-2</v>
      </c>
      <c r="AT156">
        <v>-2.7931514574425123E-2</v>
      </c>
      <c r="AX156" t="s">
        <v>631</v>
      </c>
      <c r="AY156">
        <v>0.33043911222194378</v>
      </c>
      <c r="AZ156">
        <v>0.26034701613688677</v>
      </c>
    </row>
    <row r="157" spans="23:53">
      <c r="X157" t="s">
        <v>649</v>
      </c>
      <c r="Y157">
        <v>0.14720468149972055</v>
      </c>
      <c r="Z157">
        <v>0.31177936861613886</v>
      </c>
      <c r="AE157" t="s">
        <v>572</v>
      </c>
      <c r="AF157">
        <v>-0.22154383241902262</v>
      </c>
      <c r="AG157">
        <v>-0.15172888941279702</v>
      </c>
      <c r="AL157" t="s">
        <v>583</v>
      </c>
      <c r="AM157">
        <v>1.6922802723604764</v>
      </c>
      <c r="AN157">
        <v>1.772024047810363</v>
      </c>
      <c r="AR157" t="s">
        <v>567</v>
      </c>
      <c r="AS157">
        <v>0.98295579380873122</v>
      </c>
      <c r="AT157">
        <v>1.2810438518635869</v>
      </c>
      <c r="AX157" t="s">
        <v>587</v>
      </c>
      <c r="AY157">
        <v>1.3661889555801932</v>
      </c>
      <c r="AZ157">
        <v>1.2340618170432602</v>
      </c>
    </row>
    <row r="158" spans="23:53">
      <c r="W158" t="s">
        <v>662</v>
      </c>
      <c r="X158" t="s">
        <v>493</v>
      </c>
      <c r="Y158" t="s">
        <v>658</v>
      </c>
      <c r="Z158" t="s">
        <v>657</v>
      </c>
      <c r="AA158" t="s">
        <v>663</v>
      </c>
      <c r="AE158" t="s">
        <v>590</v>
      </c>
      <c r="AF158">
        <v>-0.27801879244310546</v>
      </c>
      <c r="AG158">
        <v>-0.25491004527392741</v>
      </c>
      <c r="AL158" t="s">
        <v>632</v>
      </c>
      <c r="AM158">
        <v>4.8876822755003081E-2</v>
      </c>
      <c r="AN158">
        <v>-2.7931514574425123E-2</v>
      </c>
      <c r="AR158" t="s">
        <v>569</v>
      </c>
      <c r="AS158">
        <v>-0.21019357042005501</v>
      </c>
      <c r="AT158">
        <v>-0.10654006202836033</v>
      </c>
      <c r="AX158" t="s">
        <v>623</v>
      </c>
      <c r="AY158">
        <v>1.0414235169117378</v>
      </c>
      <c r="AZ158">
        <v>1.1530158703141651</v>
      </c>
    </row>
    <row r="159" spans="23:53">
      <c r="X159" t="s">
        <v>572</v>
      </c>
      <c r="Y159">
        <v>-0.22154383241902262</v>
      </c>
      <c r="Z159">
        <v>-0.15172888941279702</v>
      </c>
      <c r="AE159" t="s">
        <v>627</v>
      </c>
      <c r="AF159">
        <v>0.22910096924576251</v>
      </c>
      <c r="AG159">
        <v>0.39591666150811383</v>
      </c>
      <c r="AL159" t="s">
        <v>567</v>
      </c>
      <c r="AM159">
        <v>0.98295579380873122</v>
      </c>
      <c r="AN159">
        <v>1.2810438518635869</v>
      </c>
      <c r="AR159" t="s">
        <v>631</v>
      </c>
      <c r="AS159">
        <v>0.33043911222194378</v>
      </c>
      <c r="AT159">
        <v>0.26034701613688677</v>
      </c>
      <c r="AX159" t="s">
        <v>585</v>
      </c>
      <c r="AY159">
        <v>1.7213258636602609</v>
      </c>
      <c r="AZ159">
        <v>1.8177508374255666</v>
      </c>
    </row>
    <row r="160" spans="23:53">
      <c r="X160" t="s">
        <v>590</v>
      </c>
      <c r="Y160">
        <v>-0.27801879244310546</v>
      </c>
      <c r="Z160">
        <v>-0.25491004527392741</v>
      </c>
      <c r="AE160" t="s">
        <v>583</v>
      </c>
      <c r="AF160">
        <v>1.6922802723604764</v>
      </c>
      <c r="AG160">
        <v>1.772024047810363</v>
      </c>
      <c r="AL160" t="s">
        <v>569</v>
      </c>
      <c r="AM160">
        <v>-0.21019357042005501</v>
      </c>
      <c r="AN160">
        <v>-0.10654006202836033</v>
      </c>
      <c r="AR160" t="s">
        <v>587</v>
      </c>
      <c r="AS160">
        <v>1.3661889555801932</v>
      </c>
      <c r="AT160">
        <v>1.2340618170432602</v>
      </c>
      <c r="AX160" t="s">
        <v>592</v>
      </c>
      <c r="AY160">
        <v>-0.16329511949894926</v>
      </c>
      <c r="AZ160">
        <v>-0.12343207607444745</v>
      </c>
    </row>
    <row r="161" spans="24:52">
      <c r="X161" t="s">
        <v>627</v>
      </c>
      <c r="Y161">
        <v>0.22910096924576251</v>
      </c>
      <c r="Z161">
        <v>0.39591666150811383</v>
      </c>
      <c r="AE161" t="s">
        <v>632</v>
      </c>
      <c r="AF161">
        <v>4.8876822755003081E-2</v>
      </c>
      <c r="AG161">
        <v>-2.7931514574425123E-2</v>
      </c>
      <c r="AL161" t="s">
        <v>631</v>
      </c>
      <c r="AM161">
        <v>0.33043911222194378</v>
      </c>
      <c r="AN161">
        <v>0.26034701613688677</v>
      </c>
      <c r="AR161" t="s">
        <v>623</v>
      </c>
      <c r="AS161">
        <v>1.0414235169117378</v>
      </c>
      <c r="AT161">
        <v>1.1530158703141651</v>
      </c>
      <c r="AX161" t="s">
        <v>647</v>
      </c>
      <c r="AY161">
        <v>0.23657881858342006</v>
      </c>
      <c r="AZ161">
        <v>0.30984270458537733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U99"/>
  <sheetViews>
    <sheetView tabSelected="1" zoomScale="98" zoomScaleNormal="98" workbookViewId="0">
      <pane xSplit="3" ySplit="3" topLeftCell="CI37" activePane="bottomRight" state="frozen"/>
      <selection pane="topRight" activeCell="D1" sqref="D1"/>
      <selection pane="bottomLeft" activeCell="A4" sqref="A4"/>
      <selection pane="bottomRight" activeCell="D51" sqref="D51:CK51"/>
    </sheetView>
  </sheetViews>
  <sheetFormatPr defaultColWidth="8.875" defaultRowHeight="15.75"/>
  <cols>
    <col min="1" max="1" width="6.375" style="1" bestFit="1" customWidth="1"/>
    <col min="2" max="2" width="20.5" style="1" customWidth="1"/>
    <col min="3" max="3" width="36.25" style="1" customWidth="1"/>
    <col min="4" max="4" width="20.5" style="1" customWidth="1"/>
    <col min="5" max="5" width="8.875" style="1" customWidth="1"/>
    <col min="6" max="6" width="11.125" style="1" bestFit="1" customWidth="1"/>
    <col min="7" max="12" width="11.125" style="1" customWidth="1"/>
    <col min="13" max="20" width="8.875" style="5"/>
    <col min="21" max="21" width="8.875" style="13"/>
    <col min="22" max="26" width="8.875" style="5"/>
    <col min="27" max="35" width="13.125" style="5" customWidth="1"/>
    <col min="36" max="44" width="8.875" style="5"/>
    <col min="45" max="45" width="8.875" style="1"/>
    <col min="46" max="50" width="8.875" style="5"/>
    <col min="51" max="53" width="8.875" style="13"/>
    <col min="54" max="62" width="8.875" style="5"/>
    <col min="63" max="65" width="8.875" style="13"/>
    <col min="66" max="66" width="8.875" style="5"/>
    <col min="67" max="70" width="8.625" style="5" customWidth="1"/>
    <col min="71" max="89" width="8.875" style="5"/>
    <col min="90" max="90" width="23.25" style="1" customWidth="1"/>
    <col min="91" max="91" width="10.625" bestFit="1" customWidth="1"/>
    <col min="93" max="93" width="8.875" style="9"/>
  </cols>
  <sheetData>
    <row r="1" spans="1:93">
      <c r="CC1" s="5" t="s">
        <v>322</v>
      </c>
      <c r="CG1" s="5" t="s">
        <v>321</v>
      </c>
      <c r="CH1" s="5" t="s">
        <v>133</v>
      </c>
      <c r="CI1" s="5" t="s">
        <v>324</v>
      </c>
      <c r="CJ1" s="5" t="s">
        <v>725</v>
      </c>
      <c r="CK1" s="5" t="s">
        <v>326</v>
      </c>
    </row>
    <row r="2" spans="1:93">
      <c r="A2" s="2" t="s">
        <v>199</v>
      </c>
      <c r="B2" s="2" t="s">
        <v>0</v>
      </c>
      <c r="C2" s="2" t="s">
        <v>1</v>
      </c>
      <c r="D2" s="2" t="s">
        <v>252</v>
      </c>
      <c r="E2" s="2" t="s">
        <v>68</v>
      </c>
      <c r="F2" s="2" t="s">
        <v>69</v>
      </c>
      <c r="G2" s="2" t="s">
        <v>154</v>
      </c>
      <c r="H2" s="2" t="s">
        <v>153</v>
      </c>
      <c r="I2" s="2" t="s">
        <v>161</v>
      </c>
      <c r="J2" s="2" t="s">
        <v>162</v>
      </c>
      <c r="K2" s="2" t="s">
        <v>160</v>
      </c>
      <c r="L2" s="2" t="s">
        <v>163</v>
      </c>
      <c r="M2" s="3" t="s">
        <v>2</v>
      </c>
      <c r="N2" s="3" t="s">
        <v>28</v>
      </c>
      <c r="O2" s="3" t="s">
        <v>150</v>
      </c>
      <c r="P2" s="3" t="s">
        <v>275</v>
      </c>
      <c r="Q2" s="3" t="s">
        <v>40</v>
      </c>
      <c r="R2" s="3" t="s">
        <v>111</v>
      </c>
      <c r="S2" s="3" t="s">
        <v>124</v>
      </c>
      <c r="T2" s="3" t="s">
        <v>126</v>
      </c>
      <c r="U2" s="12" t="s">
        <v>282</v>
      </c>
      <c r="V2" s="3" t="s">
        <v>94</v>
      </c>
      <c r="W2" s="3" t="s">
        <v>94</v>
      </c>
      <c r="X2" s="3" t="s">
        <v>93</v>
      </c>
      <c r="Y2" s="3" t="s">
        <v>714</v>
      </c>
      <c r="Z2" s="3" t="s">
        <v>715</v>
      </c>
      <c r="AA2" s="3" t="s">
        <v>713</v>
      </c>
      <c r="AB2" s="3" t="s">
        <v>281</v>
      </c>
      <c r="AC2" s="3" t="s">
        <v>97</v>
      </c>
      <c r="AD2" s="3" t="s">
        <v>91</v>
      </c>
      <c r="AE2" s="3" t="s">
        <v>90</v>
      </c>
      <c r="AF2" s="3" t="s">
        <v>95</v>
      </c>
      <c r="AG2" s="3" t="s">
        <v>716</v>
      </c>
      <c r="AH2" s="3" t="s">
        <v>718</v>
      </c>
      <c r="AI2" s="3" t="s">
        <v>719</v>
      </c>
      <c r="AJ2" s="3" t="s">
        <v>80</v>
      </c>
      <c r="AK2" s="3" t="s">
        <v>81</v>
      </c>
      <c r="AL2" s="3" t="s">
        <v>82</v>
      </c>
      <c r="AM2" s="3" t="s">
        <v>83</v>
      </c>
      <c r="AN2" s="3" t="s">
        <v>84</v>
      </c>
      <c r="AO2" s="3" t="s">
        <v>285</v>
      </c>
      <c r="AP2" s="3" t="s">
        <v>286</v>
      </c>
      <c r="AQ2" s="3" t="s">
        <v>291</v>
      </c>
      <c r="AR2" s="3" t="s">
        <v>284</v>
      </c>
      <c r="AS2" s="3" t="s">
        <v>191</v>
      </c>
      <c r="AT2" s="3" t="s">
        <v>192</v>
      </c>
      <c r="AU2" s="3" t="s">
        <v>78</v>
      </c>
      <c r="AV2" s="3" t="s">
        <v>72</v>
      </c>
      <c r="AW2" s="3" t="s">
        <v>73</v>
      </c>
      <c r="AX2" s="3" t="s">
        <v>41</v>
      </c>
      <c r="AY2" s="12" t="s">
        <v>122</v>
      </c>
      <c r="AZ2" s="12" t="s">
        <v>295</v>
      </c>
      <c r="BA2" s="12" t="s">
        <v>121</v>
      </c>
      <c r="BB2" s="12" t="s">
        <v>296</v>
      </c>
      <c r="BC2" s="12" t="s">
        <v>297</v>
      </c>
      <c r="BD2" s="12" t="s">
        <v>298</v>
      </c>
      <c r="BE2" s="12" t="s">
        <v>299</v>
      </c>
      <c r="BF2" s="12" t="s">
        <v>300</v>
      </c>
      <c r="BG2" s="12" t="s">
        <v>301</v>
      </c>
      <c r="BH2" s="12" t="s">
        <v>302</v>
      </c>
      <c r="BI2" s="12" t="s">
        <v>720</v>
      </c>
      <c r="BJ2" s="12" t="s">
        <v>304</v>
      </c>
      <c r="BK2" s="12" t="s">
        <v>305</v>
      </c>
      <c r="BL2" s="12" t="s">
        <v>306</v>
      </c>
      <c r="BM2" s="12" t="s">
        <v>101</v>
      </c>
      <c r="BN2" s="3" t="s">
        <v>307</v>
      </c>
      <c r="BO2" s="3" t="s">
        <v>308</v>
      </c>
      <c r="BP2" s="3" t="s">
        <v>309</v>
      </c>
      <c r="BQ2" s="3" t="s">
        <v>102</v>
      </c>
      <c r="BR2" s="3" t="s">
        <v>103</v>
      </c>
      <c r="BS2" s="3" t="s">
        <v>59</v>
      </c>
      <c r="BT2" s="3" t="s">
        <v>310</v>
      </c>
      <c r="BU2" s="3" t="s">
        <v>311</v>
      </c>
      <c r="BV2" s="3" t="s">
        <v>312</v>
      </c>
      <c r="BW2" s="3" t="s">
        <v>313</v>
      </c>
      <c r="BX2" s="3" t="s">
        <v>314</v>
      </c>
      <c r="BY2" s="3" t="s">
        <v>315</v>
      </c>
      <c r="BZ2" s="3" t="s">
        <v>316</v>
      </c>
      <c r="CA2" s="3" t="s">
        <v>317</v>
      </c>
      <c r="CB2" s="3" t="s">
        <v>318</v>
      </c>
      <c r="CC2" s="3" t="s">
        <v>319</v>
      </c>
      <c r="CD2" s="3" t="s">
        <v>320</v>
      </c>
      <c r="CE2" s="3" t="s">
        <v>104</v>
      </c>
      <c r="CF2" s="3" t="s">
        <v>105</v>
      </c>
      <c r="CG2" s="3" t="s">
        <v>113</v>
      </c>
      <c r="CH2" s="3" t="s">
        <v>323</v>
      </c>
      <c r="CI2" s="3" t="s">
        <v>114</v>
      </c>
      <c r="CJ2" s="3" t="s">
        <v>115</v>
      </c>
      <c r="CK2" s="3" t="s">
        <v>325</v>
      </c>
      <c r="CL2" s="2" t="s">
        <v>106</v>
      </c>
      <c r="CM2" s="6" t="s">
        <v>34</v>
      </c>
      <c r="CN2" s="6" t="s">
        <v>32</v>
      </c>
      <c r="CO2" s="10" t="s">
        <v>36</v>
      </c>
    </row>
    <row r="3" spans="1:93">
      <c r="A3" s="2"/>
      <c r="B3" s="2"/>
      <c r="C3" s="2"/>
      <c r="D3" s="2"/>
      <c r="E3" s="2"/>
      <c r="F3" s="2"/>
      <c r="G3" s="2"/>
      <c r="H3" s="2"/>
      <c r="I3" s="2"/>
      <c r="J3" s="2"/>
      <c r="K3" s="2"/>
      <c r="L3" s="2"/>
      <c r="M3" s="3" t="s">
        <v>327</v>
      </c>
      <c r="N3" s="3"/>
      <c r="O3" s="3" t="s">
        <v>5</v>
      </c>
      <c r="P3" s="3" t="s">
        <v>276</v>
      </c>
      <c r="Q3" s="3" t="s">
        <v>4</v>
      </c>
      <c r="R3" s="3" t="s">
        <v>89</v>
      </c>
      <c r="S3" s="3" t="s">
        <v>125</v>
      </c>
      <c r="T3" s="3" t="s">
        <v>127</v>
      </c>
      <c r="U3" s="12" t="s">
        <v>283</v>
      </c>
      <c r="V3" s="3" t="s">
        <v>112</v>
      </c>
      <c r="W3" s="3" t="s">
        <v>88</v>
      </c>
      <c r="X3" s="3" t="s">
        <v>726</v>
      </c>
      <c r="Y3" s="3" t="s">
        <v>99</v>
      </c>
      <c r="Z3" s="3" t="s">
        <v>99</v>
      </c>
      <c r="AA3" s="3" t="s">
        <v>100</v>
      </c>
      <c r="AB3" s="3" t="s">
        <v>100</v>
      </c>
      <c r="AC3" s="3" t="s">
        <v>98</v>
      </c>
      <c r="AD3" s="3" t="s">
        <v>96</v>
      </c>
      <c r="AE3" s="3" t="s">
        <v>96</v>
      </c>
      <c r="AF3" s="3" t="s">
        <v>96</v>
      </c>
      <c r="AG3" s="3" t="s">
        <v>717</v>
      </c>
      <c r="AH3" s="3" t="s">
        <v>717</v>
      </c>
      <c r="AI3" s="3" t="s">
        <v>717</v>
      </c>
      <c r="AJ3" s="3" t="s">
        <v>79</v>
      </c>
      <c r="AK3" s="3" t="s">
        <v>79</v>
      </c>
      <c r="AL3" s="3" t="s">
        <v>79</v>
      </c>
      <c r="AM3" s="3" t="s">
        <v>79</v>
      </c>
      <c r="AN3" s="3" t="s">
        <v>79</v>
      </c>
      <c r="AO3" s="3" t="s">
        <v>79</v>
      </c>
      <c r="AP3" s="3" t="s">
        <v>79</v>
      </c>
      <c r="AQ3" s="3" t="s">
        <v>79</v>
      </c>
      <c r="AR3" s="3" t="s">
        <v>190</v>
      </c>
      <c r="AS3" s="3" t="s">
        <v>292</v>
      </c>
      <c r="AT3" s="3" t="s">
        <v>190</v>
      </c>
      <c r="AU3" s="3" t="s">
        <v>64</v>
      </c>
      <c r="AV3" s="3" t="s">
        <v>3</v>
      </c>
      <c r="AW3" s="3" t="s">
        <v>4</v>
      </c>
      <c r="AX3" s="3" t="s">
        <v>63</v>
      </c>
      <c r="AY3" s="12" t="s">
        <v>89</v>
      </c>
      <c r="AZ3" s="12" t="s">
        <v>120</v>
      </c>
      <c r="BA3" s="12" t="s">
        <v>120</v>
      </c>
      <c r="BB3" s="3" t="s">
        <v>89</v>
      </c>
      <c r="BC3" s="3" t="s">
        <v>89</v>
      </c>
      <c r="BD3" s="3" t="s">
        <v>89</v>
      </c>
      <c r="BE3" s="3" t="s">
        <v>89</v>
      </c>
      <c r="BF3" s="3" t="s">
        <v>89</v>
      </c>
      <c r="BG3" s="3" t="s">
        <v>89</v>
      </c>
      <c r="BH3" s="3" t="s">
        <v>89</v>
      </c>
      <c r="BI3" s="3" t="s">
        <v>89</v>
      </c>
      <c r="BJ3" s="3" t="s">
        <v>89</v>
      </c>
      <c r="BK3" s="3" t="s">
        <v>60</v>
      </c>
      <c r="BL3" s="3" t="s">
        <v>60</v>
      </c>
      <c r="BM3" s="3" t="s">
        <v>60</v>
      </c>
      <c r="BN3" s="3" t="s">
        <v>60</v>
      </c>
      <c r="BO3" s="3"/>
      <c r="BP3" s="3" t="s">
        <v>60</v>
      </c>
      <c r="BQ3" s="3" t="s">
        <v>60</v>
      </c>
      <c r="BR3" s="3" t="s">
        <v>60</v>
      </c>
      <c r="BS3" s="3" t="s">
        <v>60</v>
      </c>
      <c r="BT3" s="3" t="s">
        <v>60</v>
      </c>
      <c r="BU3" s="3" t="s">
        <v>60</v>
      </c>
      <c r="BV3" s="3" t="s">
        <v>60</v>
      </c>
      <c r="BW3" s="3" t="s">
        <v>60</v>
      </c>
      <c r="BX3" s="3" t="s">
        <v>60</v>
      </c>
      <c r="BY3" s="3" t="s">
        <v>86</v>
      </c>
      <c r="BZ3" s="3" t="s">
        <v>86</v>
      </c>
      <c r="CA3" s="3" t="s">
        <v>86</v>
      </c>
      <c r="CB3" s="3" t="s">
        <v>86</v>
      </c>
      <c r="CC3" s="3" t="s">
        <v>86</v>
      </c>
      <c r="CD3" s="3" t="s">
        <v>86</v>
      </c>
      <c r="CE3" s="3" t="s">
        <v>86</v>
      </c>
      <c r="CF3" s="3" t="s">
        <v>86</v>
      </c>
      <c r="CG3" s="3" t="s">
        <v>86</v>
      </c>
      <c r="CH3" s="3" t="s">
        <v>86</v>
      </c>
      <c r="CI3" s="3" t="s">
        <v>86</v>
      </c>
      <c r="CJ3" s="3" t="s">
        <v>86</v>
      </c>
      <c r="CK3" s="3" t="s">
        <v>86</v>
      </c>
      <c r="CL3" s="2"/>
      <c r="CM3" s="7"/>
      <c r="CN3" s="7"/>
      <c r="CO3" s="11"/>
    </row>
    <row r="4" spans="1:93">
      <c r="A4" s="2" t="s">
        <v>6</v>
      </c>
      <c r="B4" s="2" t="s">
        <v>135</v>
      </c>
      <c r="C4" s="2" t="s">
        <v>136</v>
      </c>
      <c r="D4" s="2" t="s">
        <v>215</v>
      </c>
      <c r="E4" s="2">
        <v>2011</v>
      </c>
      <c r="F4" s="2">
        <v>2011</v>
      </c>
      <c r="G4" s="2">
        <v>1</v>
      </c>
      <c r="H4" s="16">
        <v>1</v>
      </c>
      <c r="I4" s="16">
        <v>1</v>
      </c>
      <c r="J4" s="16">
        <v>1</v>
      </c>
      <c r="K4" s="16">
        <v>0</v>
      </c>
      <c r="L4" s="16">
        <v>0</v>
      </c>
      <c r="M4" s="3">
        <v>19.3</v>
      </c>
      <c r="N4" s="4">
        <f t="shared" ref="N4:N15" si="0">(M4-5)*12</f>
        <v>171.60000000000002</v>
      </c>
      <c r="O4" s="3">
        <v>1700</v>
      </c>
      <c r="P4" s="3"/>
      <c r="Q4" s="12"/>
      <c r="R4" s="3"/>
      <c r="S4" s="3"/>
      <c r="T4" s="3"/>
      <c r="U4" s="12"/>
      <c r="V4" s="3"/>
      <c r="W4" s="3"/>
      <c r="X4" s="3"/>
      <c r="Y4" s="3"/>
      <c r="Z4" s="3"/>
      <c r="AA4" s="3"/>
      <c r="AB4" s="3"/>
      <c r="AC4" s="3"/>
      <c r="AD4" s="3"/>
      <c r="AE4" s="3"/>
      <c r="AF4" s="3"/>
      <c r="AG4" s="3"/>
      <c r="AH4" s="3"/>
      <c r="AI4" s="3"/>
      <c r="AJ4" s="3"/>
      <c r="AK4" s="3"/>
      <c r="AL4" s="3"/>
      <c r="AM4" s="3"/>
      <c r="AN4" s="3"/>
      <c r="AO4" s="3"/>
      <c r="AP4" s="3"/>
      <c r="AQ4" s="3"/>
      <c r="AR4" s="3"/>
      <c r="AS4" s="2"/>
      <c r="AT4" s="3"/>
      <c r="AU4" s="3">
        <v>3430</v>
      </c>
      <c r="AV4" s="3"/>
      <c r="AW4" s="3"/>
      <c r="AX4" s="3"/>
      <c r="AY4" s="12"/>
      <c r="AZ4" s="12"/>
      <c r="BA4" s="12"/>
      <c r="BB4" s="3"/>
      <c r="BC4" s="3"/>
      <c r="BD4" s="3"/>
      <c r="BE4" s="3"/>
      <c r="BF4" s="3"/>
      <c r="BG4" s="3"/>
      <c r="BH4" s="3"/>
      <c r="BI4" s="3"/>
      <c r="BJ4" s="3"/>
      <c r="BK4" s="12"/>
      <c r="BL4" s="12">
        <f>47.35*0.145</f>
        <v>6.8657499999999994</v>
      </c>
      <c r="BM4" s="12">
        <f>47.35*0.6</f>
        <v>28.41</v>
      </c>
      <c r="BN4" s="3">
        <f>SUM(BK4:BM4)</f>
        <v>35.275750000000002</v>
      </c>
      <c r="BO4" s="3">
        <f t="shared" ref="BO4:BO11" si="1">BS4/BN4</f>
        <v>0.34228187919463082</v>
      </c>
      <c r="BP4" s="3">
        <f>47.35*0.125</f>
        <v>5.9187500000000002</v>
      </c>
      <c r="BQ4" s="3">
        <f>47.35*0.13</f>
        <v>6.1555</v>
      </c>
      <c r="BR4" s="3"/>
      <c r="BS4" s="3">
        <f>SUM(BP4:BR4)</f>
        <v>12.074249999999999</v>
      </c>
      <c r="BT4" s="3">
        <f t="shared" ref="BT4:BT11" si="2">BS4+BN4</f>
        <v>47.35</v>
      </c>
      <c r="BU4" s="3"/>
      <c r="BV4" s="3">
        <v>96.45</v>
      </c>
      <c r="BW4" s="3"/>
      <c r="BX4" s="3">
        <f>BT4+BV4</f>
        <v>143.80000000000001</v>
      </c>
      <c r="BY4" s="3"/>
      <c r="BZ4" s="3"/>
      <c r="CA4" s="3"/>
      <c r="CB4" s="3">
        <v>1.63</v>
      </c>
      <c r="CC4" s="3"/>
      <c r="CD4" s="3"/>
      <c r="CE4" s="3"/>
      <c r="CF4" s="3"/>
      <c r="CG4" s="3"/>
      <c r="CH4" s="3"/>
      <c r="CI4" s="3"/>
      <c r="CJ4" s="3"/>
      <c r="CK4" s="3"/>
      <c r="CL4" s="2" t="s">
        <v>22</v>
      </c>
      <c r="CM4" s="7" t="s">
        <v>35</v>
      </c>
      <c r="CN4" s="8" t="s">
        <v>134</v>
      </c>
      <c r="CO4" s="11" t="s">
        <v>85</v>
      </c>
    </row>
    <row r="5" spans="1:93">
      <c r="A5" s="2" t="s">
        <v>6</v>
      </c>
      <c r="B5" s="2" t="s">
        <v>264</v>
      </c>
      <c r="C5" s="2" t="s">
        <v>136</v>
      </c>
      <c r="D5" s="2" t="s">
        <v>216</v>
      </c>
      <c r="E5" s="2">
        <v>2011</v>
      </c>
      <c r="F5" s="2">
        <v>2011</v>
      </c>
      <c r="G5" s="2">
        <v>1</v>
      </c>
      <c r="H5" s="16">
        <v>1</v>
      </c>
      <c r="I5" s="16">
        <v>1</v>
      </c>
      <c r="J5" s="16">
        <v>1</v>
      </c>
      <c r="K5" s="16">
        <v>0</v>
      </c>
      <c r="L5" s="16">
        <v>0</v>
      </c>
      <c r="M5" s="3">
        <v>19.3</v>
      </c>
      <c r="N5" s="4">
        <f t="shared" si="0"/>
        <v>171.60000000000002</v>
      </c>
      <c r="O5" s="3">
        <v>1700</v>
      </c>
      <c r="P5" s="3"/>
      <c r="Q5" s="12"/>
      <c r="R5" s="3"/>
      <c r="S5" s="3"/>
      <c r="T5" s="3"/>
      <c r="U5" s="12"/>
      <c r="V5" s="3"/>
      <c r="W5" s="3"/>
      <c r="X5" s="3"/>
      <c r="Y5" s="3"/>
      <c r="Z5" s="3"/>
      <c r="AA5" s="3"/>
      <c r="AB5" s="3"/>
      <c r="AC5" s="3"/>
      <c r="AD5" s="3"/>
      <c r="AE5" s="3"/>
      <c r="AF5" s="3"/>
      <c r="AG5" s="3"/>
      <c r="AH5" s="3"/>
      <c r="AI5" s="3"/>
      <c r="AJ5" s="3"/>
      <c r="AK5" s="3"/>
      <c r="AL5" s="3"/>
      <c r="AM5" s="3"/>
      <c r="AN5" s="3"/>
      <c r="AO5" s="3"/>
      <c r="AP5" s="3"/>
      <c r="AQ5" s="3"/>
      <c r="AR5" s="3"/>
      <c r="AS5" s="2"/>
      <c r="AT5" s="3"/>
      <c r="AU5" s="3">
        <v>3800</v>
      </c>
      <c r="AV5" s="3"/>
      <c r="AW5" s="3"/>
      <c r="AX5" s="3"/>
      <c r="AY5" s="12"/>
      <c r="AZ5" s="12"/>
      <c r="BA5" s="12"/>
      <c r="BB5" s="3"/>
      <c r="BC5" s="3"/>
      <c r="BD5" s="3"/>
      <c r="BE5" s="3"/>
      <c r="BF5" s="3"/>
      <c r="BG5" s="3"/>
      <c r="BH5" s="3"/>
      <c r="BI5" s="3"/>
      <c r="BJ5" s="3"/>
      <c r="BK5" s="12"/>
      <c r="BL5" s="12">
        <f>51.95*0.145</f>
        <v>7.5327500000000001</v>
      </c>
      <c r="BM5" s="12">
        <f>51.95*0.6</f>
        <v>31.17</v>
      </c>
      <c r="BN5" s="3">
        <f>SUM(BK5:BM5)</f>
        <v>38.702750000000002</v>
      </c>
      <c r="BO5" s="3">
        <f t="shared" si="1"/>
        <v>0.34228187919463088</v>
      </c>
      <c r="BP5" s="3">
        <f>51.95*0.125</f>
        <v>6.4937500000000004</v>
      </c>
      <c r="BQ5" s="3">
        <f>51.95*0.13</f>
        <v>6.7535000000000007</v>
      </c>
      <c r="BR5" s="3"/>
      <c r="BS5" s="3">
        <f>SUM(BP5:BR5)</f>
        <v>13.247250000000001</v>
      </c>
      <c r="BT5" s="3">
        <f t="shared" si="2"/>
        <v>51.95</v>
      </c>
      <c r="BU5" s="3"/>
      <c r="BV5" s="3">
        <v>107.54</v>
      </c>
      <c r="BW5" s="3"/>
      <c r="BX5" s="3">
        <f>BT5+BV5</f>
        <v>159.49</v>
      </c>
      <c r="BY5" s="3"/>
      <c r="BZ5" s="3"/>
      <c r="CA5" s="3"/>
      <c r="CB5" s="3">
        <v>1.58</v>
      </c>
      <c r="CC5" s="3"/>
      <c r="CD5" s="3"/>
      <c r="CE5" s="3"/>
      <c r="CF5" s="3"/>
      <c r="CG5" s="3"/>
      <c r="CH5" s="3"/>
      <c r="CI5" s="3"/>
      <c r="CJ5" s="3"/>
      <c r="CK5" s="3"/>
      <c r="CL5" s="2" t="s">
        <v>22</v>
      </c>
      <c r="CM5" s="7" t="s">
        <v>35</v>
      </c>
      <c r="CN5" s="8" t="s">
        <v>134</v>
      </c>
      <c r="CO5" s="11" t="s">
        <v>85</v>
      </c>
    </row>
    <row r="6" spans="1:93">
      <c r="A6" s="2" t="s">
        <v>6</v>
      </c>
      <c r="B6" s="2" t="s">
        <v>265</v>
      </c>
      <c r="C6" s="2" t="s">
        <v>207</v>
      </c>
      <c r="D6" s="2" t="s">
        <v>208</v>
      </c>
      <c r="E6" s="2">
        <v>1993</v>
      </c>
      <c r="F6" s="16">
        <v>2000</v>
      </c>
      <c r="G6" s="16">
        <v>0</v>
      </c>
      <c r="H6" s="16">
        <v>0</v>
      </c>
      <c r="I6" s="16">
        <v>0</v>
      </c>
      <c r="J6" s="16">
        <v>0</v>
      </c>
      <c r="K6" s="16">
        <v>0</v>
      </c>
      <c r="L6" s="16">
        <v>0</v>
      </c>
      <c r="M6" s="3">
        <v>12.8</v>
      </c>
      <c r="N6" s="4">
        <f t="shared" si="0"/>
        <v>93.600000000000009</v>
      </c>
      <c r="O6" s="3">
        <v>2678.8</v>
      </c>
      <c r="P6" s="3"/>
      <c r="Q6" s="3">
        <v>1100</v>
      </c>
      <c r="R6" s="3">
        <v>86.6</v>
      </c>
      <c r="S6" s="3">
        <v>1434.3</v>
      </c>
      <c r="T6" s="3">
        <v>0.91</v>
      </c>
      <c r="U6" s="12"/>
      <c r="V6" s="3"/>
      <c r="W6" s="3">
        <v>5</v>
      </c>
      <c r="X6" s="3"/>
      <c r="Y6" s="3"/>
      <c r="Z6" s="3"/>
      <c r="AA6" s="3"/>
      <c r="AB6" s="3"/>
      <c r="AC6" s="3"/>
      <c r="AD6" s="3"/>
      <c r="AE6" s="3"/>
      <c r="AF6" s="3"/>
      <c r="AG6" s="3"/>
      <c r="AH6" s="3"/>
      <c r="AI6" s="3"/>
      <c r="AJ6" s="3"/>
      <c r="AK6" s="3"/>
      <c r="AL6" s="3"/>
      <c r="AM6" s="3"/>
      <c r="AN6" s="3"/>
      <c r="AO6" s="3">
        <f>(448.91/1000/1000)*10000</f>
        <v>4.4891000000000005</v>
      </c>
      <c r="AP6" s="3"/>
      <c r="AQ6" s="3"/>
      <c r="AR6" s="3">
        <f>(95.75/1000/1000)*10000</f>
        <v>0.95750000000000002</v>
      </c>
      <c r="AS6" s="3">
        <f>(68.43/1000/1000)*10000</f>
        <v>0.68430000000000002</v>
      </c>
      <c r="AT6" s="3">
        <f>(27.32/1000/1000)*10000</f>
        <v>0.2732</v>
      </c>
      <c r="AU6" s="3"/>
      <c r="AV6" s="3"/>
      <c r="AW6" s="3"/>
      <c r="AX6" s="3"/>
      <c r="AY6" s="12"/>
      <c r="AZ6" s="12"/>
      <c r="BA6" s="12"/>
      <c r="BB6" s="3"/>
      <c r="BC6" s="3"/>
      <c r="BD6" s="3"/>
      <c r="BE6" s="3"/>
      <c r="BF6" s="3"/>
      <c r="BG6" s="3"/>
      <c r="BH6" s="3"/>
      <c r="BI6" s="3"/>
      <c r="BJ6" s="3"/>
      <c r="BK6" s="12"/>
      <c r="BL6" s="12"/>
      <c r="BM6" s="12"/>
      <c r="BN6" s="4">
        <f>71.6*0.5</f>
        <v>35.799999999999997</v>
      </c>
      <c r="BO6" s="4">
        <f t="shared" si="1"/>
        <v>0.85474860335195546</v>
      </c>
      <c r="BP6" s="3"/>
      <c r="BQ6" s="3"/>
      <c r="BR6" s="3"/>
      <c r="BS6" s="4">
        <f>61.2*0.5</f>
        <v>30.6</v>
      </c>
      <c r="BT6" s="4">
        <f t="shared" si="2"/>
        <v>66.400000000000006</v>
      </c>
      <c r="BU6" s="3"/>
      <c r="BV6" s="3"/>
      <c r="BW6" s="3"/>
      <c r="BX6" s="3"/>
      <c r="BY6" s="3"/>
      <c r="BZ6" s="3"/>
      <c r="CA6" s="3">
        <f>16.1281*0.5</f>
        <v>8.0640499999999999</v>
      </c>
      <c r="CB6" s="4">
        <f>(1.2989+0.2015+0.296)*0.5</f>
        <v>0.8982</v>
      </c>
      <c r="CC6" s="4">
        <f>SUM(BY6:CB6)</f>
        <v>8.9622499999999992</v>
      </c>
      <c r="CD6" s="3"/>
      <c r="CE6" s="3"/>
      <c r="CF6" s="3"/>
      <c r="CG6" s="3"/>
      <c r="CH6" s="3"/>
      <c r="CI6" s="3"/>
      <c r="CJ6" s="3"/>
      <c r="CK6" s="3"/>
      <c r="CL6" s="2" t="s">
        <v>144</v>
      </c>
      <c r="CM6" s="7" t="s">
        <v>35</v>
      </c>
      <c r="CN6" s="8" t="s">
        <v>44</v>
      </c>
      <c r="CO6" s="11" t="s">
        <v>85</v>
      </c>
    </row>
    <row r="7" spans="1:93">
      <c r="A7" s="2" t="s">
        <v>6</v>
      </c>
      <c r="B7" s="2" t="s">
        <v>263</v>
      </c>
      <c r="C7" s="2" t="s">
        <v>136</v>
      </c>
      <c r="D7" s="2" t="s">
        <v>217</v>
      </c>
      <c r="E7" s="2">
        <v>2011</v>
      </c>
      <c r="F7" s="2">
        <v>2011</v>
      </c>
      <c r="G7" s="2">
        <v>1</v>
      </c>
      <c r="H7" s="16">
        <v>1</v>
      </c>
      <c r="I7" s="16">
        <v>1</v>
      </c>
      <c r="J7" s="16">
        <v>1</v>
      </c>
      <c r="K7" s="16">
        <v>0</v>
      </c>
      <c r="L7" s="16">
        <v>0</v>
      </c>
      <c r="M7" s="3">
        <v>19.3</v>
      </c>
      <c r="N7" s="4">
        <f t="shared" si="0"/>
        <v>171.60000000000002</v>
      </c>
      <c r="O7" s="3">
        <v>1700</v>
      </c>
      <c r="P7" s="3"/>
      <c r="Q7" s="12"/>
      <c r="R7" s="3"/>
      <c r="S7" s="3"/>
      <c r="T7" s="3"/>
      <c r="U7" s="12"/>
      <c r="V7" s="3"/>
      <c r="W7" s="3"/>
      <c r="X7" s="3"/>
      <c r="Y7" s="3"/>
      <c r="Z7" s="3"/>
      <c r="AA7" s="3"/>
      <c r="AB7" s="3"/>
      <c r="AC7" s="3"/>
      <c r="AD7" s="3"/>
      <c r="AE7" s="3"/>
      <c r="AF7" s="3"/>
      <c r="AG7" s="3"/>
      <c r="AH7" s="3"/>
      <c r="AI7" s="3"/>
      <c r="AJ7" s="3"/>
      <c r="AK7" s="3"/>
      <c r="AL7" s="3"/>
      <c r="AM7" s="3"/>
      <c r="AN7" s="3"/>
      <c r="AO7" s="3"/>
      <c r="AP7" s="3"/>
      <c r="AQ7" s="3"/>
      <c r="AR7" s="3"/>
      <c r="AS7" s="2"/>
      <c r="AT7" s="3"/>
      <c r="AU7" s="3">
        <v>3330</v>
      </c>
      <c r="AV7" s="3"/>
      <c r="AW7" s="3"/>
      <c r="AX7" s="3"/>
      <c r="AY7" s="12"/>
      <c r="AZ7" s="12"/>
      <c r="BA7" s="12"/>
      <c r="BB7" s="3"/>
      <c r="BC7" s="3"/>
      <c r="BD7" s="3"/>
      <c r="BE7" s="3"/>
      <c r="BF7" s="3"/>
      <c r="BG7" s="3"/>
      <c r="BH7" s="3"/>
      <c r="BI7" s="3"/>
      <c r="BJ7" s="3"/>
      <c r="BK7" s="12"/>
      <c r="BL7" s="12">
        <f>58.7*0.145</f>
        <v>8.5114999999999998</v>
      </c>
      <c r="BM7" s="12">
        <f>58.7*0.6</f>
        <v>35.22</v>
      </c>
      <c r="BN7" s="3">
        <f>SUM(BK7:BM7)</f>
        <v>43.731499999999997</v>
      </c>
      <c r="BO7" s="3">
        <f t="shared" si="1"/>
        <v>0.34228187919463093</v>
      </c>
      <c r="BP7" s="3">
        <f>58.7*0.125</f>
        <v>7.3375000000000004</v>
      </c>
      <c r="BQ7" s="3">
        <f>58.7*0.13</f>
        <v>7.6310000000000002</v>
      </c>
      <c r="BR7" s="3"/>
      <c r="BS7" s="3">
        <f>SUM(BP7:BR7)</f>
        <v>14.968500000000001</v>
      </c>
      <c r="BT7" s="3">
        <f t="shared" si="2"/>
        <v>58.699999999999996</v>
      </c>
      <c r="BU7" s="3"/>
      <c r="BV7" s="3">
        <v>79.14</v>
      </c>
      <c r="BW7" s="3"/>
      <c r="BX7" s="3">
        <f>BT7+BV7</f>
        <v>137.84</v>
      </c>
      <c r="BY7" s="3"/>
      <c r="BZ7" s="3"/>
      <c r="CA7" s="3"/>
      <c r="CB7" s="3">
        <v>1.71</v>
      </c>
      <c r="CC7" s="3"/>
      <c r="CD7" s="3"/>
      <c r="CE7" s="3"/>
      <c r="CF7" s="3"/>
      <c r="CG7" s="3"/>
      <c r="CH7" s="3"/>
      <c r="CI7" s="3"/>
      <c r="CJ7" s="3"/>
      <c r="CK7" s="3"/>
      <c r="CL7" s="2" t="s">
        <v>22</v>
      </c>
      <c r="CM7" s="7" t="s">
        <v>35</v>
      </c>
      <c r="CN7" s="8" t="s">
        <v>134</v>
      </c>
      <c r="CO7" s="11" t="s">
        <v>85</v>
      </c>
    </row>
    <row r="8" spans="1:93">
      <c r="A8" s="2" t="s">
        <v>6</v>
      </c>
      <c r="B8" s="2" t="s">
        <v>7</v>
      </c>
      <c r="C8" s="2" t="s">
        <v>155</v>
      </c>
      <c r="D8" s="2" t="s">
        <v>195</v>
      </c>
      <c r="E8" s="16">
        <v>1995</v>
      </c>
      <c r="F8" s="2">
        <v>2008</v>
      </c>
      <c r="G8" s="2">
        <v>1</v>
      </c>
      <c r="H8" s="2">
        <v>1</v>
      </c>
      <c r="I8" s="2">
        <v>1</v>
      </c>
      <c r="J8" s="2">
        <v>1</v>
      </c>
      <c r="K8" s="2">
        <v>0</v>
      </c>
      <c r="L8" s="2">
        <v>0</v>
      </c>
      <c r="M8" s="3">
        <v>23</v>
      </c>
      <c r="N8" s="4">
        <f t="shared" si="0"/>
        <v>216</v>
      </c>
      <c r="O8" s="3">
        <v>2000</v>
      </c>
      <c r="P8" s="3"/>
      <c r="Q8" s="4">
        <v>800</v>
      </c>
      <c r="R8" s="3"/>
      <c r="S8" s="3"/>
      <c r="T8" s="3"/>
      <c r="U8" s="12"/>
      <c r="V8" s="3"/>
      <c r="W8" s="3"/>
      <c r="X8" s="3"/>
      <c r="Y8" s="3"/>
      <c r="Z8" s="3"/>
      <c r="AA8" s="3"/>
      <c r="AB8" s="3"/>
      <c r="AC8" s="3"/>
      <c r="AD8" s="3"/>
      <c r="AE8" s="3"/>
      <c r="AF8" s="3"/>
      <c r="AG8" s="3"/>
      <c r="AH8" s="3"/>
      <c r="AI8" s="3"/>
      <c r="AJ8" s="3"/>
      <c r="AK8" s="3"/>
      <c r="AL8" s="3"/>
      <c r="AM8" s="3"/>
      <c r="AN8" s="3"/>
      <c r="AO8" s="3"/>
      <c r="AP8" s="3"/>
      <c r="AQ8" s="3"/>
      <c r="AR8" s="3"/>
      <c r="AS8" s="2"/>
      <c r="AT8" s="7"/>
      <c r="AU8" s="3">
        <v>2566.67</v>
      </c>
      <c r="AV8" s="3">
        <f>(10.5+13.5)/2</f>
        <v>12</v>
      </c>
      <c r="AW8" s="3"/>
      <c r="AX8" s="3">
        <f>(AV8/2)^2*PI()*AU8/10000</f>
        <v>29.028353818281531</v>
      </c>
      <c r="AY8" s="12"/>
      <c r="AZ8" s="12"/>
      <c r="BA8" s="12"/>
      <c r="BB8" s="3"/>
      <c r="BC8" s="3"/>
      <c r="BD8" s="3"/>
      <c r="BE8" s="3"/>
      <c r="BF8" s="3"/>
      <c r="BG8" s="3"/>
      <c r="BH8" s="3"/>
      <c r="BI8" s="3"/>
      <c r="BJ8" s="3"/>
      <c r="BK8" s="4">
        <f>4.825*0.5</f>
        <v>2.4125000000000001</v>
      </c>
      <c r="BL8" s="4">
        <f>9.3586*0.5</f>
        <v>4.6792999999999996</v>
      </c>
      <c r="BM8" s="4">
        <f>58.5427*0.5</f>
        <v>29.271350000000002</v>
      </c>
      <c r="BN8" s="4">
        <f>SUM(BK8:BM8)</f>
        <v>36.363150000000005</v>
      </c>
      <c r="BO8" s="3">
        <f t="shared" si="1"/>
        <v>0.25643267978709211</v>
      </c>
      <c r="BP8" s="4">
        <f>9.7892*0.5</f>
        <v>4.8945999999999996</v>
      </c>
      <c r="BQ8" s="3"/>
      <c r="BR8" s="4">
        <f>8.8602*0.5</f>
        <v>4.4301000000000004</v>
      </c>
      <c r="BS8" s="4">
        <f>SUM(BP8:BR8)</f>
        <v>9.3247</v>
      </c>
      <c r="BT8" s="4">
        <f t="shared" si="2"/>
        <v>45.687850000000005</v>
      </c>
      <c r="BU8" s="3"/>
      <c r="BV8" s="3"/>
      <c r="BW8" s="3"/>
      <c r="BX8" s="3"/>
      <c r="BY8" s="3"/>
      <c r="BZ8" s="3"/>
      <c r="CA8" s="3"/>
      <c r="CB8" s="3"/>
      <c r="CC8" s="3"/>
      <c r="CD8" s="3"/>
      <c r="CE8" s="3"/>
      <c r="CF8" s="3"/>
      <c r="CG8" s="3"/>
      <c r="CH8" s="3"/>
      <c r="CI8" s="3"/>
      <c r="CJ8" s="3"/>
      <c r="CK8" s="3"/>
      <c r="CL8" s="2" t="s">
        <v>148</v>
      </c>
      <c r="CM8" s="7" t="s">
        <v>35</v>
      </c>
      <c r="CN8" s="8" t="s">
        <v>33</v>
      </c>
      <c r="CO8" s="11" t="s">
        <v>85</v>
      </c>
    </row>
    <row r="9" spans="1:93">
      <c r="A9" s="2" t="s">
        <v>6</v>
      </c>
      <c r="B9" s="2" t="s">
        <v>268</v>
      </c>
      <c r="C9" s="2" t="s">
        <v>196</v>
      </c>
      <c r="D9" s="2" t="s">
        <v>197</v>
      </c>
      <c r="E9" s="2">
        <v>2007</v>
      </c>
      <c r="F9" s="2">
        <v>2008</v>
      </c>
      <c r="G9" s="2">
        <v>1</v>
      </c>
      <c r="H9" s="2">
        <v>1</v>
      </c>
      <c r="I9" s="2">
        <v>1</v>
      </c>
      <c r="J9" s="2">
        <v>1</v>
      </c>
      <c r="K9" s="2">
        <v>0</v>
      </c>
      <c r="L9" s="2">
        <v>0</v>
      </c>
      <c r="M9" s="3">
        <v>23</v>
      </c>
      <c r="N9" s="4">
        <f t="shared" si="0"/>
        <v>216</v>
      </c>
      <c r="O9" s="3">
        <v>2000</v>
      </c>
      <c r="P9" s="3"/>
      <c r="Q9" s="3">
        <f>(580+1604.8)/2</f>
        <v>1092.4000000000001</v>
      </c>
      <c r="R9" s="3">
        <v>80</v>
      </c>
      <c r="S9" s="3"/>
      <c r="T9" s="3"/>
      <c r="U9" s="12"/>
      <c r="V9" s="3"/>
      <c r="W9" s="3"/>
      <c r="X9" s="3"/>
      <c r="Y9" s="3"/>
      <c r="Z9" s="3"/>
      <c r="AA9" s="3"/>
      <c r="AB9" s="3"/>
      <c r="AC9" s="3"/>
      <c r="AD9" s="3"/>
      <c r="AE9" s="3"/>
      <c r="AF9" s="3"/>
      <c r="AG9" s="3"/>
      <c r="AH9" s="3"/>
      <c r="AI9" s="3"/>
      <c r="AJ9" s="3"/>
      <c r="AK9" s="3"/>
      <c r="AL9" s="3"/>
      <c r="AM9" s="3"/>
      <c r="AN9" s="3"/>
      <c r="AO9" s="3"/>
      <c r="AP9" s="3"/>
      <c r="AQ9" s="3"/>
      <c r="AR9" s="3"/>
      <c r="AS9" s="2"/>
      <c r="AT9" s="7"/>
      <c r="AU9" s="3">
        <v>2770.33</v>
      </c>
      <c r="AV9" s="3">
        <f>(10.5+12.5)/2</f>
        <v>11.5</v>
      </c>
      <c r="AW9" s="3"/>
      <c r="AX9" s="3">
        <f>(AV9/2)^2*PI()*AU9/10000</f>
        <v>28.775114943214181</v>
      </c>
      <c r="AY9" s="12"/>
      <c r="AZ9" s="12"/>
      <c r="BA9" s="12"/>
      <c r="BB9" s="3"/>
      <c r="BC9" s="3"/>
      <c r="BD9" s="3"/>
      <c r="BE9" s="3"/>
      <c r="BF9" s="3"/>
      <c r="BG9" s="3"/>
      <c r="BH9" s="3"/>
      <c r="BI9" s="3"/>
      <c r="BJ9" s="3"/>
      <c r="BK9" s="4">
        <f>6.537*0.5</f>
        <v>3.2685</v>
      </c>
      <c r="BL9" s="4">
        <f>12.664*0.5</f>
        <v>6.3319999999999999</v>
      </c>
      <c r="BM9" s="4">
        <f>85.905*0.5</f>
        <v>42.952500000000001</v>
      </c>
      <c r="BN9" s="4">
        <f>SUM(BK9:BM9)</f>
        <v>52.552999999999997</v>
      </c>
      <c r="BO9" s="3">
        <f t="shared" si="1"/>
        <v>0.36447015393983223</v>
      </c>
      <c r="BP9" s="4">
        <f>(13.56+3.552)*0.5</f>
        <v>8.5560000000000009</v>
      </c>
      <c r="BQ9" s="4">
        <f>9.17*0.5</f>
        <v>4.585</v>
      </c>
      <c r="BR9" s="4">
        <f>12.026*0.5</f>
        <v>6.0129999999999999</v>
      </c>
      <c r="BS9" s="4">
        <f>SUM(BP9:BR9)</f>
        <v>19.154000000000003</v>
      </c>
      <c r="BT9" s="4">
        <f t="shared" si="2"/>
        <v>71.706999999999994</v>
      </c>
      <c r="BU9" s="3"/>
      <c r="BV9" s="3"/>
      <c r="BW9" s="3"/>
      <c r="BX9" s="3"/>
      <c r="BY9" s="4">
        <f>5.886*0.5</f>
        <v>2.9430000000000001</v>
      </c>
      <c r="BZ9" s="4">
        <f>5.53581*0.5</f>
        <v>2.7679049999999998</v>
      </c>
      <c r="CA9" s="4">
        <f>35.28824*0.5</f>
        <v>17.644120000000001</v>
      </c>
      <c r="CB9" s="12"/>
      <c r="CC9" s="4">
        <f>SUM(BY9:CB9)</f>
        <v>23.355025000000001</v>
      </c>
      <c r="CD9" s="4">
        <f>(3.18106+1.45924)*0.5</f>
        <v>2.3201499999999999</v>
      </c>
      <c r="CE9" s="4">
        <f>3.76702*0.5</f>
        <v>1.88351</v>
      </c>
      <c r="CF9" s="4">
        <f>4.66874*0.5</f>
        <v>2.3343699999999998</v>
      </c>
      <c r="CG9" s="4">
        <f>SUM(CD9:CF9)</f>
        <v>6.53803</v>
      </c>
      <c r="CH9" s="4">
        <f>CG9+CC9</f>
        <v>29.893055</v>
      </c>
      <c r="CI9" s="3"/>
      <c r="CJ9" s="3"/>
      <c r="CK9" s="3"/>
      <c r="CL9" s="2" t="s">
        <v>10</v>
      </c>
      <c r="CM9" s="7" t="s">
        <v>35</v>
      </c>
      <c r="CN9" s="8" t="s">
        <v>37</v>
      </c>
      <c r="CO9" s="11" t="s">
        <v>85</v>
      </c>
    </row>
    <row r="10" spans="1:93">
      <c r="A10" s="2" t="s">
        <v>6</v>
      </c>
      <c r="B10" s="2" t="s">
        <v>7</v>
      </c>
      <c r="C10" s="2" t="s">
        <v>149</v>
      </c>
      <c r="D10" s="2" t="s">
        <v>194</v>
      </c>
      <c r="E10" s="16">
        <v>1995</v>
      </c>
      <c r="F10" s="2">
        <v>2008</v>
      </c>
      <c r="G10" s="2">
        <v>1</v>
      </c>
      <c r="H10" s="2">
        <v>1</v>
      </c>
      <c r="I10" s="2">
        <v>1</v>
      </c>
      <c r="J10" s="2">
        <v>1</v>
      </c>
      <c r="K10" s="2">
        <v>0</v>
      </c>
      <c r="L10" s="2">
        <v>0</v>
      </c>
      <c r="M10" s="3">
        <v>23</v>
      </c>
      <c r="N10" s="4">
        <f t="shared" si="0"/>
        <v>216</v>
      </c>
      <c r="O10" s="3">
        <v>2000</v>
      </c>
      <c r="P10" s="3"/>
      <c r="Q10" s="4">
        <v>800</v>
      </c>
      <c r="R10" s="3"/>
      <c r="S10" s="3"/>
      <c r="T10" s="3"/>
      <c r="U10" s="12"/>
      <c r="V10" s="3"/>
      <c r="W10" s="3"/>
      <c r="X10" s="3"/>
      <c r="Y10" s="3"/>
      <c r="Z10" s="3"/>
      <c r="AA10" s="3"/>
      <c r="AB10" s="3"/>
      <c r="AC10" s="3"/>
      <c r="AD10" s="3"/>
      <c r="AE10" s="3"/>
      <c r="AF10" s="3"/>
      <c r="AG10" s="3"/>
      <c r="AH10" s="3"/>
      <c r="AI10" s="3"/>
      <c r="AJ10" s="3"/>
      <c r="AK10" s="3"/>
      <c r="AL10" s="3"/>
      <c r="AM10" s="3"/>
      <c r="AN10" s="3"/>
      <c r="AO10" s="3"/>
      <c r="AP10" s="3"/>
      <c r="AQ10" s="3"/>
      <c r="AR10" s="3"/>
      <c r="AS10" s="2"/>
      <c r="AT10" s="7"/>
      <c r="AU10" s="3">
        <v>2833.33</v>
      </c>
      <c r="AV10" s="3">
        <f>(10.5+13.5)/2</f>
        <v>12</v>
      </c>
      <c r="AW10" s="3"/>
      <c r="AX10" s="3">
        <f>(AV10/2)^2*PI()*AU10/10000</f>
        <v>32.044207367504043</v>
      </c>
      <c r="AY10" s="12"/>
      <c r="AZ10" s="12"/>
      <c r="BA10" s="12"/>
      <c r="BB10" s="3"/>
      <c r="BC10" s="3"/>
      <c r="BD10" s="3"/>
      <c r="BE10" s="3"/>
      <c r="BF10" s="3"/>
      <c r="BG10" s="3"/>
      <c r="BH10" s="3"/>
      <c r="BI10" s="3"/>
      <c r="BJ10" s="3"/>
      <c r="BK10" s="4">
        <f>5.1296*0.5</f>
        <v>2.5648</v>
      </c>
      <c r="BL10" s="4">
        <f>9.8915*0.5</f>
        <v>4.9457500000000003</v>
      </c>
      <c r="BM10" s="4">
        <f>66.7851*0.5</f>
        <v>33.39255</v>
      </c>
      <c r="BN10" s="4">
        <f>SUM(BK10:BM10)</f>
        <v>40.903100000000002</v>
      </c>
      <c r="BO10" s="3">
        <f t="shared" si="1"/>
        <v>0.23887798235341573</v>
      </c>
      <c r="BP10" s="4">
        <f>10.1972*0.5</f>
        <v>5.0986000000000002</v>
      </c>
      <c r="BQ10" s="3"/>
      <c r="BR10" s="4">
        <f>9.3445*0.5</f>
        <v>4.67225</v>
      </c>
      <c r="BS10" s="4">
        <f>SUM(BP10:BR10)</f>
        <v>9.7708499999999994</v>
      </c>
      <c r="BT10" s="4">
        <f t="shared" si="2"/>
        <v>50.673950000000005</v>
      </c>
      <c r="BU10" s="3"/>
      <c r="BV10" s="3"/>
      <c r="BW10" s="3"/>
      <c r="BX10" s="3"/>
      <c r="BY10" s="3"/>
      <c r="BZ10" s="3"/>
      <c r="CA10" s="3"/>
      <c r="CB10" s="3"/>
      <c r="CC10" s="3"/>
      <c r="CD10" s="3"/>
      <c r="CE10" s="3"/>
      <c r="CF10" s="3"/>
      <c r="CG10" s="3"/>
      <c r="CH10" s="3"/>
      <c r="CI10" s="3"/>
      <c r="CJ10" s="3"/>
      <c r="CK10" s="3"/>
      <c r="CL10" s="2" t="s">
        <v>148</v>
      </c>
      <c r="CM10" s="7" t="s">
        <v>35</v>
      </c>
      <c r="CN10" s="8" t="s">
        <v>33</v>
      </c>
      <c r="CO10" s="11" t="s">
        <v>85</v>
      </c>
    </row>
    <row r="11" spans="1:93">
      <c r="A11" s="2" t="s">
        <v>6</v>
      </c>
      <c r="B11" s="2" t="s">
        <v>7</v>
      </c>
      <c r="C11" s="2" t="s">
        <v>156</v>
      </c>
      <c r="D11" s="2" t="s">
        <v>193</v>
      </c>
      <c r="E11" s="16">
        <v>1995</v>
      </c>
      <c r="F11" s="2">
        <v>2008</v>
      </c>
      <c r="G11" s="2">
        <v>1</v>
      </c>
      <c r="H11" s="2">
        <v>0</v>
      </c>
      <c r="I11" s="2">
        <v>1</v>
      </c>
      <c r="J11" s="2">
        <v>1</v>
      </c>
      <c r="K11" s="2">
        <v>0</v>
      </c>
      <c r="L11" s="2">
        <v>0</v>
      </c>
      <c r="M11" s="3">
        <v>23</v>
      </c>
      <c r="N11" s="4">
        <f t="shared" si="0"/>
        <v>216</v>
      </c>
      <c r="O11" s="3">
        <v>2000</v>
      </c>
      <c r="P11" s="3"/>
      <c r="Q11" s="4">
        <v>800</v>
      </c>
      <c r="R11" s="3"/>
      <c r="S11" s="3"/>
      <c r="T11" s="3"/>
      <c r="U11" s="12"/>
      <c r="V11" s="3"/>
      <c r="W11" s="3"/>
      <c r="X11" s="3"/>
      <c r="Y11" s="3"/>
      <c r="Z11" s="3"/>
      <c r="AA11" s="3"/>
      <c r="AB11" s="3"/>
      <c r="AC11" s="3"/>
      <c r="AD11" s="3"/>
      <c r="AE11" s="3"/>
      <c r="AF11" s="3"/>
      <c r="AG11" s="3"/>
      <c r="AH11" s="3"/>
      <c r="AI11" s="3"/>
      <c r="AJ11" s="3"/>
      <c r="AK11" s="3"/>
      <c r="AL11" s="3"/>
      <c r="AM11" s="3"/>
      <c r="AN11" s="3"/>
      <c r="AO11" s="3"/>
      <c r="AP11" s="3"/>
      <c r="AQ11" s="3"/>
      <c r="AR11" s="3"/>
      <c r="AS11" s="2"/>
      <c r="AT11" s="7"/>
      <c r="AU11" s="3">
        <v>2629</v>
      </c>
      <c r="AV11" s="3">
        <f>(8.5+11.5)/2</f>
        <v>10</v>
      </c>
      <c r="AW11" s="3"/>
      <c r="AX11" s="3">
        <f>(AV11/2)^2*PI()*AU11/10000</f>
        <v>20.648117715718918</v>
      </c>
      <c r="AY11" s="12"/>
      <c r="AZ11" s="12"/>
      <c r="BA11" s="12"/>
      <c r="BB11" s="3"/>
      <c r="BC11" s="3"/>
      <c r="BD11" s="3"/>
      <c r="BE11" s="3"/>
      <c r="BF11" s="3"/>
      <c r="BG11" s="3"/>
      <c r="BH11" s="3"/>
      <c r="BI11" s="3"/>
      <c r="BJ11" s="3"/>
      <c r="BK11" s="4">
        <f>3.0425*0.5</f>
        <v>1.52125</v>
      </c>
      <c r="BL11" s="4">
        <f>5.962*0.5</f>
        <v>2.9809999999999999</v>
      </c>
      <c r="BM11" s="4">
        <f>39.9792*0.5</f>
        <v>19.989599999999999</v>
      </c>
      <c r="BN11" s="4">
        <f>SUM(BK11:BM11)</f>
        <v>24.491849999999999</v>
      </c>
      <c r="BO11" s="3">
        <f t="shared" si="1"/>
        <v>0.23912648493274294</v>
      </c>
      <c r="BP11" s="4">
        <f>6.2232*0.5</f>
        <v>3.1116000000000001</v>
      </c>
      <c r="BQ11" s="3"/>
      <c r="BR11" s="4">
        <f>5.4901*0.5</f>
        <v>2.74505</v>
      </c>
      <c r="BS11" s="4">
        <f>SUM(BP11:BR11)</f>
        <v>5.8566500000000001</v>
      </c>
      <c r="BT11" s="4">
        <f t="shared" si="2"/>
        <v>30.348500000000001</v>
      </c>
      <c r="BU11" s="3"/>
      <c r="BV11" s="3"/>
      <c r="BW11" s="3"/>
      <c r="BX11" s="3"/>
      <c r="BY11" s="3"/>
      <c r="BZ11" s="3"/>
      <c r="CA11" s="3"/>
      <c r="CB11" s="3"/>
      <c r="CC11" s="3"/>
      <c r="CD11" s="3"/>
      <c r="CE11" s="3"/>
      <c r="CF11" s="3"/>
      <c r="CG11" s="3"/>
      <c r="CH11" s="3"/>
      <c r="CI11" s="3"/>
      <c r="CJ11" s="3"/>
      <c r="CK11" s="3"/>
      <c r="CL11" s="2" t="s">
        <v>148</v>
      </c>
      <c r="CM11" s="7" t="s">
        <v>35</v>
      </c>
      <c r="CN11" s="8" t="s">
        <v>33</v>
      </c>
      <c r="CO11" s="11" t="s">
        <v>85</v>
      </c>
    </row>
    <row r="12" spans="1:93">
      <c r="A12" s="2" t="s">
        <v>6</v>
      </c>
      <c r="B12" s="2" t="s">
        <v>18</v>
      </c>
      <c r="C12" s="2" t="s">
        <v>139</v>
      </c>
      <c r="D12" s="2" t="s">
        <v>209</v>
      </c>
      <c r="E12" s="2">
        <v>2000</v>
      </c>
      <c r="F12" s="2">
        <v>2011</v>
      </c>
      <c r="G12" s="2">
        <v>1</v>
      </c>
      <c r="H12" s="16">
        <v>0</v>
      </c>
      <c r="I12" s="2">
        <v>1</v>
      </c>
      <c r="J12" s="16">
        <v>1</v>
      </c>
      <c r="K12" s="16">
        <v>0</v>
      </c>
      <c r="L12" s="16">
        <v>0</v>
      </c>
      <c r="M12" s="3">
        <v>16.899999999999999</v>
      </c>
      <c r="N12" s="4">
        <f t="shared" si="0"/>
        <v>142.79999999999998</v>
      </c>
      <c r="O12" s="3">
        <f>(1251+1608)/2</f>
        <v>1429.5</v>
      </c>
      <c r="P12" s="3"/>
      <c r="Q12" s="3">
        <v>112</v>
      </c>
      <c r="R12" s="3"/>
      <c r="S12" s="3"/>
      <c r="T12" s="3"/>
      <c r="U12" s="12"/>
      <c r="V12" s="3"/>
      <c r="W12" s="3"/>
      <c r="X12" s="3">
        <v>2.0299999999999998</v>
      </c>
      <c r="Y12" s="3">
        <v>0.37</v>
      </c>
      <c r="Z12" s="3">
        <v>15</v>
      </c>
      <c r="AA12" s="3"/>
      <c r="AB12" s="3"/>
      <c r="AC12" s="3"/>
      <c r="AD12" s="3"/>
      <c r="AE12" s="3"/>
      <c r="AF12" s="3"/>
      <c r="AG12" s="3"/>
      <c r="AH12" s="3"/>
      <c r="AI12" s="3"/>
      <c r="AJ12" s="3"/>
      <c r="AK12" s="3"/>
      <c r="AL12" s="3"/>
      <c r="AM12" s="3"/>
      <c r="AN12" s="3"/>
      <c r="AO12" s="3"/>
      <c r="AP12" s="3"/>
      <c r="AQ12" s="3"/>
      <c r="AR12" s="3"/>
      <c r="AS12" s="2"/>
      <c r="AT12" s="3"/>
      <c r="AU12" s="3"/>
      <c r="AV12" s="3">
        <v>8.3000000000000007</v>
      </c>
      <c r="AW12" s="3">
        <v>13.1</v>
      </c>
      <c r="AX12" s="3"/>
      <c r="AY12" s="12"/>
      <c r="AZ12" s="12"/>
      <c r="BA12" s="12"/>
      <c r="BB12" s="3"/>
      <c r="BC12" s="3"/>
      <c r="BD12" s="3"/>
      <c r="BE12" s="3"/>
      <c r="BF12" s="3"/>
      <c r="BG12" s="3"/>
      <c r="BH12" s="3"/>
      <c r="BI12" s="3">
        <f>25.86/1000*100</f>
        <v>2.5860000000000003</v>
      </c>
      <c r="BJ12" s="3">
        <f>25.86/1000*100</f>
        <v>2.5860000000000003</v>
      </c>
      <c r="BK12" s="12"/>
      <c r="BL12" s="12"/>
      <c r="BM12" s="12"/>
      <c r="BN12" s="4">
        <f>4006.1*10000/1000/1000*0.5</f>
        <v>20.0305</v>
      </c>
      <c r="BO12" s="3"/>
      <c r="BP12" s="4">
        <f>(419.2+249.3)*10000/1000/1000*0.5</f>
        <v>3.3424999999999998</v>
      </c>
      <c r="BQ12" s="3"/>
      <c r="BR12" s="3"/>
      <c r="BS12" s="3"/>
      <c r="BT12" s="3"/>
      <c r="BU12" s="3"/>
      <c r="BV12" s="3"/>
      <c r="BW12" s="3"/>
      <c r="BX12" s="3"/>
      <c r="BY12" s="3"/>
      <c r="BZ12" s="3"/>
      <c r="CA12" s="3"/>
      <c r="CB12" s="4">
        <f>384.9*10000/1000/1000*0.5</f>
        <v>1.9245000000000001</v>
      </c>
      <c r="CC12" s="3"/>
      <c r="CD12" s="3"/>
      <c r="CE12" s="3"/>
      <c r="CF12" s="3"/>
      <c r="CG12" s="3"/>
      <c r="CH12" s="3"/>
      <c r="CI12" s="3"/>
      <c r="CJ12" s="3"/>
      <c r="CK12" s="3"/>
      <c r="CL12" s="2" t="s">
        <v>19</v>
      </c>
      <c r="CM12" s="7" t="s">
        <v>35</v>
      </c>
      <c r="CN12" s="8" t="s">
        <v>45</v>
      </c>
      <c r="CO12" s="11" t="s">
        <v>85</v>
      </c>
    </row>
    <row r="13" spans="1:93">
      <c r="A13" s="2" t="s">
        <v>6</v>
      </c>
      <c r="B13" s="2" t="s">
        <v>18</v>
      </c>
      <c r="C13" s="2" t="s">
        <v>140</v>
      </c>
      <c r="D13" s="2" t="s">
        <v>210</v>
      </c>
      <c r="E13" s="2">
        <v>2000</v>
      </c>
      <c r="F13" s="2">
        <v>2011</v>
      </c>
      <c r="G13" s="2">
        <v>1</v>
      </c>
      <c r="H13" s="16">
        <v>0</v>
      </c>
      <c r="I13" s="2">
        <v>1</v>
      </c>
      <c r="J13" s="16">
        <v>1</v>
      </c>
      <c r="K13" s="16">
        <v>0</v>
      </c>
      <c r="L13" s="16">
        <v>0</v>
      </c>
      <c r="M13" s="3">
        <v>16.899999999999999</v>
      </c>
      <c r="N13" s="4">
        <f t="shared" si="0"/>
        <v>142.79999999999998</v>
      </c>
      <c r="O13" s="3">
        <f>(1251+1608)/2</f>
        <v>1429.5</v>
      </c>
      <c r="P13" s="3"/>
      <c r="Q13" s="3">
        <v>168</v>
      </c>
      <c r="R13" s="3"/>
      <c r="S13" s="3"/>
      <c r="T13" s="3"/>
      <c r="U13" s="12"/>
      <c r="V13" s="3"/>
      <c r="W13" s="3"/>
      <c r="X13" s="3">
        <v>1.1200000000000001</v>
      </c>
      <c r="Y13" s="3">
        <v>0.31</v>
      </c>
      <c r="Z13" s="3">
        <v>12.7</v>
      </c>
      <c r="AA13" s="3"/>
      <c r="AB13" s="3"/>
      <c r="AC13" s="3"/>
      <c r="AD13" s="3"/>
      <c r="AE13" s="3"/>
      <c r="AF13" s="3"/>
      <c r="AG13" s="3"/>
      <c r="AH13" s="3"/>
      <c r="AI13" s="3"/>
      <c r="AJ13" s="3"/>
      <c r="AK13" s="3"/>
      <c r="AL13" s="3"/>
      <c r="AM13" s="3"/>
      <c r="AN13" s="3"/>
      <c r="AO13" s="3"/>
      <c r="AP13" s="3"/>
      <c r="AQ13" s="3"/>
      <c r="AR13" s="3"/>
      <c r="AS13" s="2"/>
      <c r="AT13" s="3"/>
      <c r="AU13" s="3"/>
      <c r="AV13" s="3">
        <v>8.8000000000000007</v>
      </c>
      <c r="AW13" s="3">
        <v>12.3</v>
      </c>
      <c r="AX13" s="3"/>
      <c r="AY13" s="12"/>
      <c r="AZ13" s="12"/>
      <c r="BA13" s="12"/>
      <c r="BB13" s="3"/>
      <c r="BC13" s="3"/>
      <c r="BD13" s="3"/>
      <c r="BE13" s="3"/>
      <c r="BF13" s="3"/>
      <c r="BG13" s="3"/>
      <c r="BH13" s="3"/>
      <c r="BI13" s="3">
        <f>23.72/1000*100</f>
        <v>2.3719999999999999</v>
      </c>
      <c r="BJ13" s="3">
        <f>23.72/1000*100</f>
        <v>2.3719999999999999</v>
      </c>
      <c r="BK13" s="12"/>
      <c r="BL13" s="12"/>
      <c r="BM13" s="12"/>
      <c r="BN13" s="4">
        <f>3421.4*10000/1000/1000*0.5</f>
        <v>17.106999999999999</v>
      </c>
      <c r="BO13" s="3"/>
      <c r="BP13" s="4">
        <f>(638.7+372.1)*10000/1000/1000*0.5</f>
        <v>5.0540000000000003</v>
      </c>
      <c r="BQ13" s="3"/>
      <c r="BR13" s="3"/>
      <c r="BS13" s="3"/>
      <c r="BT13" s="3"/>
      <c r="BU13" s="3"/>
      <c r="BV13" s="3"/>
      <c r="BW13" s="3"/>
      <c r="BX13" s="3"/>
      <c r="BY13" s="3"/>
      <c r="BZ13" s="3"/>
      <c r="CA13" s="3"/>
      <c r="CB13" s="4">
        <f>246.1*10000/1000/1000*0.5</f>
        <v>1.2304999999999999</v>
      </c>
      <c r="CC13" s="3"/>
      <c r="CD13" s="3"/>
      <c r="CE13" s="3"/>
      <c r="CF13" s="3"/>
      <c r="CG13" s="3"/>
      <c r="CH13" s="3"/>
      <c r="CI13" s="3"/>
      <c r="CJ13" s="3"/>
      <c r="CK13" s="3"/>
      <c r="CL13" s="2" t="s">
        <v>19</v>
      </c>
      <c r="CM13" s="7" t="s">
        <v>35</v>
      </c>
      <c r="CN13" s="8" t="s">
        <v>45</v>
      </c>
      <c r="CO13" s="11" t="s">
        <v>85</v>
      </c>
    </row>
    <row r="14" spans="1:93">
      <c r="A14" s="2" t="s">
        <v>6</v>
      </c>
      <c r="B14" s="2" t="s">
        <v>259</v>
      </c>
      <c r="C14" s="2" t="s">
        <v>141</v>
      </c>
      <c r="D14" s="2" t="s">
        <v>230</v>
      </c>
      <c r="E14" s="2">
        <v>2000</v>
      </c>
      <c r="F14" s="2">
        <v>2011</v>
      </c>
      <c r="G14" s="2">
        <v>0</v>
      </c>
      <c r="H14" s="2">
        <v>0</v>
      </c>
      <c r="I14" s="2">
        <v>0</v>
      </c>
      <c r="J14" s="2">
        <v>0</v>
      </c>
      <c r="K14" s="2">
        <v>0</v>
      </c>
      <c r="L14" s="2">
        <v>0</v>
      </c>
      <c r="M14" s="3">
        <v>16.899999999999999</v>
      </c>
      <c r="N14" s="4">
        <f t="shared" si="0"/>
        <v>142.79999999999998</v>
      </c>
      <c r="O14" s="3">
        <f>(1251+1608)/2</f>
        <v>1429.5</v>
      </c>
      <c r="P14" s="3"/>
      <c r="Q14" s="12">
        <v>161</v>
      </c>
      <c r="R14" s="3"/>
      <c r="S14" s="3"/>
      <c r="T14" s="3"/>
      <c r="U14" s="12"/>
      <c r="V14" s="3"/>
      <c r="W14" s="3"/>
      <c r="X14" s="3">
        <v>1.33</v>
      </c>
      <c r="Y14" s="3">
        <v>0.32</v>
      </c>
      <c r="Z14" s="3">
        <v>9.68</v>
      </c>
      <c r="AA14" s="3"/>
      <c r="AB14" s="3"/>
      <c r="AC14" s="3"/>
      <c r="AD14" s="3"/>
      <c r="AE14" s="3"/>
      <c r="AF14" s="3"/>
      <c r="AG14" s="3"/>
      <c r="AH14" s="3"/>
      <c r="AI14" s="3"/>
      <c r="AJ14" s="3"/>
      <c r="AK14" s="3"/>
      <c r="AL14" s="3"/>
      <c r="AM14" s="3"/>
      <c r="AN14" s="3"/>
      <c r="AO14" s="3"/>
      <c r="AP14" s="3"/>
      <c r="AQ14" s="3"/>
      <c r="AR14" s="3"/>
      <c r="AS14" s="2"/>
      <c r="AT14" s="3"/>
      <c r="AU14" s="3"/>
      <c r="AV14" s="3">
        <v>8.1999999999999993</v>
      </c>
      <c r="AW14" s="3">
        <v>11.1</v>
      </c>
      <c r="AX14" s="3"/>
      <c r="AY14" s="12"/>
      <c r="AZ14" s="12"/>
      <c r="BA14" s="12"/>
      <c r="BB14" s="3"/>
      <c r="BC14" s="3"/>
      <c r="BD14" s="3"/>
      <c r="BE14" s="3"/>
      <c r="BF14" s="3"/>
      <c r="BG14" s="3"/>
      <c r="BH14" s="3"/>
      <c r="BI14" s="3">
        <f>26.41/1000*100</f>
        <v>2.641</v>
      </c>
      <c r="BJ14" s="3">
        <f>26.41/1000*100</f>
        <v>2.641</v>
      </c>
      <c r="BK14" s="12"/>
      <c r="BL14" s="12"/>
      <c r="BM14" s="12"/>
      <c r="BN14" s="4">
        <f>2857.7*10000/1000/1000*0.5</f>
        <v>14.288500000000001</v>
      </c>
      <c r="BO14" s="3">
        <f>BS14/BN14</f>
        <v>0.27361164572908281</v>
      </c>
      <c r="BP14" s="4">
        <f>(781.9+371.3)*10000/1000/1000*0.5</f>
        <v>5.766</v>
      </c>
      <c r="BQ14" s="3"/>
      <c r="BR14" s="3"/>
      <c r="BS14" s="3">
        <v>3.9095</v>
      </c>
      <c r="BT14" s="3">
        <v>18.1995</v>
      </c>
      <c r="BU14" s="3"/>
      <c r="BV14" s="3">
        <v>86.17</v>
      </c>
      <c r="BW14" s="3"/>
      <c r="BX14" s="3">
        <v>104.3695</v>
      </c>
      <c r="BY14" s="3"/>
      <c r="BZ14" s="3"/>
      <c r="CA14" s="3"/>
      <c r="CB14" s="4">
        <f>401.8*10000/1000/1000*0.5</f>
        <v>2.0089999999999999</v>
      </c>
      <c r="CC14" s="3"/>
      <c r="CD14" s="3"/>
      <c r="CE14" s="3"/>
      <c r="CF14" s="3"/>
      <c r="CG14" s="3"/>
      <c r="CH14" s="3"/>
      <c r="CI14" s="3"/>
      <c r="CJ14" s="3"/>
      <c r="CK14" s="3"/>
      <c r="CL14" s="2" t="s">
        <v>19</v>
      </c>
      <c r="CM14" s="7" t="s">
        <v>35</v>
      </c>
      <c r="CN14" s="8" t="s">
        <v>45</v>
      </c>
      <c r="CO14" s="11" t="s">
        <v>85</v>
      </c>
    </row>
    <row r="15" spans="1:93">
      <c r="A15" s="2" t="s">
        <v>6</v>
      </c>
      <c r="B15" s="2" t="s">
        <v>253</v>
      </c>
      <c r="C15" s="6" t="s">
        <v>183</v>
      </c>
      <c r="D15" s="6" t="s">
        <v>251</v>
      </c>
      <c r="E15" s="2">
        <v>2005</v>
      </c>
      <c r="F15" s="2">
        <v>2006</v>
      </c>
      <c r="G15" s="16">
        <v>1</v>
      </c>
      <c r="H15" s="16">
        <v>0</v>
      </c>
      <c r="I15" s="16">
        <v>1</v>
      </c>
      <c r="J15" s="16">
        <v>0</v>
      </c>
      <c r="K15" s="16">
        <v>0</v>
      </c>
      <c r="L15" s="16">
        <v>0</v>
      </c>
      <c r="M15" s="3">
        <v>16.5</v>
      </c>
      <c r="N15" s="4">
        <f t="shared" si="0"/>
        <v>138</v>
      </c>
      <c r="O15" s="3">
        <f>1300</f>
        <v>1300</v>
      </c>
      <c r="P15" s="3"/>
      <c r="Q15" s="4">
        <v>379</v>
      </c>
      <c r="R15" s="3">
        <v>80</v>
      </c>
      <c r="S15" s="3">
        <v>1445.4</v>
      </c>
      <c r="T15" s="3"/>
      <c r="U15" s="12"/>
      <c r="V15" s="3"/>
      <c r="W15" s="3"/>
      <c r="X15" s="3">
        <v>1.33</v>
      </c>
      <c r="Y15" s="3">
        <v>0.57999999999999996</v>
      </c>
      <c r="Z15" s="3">
        <v>21.6</v>
      </c>
      <c r="AA15" s="4">
        <f>((30.973762*2+15.999*5)/30.973762)*1.96</f>
        <v>8.9820328263644562</v>
      </c>
      <c r="AB15" s="4"/>
      <c r="AC15" s="3"/>
      <c r="AD15" s="3"/>
      <c r="AE15" s="3"/>
      <c r="AF15" s="3"/>
      <c r="AG15" s="3"/>
      <c r="AH15" s="3"/>
      <c r="AI15" s="3"/>
      <c r="AJ15" s="3"/>
      <c r="AK15" s="3"/>
      <c r="AL15" s="3"/>
      <c r="AM15" s="3"/>
      <c r="AN15" s="3"/>
      <c r="AO15" s="3"/>
      <c r="AP15" s="3"/>
      <c r="AQ15" s="3"/>
      <c r="AR15" s="3"/>
      <c r="AS15" s="2"/>
      <c r="AT15" s="3"/>
      <c r="AU15" s="3"/>
      <c r="AV15" s="3"/>
      <c r="AW15" s="3"/>
      <c r="AX15" s="3"/>
      <c r="AY15" s="12"/>
      <c r="AZ15" s="12"/>
      <c r="BA15" s="12"/>
      <c r="BB15" s="3"/>
      <c r="BC15" s="3"/>
      <c r="BD15" s="3"/>
      <c r="BE15" s="3"/>
      <c r="BF15" s="3"/>
      <c r="BG15" s="3"/>
      <c r="BH15" s="3"/>
      <c r="BI15" s="3"/>
      <c r="BJ15" s="3"/>
      <c r="BK15" s="12"/>
      <c r="BL15" s="12"/>
      <c r="BM15" s="12"/>
      <c r="BN15" s="4"/>
      <c r="BO15" s="3"/>
      <c r="BP15" s="3"/>
      <c r="BQ15" s="3"/>
      <c r="BR15" s="3"/>
      <c r="BS15" s="3"/>
      <c r="BT15" s="3">
        <v>31.97</v>
      </c>
      <c r="BU15" s="3">
        <v>0.74</v>
      </c>
      <c r="BV15" s="3">
        <v>110.95</v>
      </c>
      <c r="BW15" s="3">
        <v>0.64</v>
      </c>
      <c r="BX15" s="3">
        <f>SUM(BT15:BW15)</f>
        <v>144.29999999999998</v>
      </c>
      <c r="BY15" s="4"/>
      <c r="BZ15" s="4"/>
      <c r="CA15" s="4">
        <v>8.2899999999999991</v>
      </c>
      <c r="CB15" s="3">
        <v>1.1100000000000001</v>
      </c>
      <c r="CC15" s="3">
        <f>SUM(BY15:CB15)</f>
        <v>9.3999999999999986</v>
      </c>
      <c r="CD15" s="3">
        <v>0.96</v>
      </c>
      <c r="CE15" s="3"/>
      <c r="CF15" s="3"/>
      <c r="CG15" s="4">
        <f>SUM(CD15:CF15)</f>
        <v>0.96</v>
      </c>
      <c r="CH15" s="3">
        <f>CG15+CC15</f>
        <v>10.36</v>
      </c>
      <c r="CI15" s="3">
        <f>33.941*12/44</f>
        <v>9.256636363636364</v>
      </c>
      <c r="CJ15" s="3">
        <f>20.19*12/44</f>
        <v>5.5063636363636368</v>
      </c>
      <c r="CK15" s="4">
        <f>CH15-CJ15</f>
        <v>4.8536363636363626</v>
      </c>
      <c r="CL15" s="2" t="s">
        <v>184</v>
      </c>
      <c r="CM15" s="7" t="s">
        <v>35</v>
      </c>
      <c r="CN15" s="8" t="s">
        <v>180</v>
      </c>
      <c r="CO15" s="11" t="s">
        <v>85</v>
      </c>
    </row>
    <row r="16" spans="1:93">
      <c r="A16" s="2" t="s">
        <v>6</v>
      </c>
      <c r="B16" s="2" t="s">
        <v>254</v>
      </c>
      <c r="C16" s="2" t="s">
        <v>152</v>
      </c>
      <c r="D16" s="2" t="s">
        <v>250</v>
      </c>
      <c r="E16" s="2">
        <v>2011</v>
      </c>
      <c r="F16" s="2">
        <v>2011</v>
      </c>
      <c r="G16" s="2">
        <v>0</v>
      </c>
      <c r="H16" s="2">
        <v>0</v>
      </c>
      <c r="I16" s="2">
        <v>0</v>
      </c>
      <c r="J16" s="2">
        <v>0</v>
      </c>
      <c r="K16" s="2">
        <v>0</v>
      </c>
      <c r="L16" s="2">
        <v>0</v>
      </c>
      <c r="M16" s="3">
        <f>(15.8+17.7)/2</f>
        <v>16.75</v>
      </c>
      <c r="N16" s="4">
        <v>141</v>
      </c>
      <c r="O16" s="3">
        <v>1590.9</v>
      </c>
      <c r="P16" s="3"/>
      <c r="Q16" s="3">
        <v>500</v>
      </c>
      <c r="R16" s="3"/>
      <c r="S16" s="3">
        <v>1657</v>
      </c>
      <c r="T16" s="3"/>
      <c r="U16" s="12"/>
      <c r="V16" s="3"/>
      <c r="W16" s="3"/>
      <c r="X16" s="3"/>
      <c r="Y16" s="3"/>
      <c r="Z16" s="3"/>
      <c r="AA16" s="3"/>
      <c r="AB16" s="3"/>
      <c r="AC16" s="3"/>
      <c r="AD16" s="3"/>
      <c r="AE16" s="3"/>
      <c r="AF16" s="3"/>
      <c r="AG16" s="3"/>
      <c r="AH16" s="3"/>
      <c r="AI16" s="3"/>
      <c r="AJ16" s="3"/>
      <c r="AK16" s="3"/>
      <c r="AL16" s="3"/>
      <c r="AM16" s="3"/>
      <c r="AN16" s="3"/>
      <c r="AO16" s="3"/>
      <c r="AP16" s="3"/>
      <c r="AQ16" s="3"/>
      <c r="AR16" s="3"/>
      <c r="AS16" s="2"/>
      <c r="AT16" s="3"/>
      <c r="AU16" s="3">
        <v>3000</v>
      </c>
      <c r="AV16" s="3">
        <v>9.5</v>
      </c>
      <c r="AW16" s="3"/>
      <c r="AX16" s="3">
        <f>(AV16/2)^2*PI()*AU16/10000</f>
        <v>21.264655273985909</v>
      </c>
      <c r="AY16" s="12"/>
      <c r="AZ16" s="12"/>
      <c r="BA16" s="12"/>
      <c r="BB16" s="3"/>
      <c r="BC16" s="3"/>
      <c r="BD16" s="3"/>
      <c r="BE16" s="3"/>
      <c r="BF16" s="3"/>
      <c r="BG16" s="3"/>
      <c r="BH16" s="3"/>
      <c r="BI16" s="3"/>
      <c r="BJ16" s="3"/>
      <c r="BK16" s="12"/>
      <c r="BL16" s="12"/>
      <c r="BM16" s="12"/>
      <c r="BN16" s="4">
        <f>16.42*100/37.73*0.5</f>
        <v>21.759872780280947</v>
      </c>
      <c r="BO16" s="3"/>
      <c r="BP16" s="3"/>
      <c r="BQ16" s="3"/>
      <c r="BR16" s="3"/>
      <c r="BS16" s="3"/>
      <c r="BT16" s="3"/>
      <c r="BU16" s="3"/>
      <c r="BV16" s="3"/>
      <c r="BW16" s="3"/>
      <c r="BX16" s="3"/>
      <c r="BY16" s="3"/>
      <c r="BZ16" s="3"/>
      <c r="CA16" s="3"/>
      <c r="CB16" s="3"/>
      <c r="CC16" s="3"/>
      <c r="CD16" s="3"/>
      <c r="CE16" s="3"/>
      <c r="CF16" s="3"/>
      <c r="CG16" s="3"/>
      <c r="CH16" s="3"/>
      <c r="CI16" s="3"/>
      <c r="CJ16" s="3"/>
      <c r="CK16" s="3"/>
      <c r="CL16" s="2" t="s">
        <v>47</v>
      </c>
      <c r="CM16" s="7" t="s">
        <v>35</v>
      </c>
      <c r="CN16" s="8" t="s">
        <v>151</v>
      </c>
      <c r="CO16" s="11" t="s">
        <v>85</v>
      </c>
    </row>
    <row r="17" spans="1:99">
      <c r="A17" s="2" t="s">
        <v>6</v>
      </c>
      <c r="B17" s="2" t="s">
        <v>171</v>
      </c>
      <c r="C17" s="2" t="s">
        <v>175</v>
      </c>
      <c r="D17" s="2" t="s">
        <v>212</v>
      </c>
      <c r="E17" s="2">
        <v>1977</v>
      </c>
      <c r="F17" s="2">
        <v>2008</v>
      </c>
      <c r="G17" s="2">
        <v>1</v>
      </c>
      <c r="H17" s="2">
        <v>1</v>
      </c>
      <c r="I17" s="2">
        <v>1</v>
      </c>
      <c r="J17" s="2">
        <v>1</v>
      </c>
      <c r="K17" s="2">
        <v>0</v>
      </c>
      <c r="L17" s="2">
        <v>0</v>
      </c>
      <c r="M17" s="3">
        <f>(15.9+16.2+(15.8+17.7)/2+16.5+18.7)/5</f>
        <v>16.809999999999999</v>
      </c>
      <c r="N17" s="4">
        <f>(M17-5)*12</f>
        <v>141.71999999999997</v>
      </c>
      <c r="O17" s="3">
        <f>(1424+1350+1591+1300+1568)/5</f>
        <v>1446.6</v>
      </c>
      <c r="P17" s="3"/>
      <c r="Q17" s="4">
        <v>3</v>
      </c>
      <c r="R17" s="3"/>
      <c r="S17" s="3"/>
      <c r="T17" s="3"/>
      <c r="U17" s="12"/>
      <c r="V17" s="3"/>
      <c r="W17" s="3"/>
      <c r="X17" s="3"/>
      <c r="Y17" s="3"/>
      <c r="Z17" s="3"/>
      <c r="AA17" s="3"/>
      <c r="AB17" s="3"/>
      <c r="AC17" s="3"/>
      <c r="AD17" s="3"/>
      <c r="AE17" s="3"/>
      <c r="AF17" s="3"/>
      <c r="AG17" s="3"/>
      <c r="AH17" s="3"/>
      <c r="AI17" s="3"/>
      <c r="AJ17" s="3"/>
      <c r="AK17" s="3"/>
      <c r="AL17" s="3"/>
      <c r="AM17" s="3"/>
      <c r="AN17" s="3"/>
      <c r="AO17" s="3"/>
      <c r="AP17" s="3"/>
      <c r="AQ17" s="3"/>
      <c r="AR17" s="3"/>
      <c r="AS17" s="2"/>
      <c r="AT17" s="3"/>
      <c r="AU17" s="3"/>
      <c r="AV17" s="3"/>
      <c r="AW17" s="3"/>
      <c r="AX17" s="3"/>
      <c r="AY17" s="12"/>
      <c r="AZ17" s="12"/>
      <c r="BA17" s="12"/>
      <c r="BB17" s="3"/>
      <c r="BC17" s="3"/>
      <c r="BD17" s="3"/>
      <c r="BE17" s="3"/>
      <c r="BF17" s="3"/>
      <c r="BG17" s="3"/>
      <c r="BH17" s="3"/>
      <c r="BI17" s="3"/>
      <c r="BJ17" s="3"/>
      <c r="BK17" s="12"/>
      <c r="BL17" s="12"/>
      <c r="BM17" s="12"/>
      <c r="BN17" s="4">
        <f>105.76*0.5</f>
        <v>52.88</v>
      </c>
      <c r="BO17" s="3">
        <f>BS17/BN17</f>
        <v>0.63350983358547652</v>
      </c>
      <c r="BP17" s="3"/>
      <c r="BQ17" s="3"/>
      <c r="BR17" s="3"/>
      <c r="BS17" s="4">
        <f>67*0.5</f>
        <v>33.5</v>
      </c>
      <c r="BT17" s="4">
        <f>BS17+BN17</f>
        <v>86.38</v>
      </c>
      <c r="BU17" s="4"/>
      <c r="BV17" s="3"/>
      <c r="BW17" s="3"/>
      <c r="BX17" s="3">
        <v>95.42</v>
      </c>
      <c r="BY17" s="3"/>
      <c r="BZ17" s="3"/>
      <c r="CA17" s="3"/>
      <c r="CB17" s="3"/>
      <c r="CC17" s="3"/>
      <c r="CD17" s="3"/>
      <c r="CE17" s="3"/>
      <c r="CF17" s="3"/>
      <c r="CG17" s="3"/>
      <c r="CH17" s="3"/>
      <c r="CI17" s="3"/>
      <c r="CJ17" s="3"/>
      <c r="CK17" s="3"/>
      <c r="CL17" s="2" t="s">
        <v>137</v>
      </c>
      <c r="CM17" s="7" t="s">
        <v>35</v>
      </c>
      <c r="CN17" s="8" t="s">
        <v>46</v>
      </c>
      <c r="CO17" s="11" t="s">
        <v>85</v>
      </c>
    </row>
    <row r="18" spans="1:99">
      <c r="A18" s="2" t="s">
        <v>6</v>
      </c>
      <c r="B18" s="2" t="s">
        <v>170</v>
      </c>
      <c r="C18" s="2" t="s">
        <v>174</v>
      </c>
      <c r="D18" s="2" t="s">
        <v>211</v>
      </c>
      <c r="E18" s="2">
        <v>1977</v>
      </c>
      <c r="F18" s="2">
        <v>2008</v>
      </c>
      <c r="G18" s="2">
        <v>1</v>
      </c>
      <c r="H18" s="2">
        <v>1</v>
      </c>
      <c r="I18" s="2">
        <v>1</v>
      </c>
      <c r="J18" s="2">
        <v>1</v>
      </c>
      <c r="K18" s="2">
        <v>0</v>
      </c>
      <c r="L18" s="2">
        <v>0</v>
      </c>
      <c r="M18" s="3">
        <f>((14+19)/2+(12.2+15.6)/2)/2</f>
        <v>15.2</v>
      </c>
      <c r="N18" s="4">
        <f>(M18-5)*12</f>
        <v>122.39999999999999</v>
      </c>
      <c r="O18" s="3">
        <f>((1150+1490)/2+(1100+1900)/2)/2</f>
        <v>1410</v>
      </c>
      <c r="P18" s="3"/>
      <c r="Q18" s="4">
        <v>49</v>
      </c>
      <c r="R18" s="3"/>
      <c r="S18" s="3"/>
      <c r="T18" s="3"/>
      <c r="U18" s="12"/>
      <c r="V18" s="3"/>
      <c r="W18" s="3"/>
      <c r="X18" s="3"/>
      <c r="Y18" s="3"/>
      <c r="Z18" s="3"/>
      <c r="AA18" s="3"/>
      <c r="AB18" s="3"/>
      <c r="AC18" s="3"/>
      <c r="AD18" s="3"/>
      <c r="AE18" s="3"/>
      <c r="AF18" s="3"/>
      <c r="AG18" s="3"/>
      <c r="AH18" s="3"/>
      <c r="AI18" s="3"/>
      <c r="AJ18" s="3"/>
      <c r="AK18" s="3"/>
      <c r="AL18" s="3"/>
      <c r="AM18" s="3"/>
      <c r="AN18" s="3"/>
      <c r="AO18" s="3"/>
      <c r="AP18" s="3"/>
      <c r="AQ18" s="3"/>
      <c r="AR18" s="3"/>
      <c r="AS18" s="2"/>
      <c r="AT18" s="3"/>
      <c r="AU18" s="3"/>
      <c r="AV18" s="3"/>
      <c r="AW18" s="3"/>
      <c r="AX18" s="3"/>
      <c r="AY18" s="12"/>
      <c r="AZ18" s="12"/>
      <c r="BA18" s="12"/>
      <c r="BB18" s="3"/>
      <c r="BC18" s="3"/>
      <c r="BD18" s="3"/>
      <c r="BE18" s="3"/>
      <c r="BF18" s="3"/>
      <c r="BG18" s="3"/>
      <c r="BH18" s="3"/>
      <c r="BI18" s="3"/>
      <c r="BJ18" s="3"/>
      <c r="BK18" s="12"/>
      <c r="BL18" s="12"/>
      <c r="BM18" s="12"/>
      <c r="BN18" s="4">
        <f>96.54*0.5</f>
        <v>48.27</v>
      </c>
      <c r="BO18" s="3">
        <f>BS18/BN18</f>
        <v>0.48839859125750978</v>
      </c>
      <c r="BP18" s="3"/>
      <c r="BQ18" s="3"/>
      <c r="BR18" s="3"/>
      <c r="BS18" s="4">
        <f>47.15*0.5</f>
        <v>23.574999999999999</v>
      </c>
      <c r="BT18" s="4">
        <f>BS18+BN18</f>
        <v>71.844999999999999</v>
      </c>
      <c r="BU18" s="4"/>
      <c r="BV18" s="3"/>
      <c r="BW18" s="3"/>
      <c r="BX18" s="3">
        <v>69.63000000000001</v>
      </c>
      <c r="BY18" s="3"/>
      <c r="BZ18" s="3"/>
      <c r="CA18" s="3"/>
      <c r="CB18" s="3"/>
      <c r="CC18" s="3"/>
      <c r="CD18" s="3"/>
      <c r="CE18" s="3"/>
      <c r="CF18" s="3"/>
      <c r="CG18" s="3"/>
      <c r="CH18" s="3"/>
      <c r="CI18" s="3"/>
      <c r="CJ18" s="3"/>
      <c r="CK18" s="2"/>
      <c r="CL18" s="2" t="s">
        <v>21</v>
      </c>
      <c r="CM18" s="7" t="s">
        <v>35</v>
      </c>
      <c r="CN18" s="8" t="s">
        <v>46</v>
      </c>
      <c r="CO18" s="11" t="s">
        <v>85</v>
      </c>
    </row>
    <row r="19" spans="1:99">
      <c r="A19" s="2" t="s">
        <v>6</v>
      </c>
      <c r="B19" s="2" t="s">
        <v>173</v>
      </c>
      <c r="C19" s="2" t="s">
        <v>177</v>
      </c>
      <c r="D19" s="2" t="s">
        <v>214</v>
      </c>
      <c r="E19" s="2">
        <v>1977</v>
      </c>
      <c r="F19" s="2">
        <v>2008</v>
      </c>
      <c r="G19" s="2">
        <v>1</v>
      </c>
      <c r="H19" s="2">
        <v>0</v>
      </c>
      <c r="I19" s="2">
        <v>1</v>
      </c>
      <c r="J19" s="2">
        <v>1</v>
      </c>
      <c r="K19" s="2">
        <v>0</v>
      </c>
      <c r="L19" s="2">
        <v>0</v>
      </c>
      <c r="M19" s="3">
        <f>(18.3+19)/2</f>
        <v>18.649999999999999</v>
      </c>
      <c r="N19" s="4">
        <f>(M19-5)*12</f>
        <v>163.79999999999998</v>
      </c>
      <c r="O19" s="3">
        <f>(1104+1250)/2</f>
        <v>1177</v>
      </c>
      <c r="P19" s="3"/>
      <c r="Q19" s="3"/>
      <c r="R19" s="3"/>
      <c r="S19" s="3"/>
      <c r="T19" s="3"/>
      <c r="U19" s="12"/>
      <c r="V19" s="3"/>
      <c r="W19" s="3"/>
      <c r="X19" s="3"/>
      <c r="Y19" s="3"/>
      <c r="Z19" s="3"/>
      <c r="AA19" s="3"/>
      <c r="AB19" s="3"/>
      <c r="AC19" s="3"/>
      <c r="AD19" s="3"/>
      <c r="AE19" s="3"/>
      <c r="AF19" s="3"/>
      <c r="AG19" s="3"/>
      <c r="AH19" s="3"/>
      <c r="AI19" s="3"/>
      <c r="AJ19" s="3"/>
      <c r="AK19" s="3"/>
      <c r="AL19" s="3"/>
      <c r="AM19" s="3"/>
      <c r="AN19" s="3"/>
      <c r="AO19" s="3"/>
      <c r="AP19" s="3"/>
      <c r="AQ19" s="3"/>
      <c r="AR19" s="3"/>
      <c r="AS19" s="2"/>
      <c r="AT19" s="3"/>
      <c r="AU19" s="3"/>
      <c r="AV19" s="3"/>
      <c r="AW19" s="3"/>
      <c r="AX19" s="3"/>
      <c r="AY19" s="12"/>
      <c r="AZ19" s="12"/>
      <c r="BA19" s="12"/>
      <c r="BB19" s="3"/>
      <c r="BC19" s="3"/>
      <c r="BD19" s="3"/>
      <c r="BE19" s="3"/>
      <c r="BF19" s="3"/>
      <c r="BG19" s="3"/>
      <c r="BH19" s="3"/>
      <c r="BI19" s="3"/>
      <c r="BJ19" s="3"/>
      <c r="BK19" s="12"/>
      <c r="BL19" s="12"/>
      <c r="BM19" s="12"/>
      <c r="BN19" s="4">
        <f>44.78*0.5</f>
        <v>22.39</v>
      </c>
      <c r="BO19" s="3">
        <f>BS19/BN19</f>
        <v>0.47543546225993744</v>
      </c>
      <c r="BP19" s="3"/>
      <c r="BQ19" s="3"/>
      <c r="BR19" s="3"/>
      <c r="BS19" s="4">
        <f>21.29*0.5</f>
        <v>10.645</v>
      </c>
      <c r="BT19" s="4">
        <f>BS19+BN19</f>
        <v>33.034999999999997</v>
      </c>
      <c r="BU19" s="4"/>
      <c r="BV19" s="3"/>
      <c r="BW19" s="3"/>
      <c r="BX19" s="3"/>
      <c r="BY19" s="3"/>
      <c r="BZ19" s="3"/>
      <c r="CA19" s="3"/>
      <c r="CB19" s="3"/>
      <c r="CC19" s="3"/>
      <c r="CD19" s="3"/>
      <c r="CE19" s="3"/>
      <c r="CF19" s="3"/>
      <c r="CG19" s="3"/>
      <c r="CH19" s="3"/>
      <c r="CI19" s="3"/>
      <c r="CJ19" s="3"/>
      <c r="CK19" s="3"/>
      <c r="CL19" s="2" t="s">
        <v>138</v>
      </c>
      <c r="CM19" s="7" t="s">
        <v>35</v>
      </c>
      <c r="CN19" s="8" t="s">
        <v>46</v>
      </c>
      <c r="CO19" s="11" t="s">
        <v>85</v>
      </c>
    </row>
    <row r="20" spans="1:99">
      <c r="A20" s="2" t="s">
        <v>6</v>
      </c>
      <c r="B20" s="2" t="s">
        <v>172</v>
      </c>
      <c r="C20" s="2" t="s">
        <v>176</v>
      </c>
      <c r="D20" s="2" t="s">
        <v>213</v>
      </c>
      <c r="E20" s="2">
        <v>1977</v>
      </c>
      <c r="F20" s="2">
        <v>2008</v>
      </c>
      <c r="G20" s="2">
        <v>1</v>
      </c>
      <c r="H20" s="2">
        <v>1</v>
      </c>
      <c r="I20" s="2">
        <v>1</v>
      </c>
      <c r="J20" s="2">
        <v>1</v>
      </c>
      <c r="K20" s="2">
        <v>0</v>
      </c>
      <c r="L20" s="2">
        <v>0</v>
      </c>
      <c r="M20" s="3">
        <f>23</f>
        <v>23</v>
      </c>
      <c r="N20" s="4">
        <f>(M20-5)*12</f>
        <v>216</v>
      </c>
      <c r="O20" s="3">
        <f>2000</f>
        <v>2000</v>
      </c>
      <c r="P20" s="3"/>
      <c r="Q20" s="4">
        <v>877</v>
      </c>
      <c r="R20" s="3"/>
      <c r="S20" s="3"/>
      <c r="T20" s="3"/>
      <c r="U20" s="12"/>
      <c r="V20" s="3"/>
      <c r="W20" s="3"/>
      <c r="X20" s="3"/>
      <c r="Y20" s="3"/>
      <c r="Z20" s="3"/>
      <c r="AA20" s="3"/>
      <c r="AB20" s="3"/>
      <c r="AC20" s="3"/>
      <c r="AD20" s="3"/>
      <c r="AE20" s="3"/>
      <c r="AF20" s="3"/>
      <c r="AG20" s="3"/>
      <c r="AH20" s="3"/>
      <c r="AI20" s="3"/>
      <c r="AJ20" s="3"/>
      <c r="AK20" s="3"/>
      <c r="AL20" s="3"/>
      <c r="AM20" s="3"/>
      <c r="AN20" s="3"/>
      <c r="AO20" s="3"/>
      <c r="AP20" s="3"/>
      <c r="AQ20" s="3"/>
      <c r="AR20" s="3"/>
      <c r="AS20" s="2"/>
      <c r="AT20" s="3"/>
      <c r="AU20" s="3"/>
      <c r="AV20" s="3"/>
      <c r="AW20" s="3"/>
      <c r="AX20" s="3"/>
      <c r="AY20" s="12"/>
      <c r="AZ20" s="12"/>
      <c r="BA20" s="12"/>
      <c r="BB20" s="3"/>
      <c r="BC20" s="3"/>
      <c r="BD20" s="3"/>
      <c r="BE20" s="3"/>
      <c r="BF20" s="3"/>
      <c r="BG20" s="3"/>
      <c r="BH20" s="3"/>
      <c r="BI20" s="3"/>
      <c r="BJ20" s="3"/>
      <c r="BK20" s="12"/>
      <c r="BL20" s="12"/>
      <c r="BM20" s="12"/>
      <c r="BN20" s="4">
        <f>64.72*0.5</f>
        <v>32.36</v>
      </c>
      <c r="BO20" s="3">
        <f>BS20/BN20</f>
        <v>0.57586526576019781</v>
      </c>
      <c r="BP20" s="3"/>
      <c r="BQ20" s="3"/>
      <c r="BR20" s="3"/>
      <c r="BS20" s="4">
        <f>37.27*0.5</f>
        <v>18.635000000000002</v>
      </c>
      <c r="BT20" s="4">
        <f>BS20+BN20</f>
        <v>50.995000000000005</v>
      </c>
      <c r="BU20" s="4"/>
      <c r="BV20" s="3"/>
      <c r="BW20" s="3"/>
      <c r="BX20" s="3">
        <v>119.88</v>
      </c>
      <c r="BY20" s="3"/>
      <c r="BZ20" s="3"/>
      <c r="CA20" s="3"/>
      <c r="CB20" s="3"/>
      <c r="CC20" s="3"/>
      <c r="CD20" s="3"/>
      <c r="CE20" s="3"/>
      <c r="CF20" s="3"/>
      <c r="CG20" s="3"/>
      <c r="CH20" s="3"/>
      <c r="CI20" s="3"/>
      <c r="CJ20" s="3"/>
      <c r="CK20" s="3"/>
      <c r="CL20" s="2" t="s">
        <v>20</v>
      </c>
      <c r="CM20" s="7" t="s">
        <v>35</v>
      </c>
      <c r="CN20" s="8" t="s">
        <v>46</v>
      </c>
      <c r="CO20" s="11" t="s">
        <v>85</v>
      </c>
    </row>
    <row r="21" spans="1:99">
      <c r="A21" s="2" t="s">
        <v>6</v>
      </c>
      <c r="B21" s="2" t="s">
        <v>11</v>
      </c>
      <c r="C21" s="2" t="s">
        <v>146</v>
      </c>
      <c r="D21" s="2" t="s">
        <v>200</v>
      </c>
      <c r="E21" s="2">
        <v>2008</v>
      </c>
      <c r="F21" s="2">
        <v>2008</v>
      </c>
      <c r="G21" s="2">
        <v>1</v>
      </c>
      <c r="H21" s="16">
        <v>0</v>
      </c>
      <c r="I21" s="16">
        <v>1</v>
      </c>
      <c r="J21" s="16">
        <v>1</v>
      </c>
      <c r="K21" s="16">
        <v>0</v>
      </c>
      <c r="L21" s="16">
        <v>0</v>
      </c>
      <c r="M21" s="3">
        <f>(15.6+17.6)/2</f>
        <v>16.600000000000001</v>
      </c>
      <c r="N21" s="4">
        <f>(M21-5)*12</f>
        <v>139.20000000000002</v>
      </c>
      <c r="O21" s="3">
        <v>1550</v>
      </c>
      <c r="P21" s="3"/>
      <c r="Q21" s="3">
        <v>354</v>
      </c>
      <c r="R21" s="3"/>
      <c r="S21" s="3"/>
      <c r="T21" s="3"/>
      <c r="U21" s="12"/>
      <c r="V21" s="3"/>
      <c r="W21" s="3"/>
      <c r="X21" s="3"/>
      <c r="Y21" s="3"/>
      <c r="Z21" s="3"/>
      <c r="AA21" s="3"/>
      <c r="AB21" s="3"/>
      <c r="AC21" s="3"/>
      <c r="AD21" s="3"/>
      <c r="AE21" s="3"/>
      <c r="AF21" s="3"/>
      <c r="AG21" s="3"/>
      <c r="AH21" s="3"/>
      <c r="AI21" s="3"/>
      <c r="AJ21" s="3"/>
      <c r="AK21" s="3"/>
      <c r="AL21" s="3"/>
      <c r="AM21" s="3"/>
      <c r="AN21" s="3"/>
      <c r="AO21" s="3"/>
      <c r="AP21" s="3"/>
      <c r="AQ21" s="3"/>
      <c r="AR21" s="3"/>
      <c r="AS21" s="2"/>
      <c r="AT21" s="7"/>
      <c r="AU21" s="3">
        <v>2734</v>
      </c>
      <c r="AV21" s="3">
        <f>(12.9+10/1)/2</f>
        <v>11.45</v>
      </c>
      <c r="AW21" s="3"/>
      <c r="AX21" s="3">
        <f>(AV21/2)^2*PI()*AU21/10000</f>
        <v>28.151358986776938</v>
      </c>
      <c r="AY21" s="12"/>
      <c r="AZ21" s="12"/>
      <c r="BA21" s="12"/>
      <c r="BB21" s="3"/>
      <c r="BC21" s="3"/>
      <c r="BD21" s="3"/>
      <c r="BE21" s="3"/>
      <c r="BF21" s="3"/>
      <c r="BG21" s="3"/>
      <c r="BH21" s="3"/>
      <c r="BI21" s="3"/>
      <c r="BJ21" s="3"/>
      <c r="BK21" s="12"/>
      <c r="BL21" s="12"/>
      <c r="BM21" s="12"/>
      <c r="BN21" s="3">
        <v>23.718</v>
      </c>
      <c r="BO21" s="3"/>
      <c r="BP21" s="3"/>
      <c r="BQ21" s="3"/>
      <c r="BR21" s="3"/>
      <c r="BS21" s="3"/>
      <c r="BT21" s="3"/>
      <c r="BU21" s="3"/>
      <c r="BV21" s="3"/>
      <c r="BW21" s="3"/>
      <c r="BX21" s="3"/>
      <c r="BY21" s="3"/>
      <c r="BZ21" s="3"/>
      <c r="CA21" s="3"/>
      <c r="CB21" s="3"/>
      <c r="CC21" s="3"/>
      <c r="CD21" s="3"/>
      <c r="CE21" s="3"/>
      <c r="CF21" s="3"/>
      <c r="CG21" s="3"/>
      <c r="CH21" s="3"/>
      <c r="CI21" s="3"/>
      <c r="CJ21" s="3"/>
      <c r="CK21" s="3"/>
      <c r="CL21" s="2" t="s">
        <v>42</v>
      </c>
      <c r="CM21" s="7" t="s">
        <v>35</v>
      </c>
      <c r="CN21" s="8" t="s">
        <v>145</v>
      </c>
      <c r="CO21" s="11" t="s">
        <v>85</v>
      </c>
    </row>
    <row r="22" spans="1:99">
      <c r="A22" s="2" t="s">
        <v>6</v>
      </c>
      <c r="B22" s="2" t="s">
        <v>266</v>
      </c>
      <c r="C22" s="2" t="s">
        <v>157</v>
      </c>
      <c r="D22" s="2" t="s">
        <v>203</v>
      </c>
      <c r="E22" s="2">
        <v>2014</v>
      </c>
      <c r="F22" s="2">
        <v>2014</v>
      </c>
      <c r="G22" s="2">
        <v>1</v>
      </c>
      <c r="H22" s="2">
        <v>0</v>
      </c>
      <c r="I22" s="2">
        <v>0</v>
      </c>
      <c r="J22" s="2">
        <v>1</v>
      </c>
      <c r="K22" s="2">
        <v>0</v>
      </c>
      <c r="L22" s="2">
        <v>0</v>
      </c>
      <c r="M22" s="3">
        <v>15.6</v>
      </c>
      <c r="N22" s="3">
        <v>127.19999999999999</v>
      </c>
      <c r="O22" s="3">
        <v>1400</v>
      </c>
      <c r="P22" s="3"/>
      <c r="Q22" s="3"/>
      <c r="R22" s="3"/>
      <c r="S22" s="3"/>
      <c r="T22" s="3"/>
      <c r="U22" s="12"/>
      <c r="V22" s="3"/>
      <c r="W22" s="3"/>
      <c r="X22" s="3"/>
      <c r="Y22" s="3"/>
      <c r="Z22" s="3"/>
      <c r="AA22" s="3"/>
      <c r="AB22" s="3"/>
      <c r="AC22" s="3"/>
      <c r="AD22" s="3"/>
      <c r="AE22" s="3"/>
      <c r="AF22" s="3"/>
      <c r="AG22" s="3"/>
      <c r="AH22" s="3"/>
      <c r="AI22" s="3"/>
      <c r="AJ22" s="3"/>
      <c r="AK22" s="3"/>
      <c r="AL22" s="3"/>
      <c r="AM22" s="3"/>
      <c r="AN22" s="3"/>
      <c r="AO22" s="3"/>
      <c r="AP22" s="3"/>
      <c r="AQ22" s="3"/>
      <c r="AR22" s="3"/>
      <c r="AS22" s="2"/>
      <c r="AT22" s="7"/>
      <c r="AU22" s="3">
        <v>3129</v>
      </c>
      <c r="AV22" s="3">
        <v>9.09</v>
      </c>
      <c r="AW22" s="3"/>
      <c r="AX22" s="3">
        <f>(AV22/2)^2*PI()*AU22/10000</f>
        <v>20.305945253512977</v>
      </c>
      <c r="AY22" s="12"/>
      <c r="AZ22" s="12"/>
      <c r="BA22" s="12"/>
      <c r="BB22" s="3"/>
      <c r="BC22" s="3"/>
      <c r="BD22" s="3"/>
      <c r="BE22" s="3"/>
      <c r="BF22" s="3"/>
      <c r="BG22" s="3"/>
      <c r="BH22" s="3"/>
      <c r="BI22" s="3"/>
      <c r="BJ22" s="3"/>
      <c r="BK22" s="12"/>
      <c r="BL22" s="12"/>
      <c r="BM22" s="12"/>
      <c r="BN22" s="3">
        <v>18.899999999999999</v>
      </c>
      <c r="BO22" s="3"/>
      <c r="BP22" s="3"/>
      <c r="BQ22" s="3"/>
      <c r="BR22" s="3"/>
      <c r="BS22" s="3"/>
      <c r="BT22" s="3"/>
      <c r="BU22" s="3"/>
      <c r="BV22" s="3">
        <v>120.2</v>
      </c>
      <c r="BW22" s="3"/>
      <c r="BX22" s="3"/>
      <c r="BY22" s="3"/>
      <c r="BZ22" s="3"/>
      <c r="CA22" s="3"/>
      <c r="CB22" s="3"/>
      <c r="CC22" s="3"/>
      <c r="CD22" s="3"/>
      <c r="CE22" s="3"/>
      <c r="CF22" s="3"/>
      <c r="CG22" s="3"/>
      <c r="CH22" s="3"/>
      <c r="CI22" s="3"/>
      <c r="CJ22" s="3"/>
      <c r="CK22" s="3"/>
      <c r="CL22" s="2" t="s">
        <v>24</v>
      </c>
      <c r="CM22" s="7" t="s">
        <v>35</v>
      </c>
      <c r="CN22" s="8" t="s">
        <v>43</v>
      </c>
      <c r="CO22" s="11" t="s">
        <v>85</v>
      </c>
    </row>
    <row r="23" spans="1:99">
      <c r="A23" s="2" t="s">
        <v>6</v>
      </c>
      <c r="B23" s="2" t="s">
        <v>23</v>
      </c>
      <c r="C23" s="2" t="s">
        <v>159</v>
      </c>
      <c r="D23" s="2" t="s">
        <v>201</v>
      </c>
      <c r="E23" s="2">
        <v>2014</v>
      </c>
      <c r="F23" s="2">
        <v>2014</v>
      </c>
      <c r="G23" s="2">
        <v>1</v>
      </c>
      <c r="H23" s="2">
        <v>1</v>
      </c>
      <c r="I23" s="2">
        <v>1</v>
      </c>
      <c r="J23" s="2">
        <v>1</v>
      </c>
      <c r="K23" s="2">
        <v>0</v>
      </c>
      <c r="L23" s="2">
        <v>0</v>
      </c>
      <c r="M23" s="3">
        <v>15.6</v>
      </c>
      <c r="N23" s="3">
        <v>127.19999999999999</v>
      </c>
      <c r="O23" s="3">
        <v>1400</v>
      </c>
      <c r="P23" s="3"/>
      <c r="Q23" s="3"/>
      <c r="R23" s="3"/>
      <c r="S23" s="3"/>
      <c r="T23" s="3"/>
      <c r="U23" s="12"/>
      <c r="V23" s="3"/>
      <c r="W23" s="3"/>
      <c r="X23" s="3"/>
      <c r="Y23" s="3"/>
      <c r="Z23" s="3"/>
      <c r="AA23" s="3"/>
      <c r="AB23" s="3"/>
      <c r="AC23" s="3"/>
      <c r="AD23" s="3"/>
      <c r="AE23" s="3"/>
      <c r="AF23" s="3"/>
      <c r="AG23" s="3"/>
      <c r="AH23" s="3"/>
      <c r="AI23" s="3"/>
      <c r="AJ23" s="3"/>
      <c r="AK23" s="3"/>
      <c r="AL23" s="3"/>
      <c r="AM23" s="3"/>
      <c r="AN23" s="3"/>
      <c r="AO23" s="3"/>
      <c r="AP23" s="3"/>
      <c r="AQ23" s="3"/>
      <c r="AR23" s="3"/>
      <c r="AS23" s="2"/>
      <c r="AT23" s="7"/>
      <c r="AU23" s="3">
        <v>3555</v>
      </c>
      <c r="AV23" s="3">
        <v>9.73</v>
      </c>
      <c r="AW23" s="3"/>
      <c r="AX23" s="3">
        <f>(AV23/2)^2*PI()*AU23/10000</f>
        <v>26.433530194037907</v>
      </c>
      <c r="AY23" s="12"/>
      <c r="AZ23" s="12"/>
      <c r="BA23" s="12"/>
      <c r="BB23" s="3"/>
      <c r="BC23" s="3"/>
      <c r="BD23" s="3"/>
      <c r="BE23" s="3"/>
      <c r="BF23" s="3"/>
      <c r="BG23" s="3"/>
      <c r="BH23" s="3"/>
      <c r="BI23" s="3"/>
      <c r="BJ23" s="3"/>
      <c r="BK23" s="12"/>
      <c r="BL23" s="12"/>
      <c r="BM23" s="12"/>
      <c r="BN23" s="3">
        <v>24.75</v>
      </c>
      <c r="BO23" s="3"/>
      <c r="BP23" s="3"/>
      <c r="BQ23" s="3"/>
      <c r="BR23" s="3"/>
      <c r="BS23" s="3"/>
      <c r="BT23" s="3"/>
      <c r="BU23" s="3"/>
      <c r="BV23" s="3">
        <v>108.1</v>
      </c>
      <c r="BW23" s="3"/>
      <c r="BX23" s="3"/>
      <c r="BY23" s="3"/>
      <c r="BZ23" s="3"/>
      <c r="CA23" s="3"/>
      <c r="CB23" s="3"/>
      <c r="CC23" s="3"/>
      <c r="CD23" s="3"/>
      <c r="CE23" s="3"/>
      <c r="CF23" s="3"/>
      <c r="CG23" s="3"/>
      <c r="CH23" s="3"/>
      <c r="CI23" s="3"/>
      <c r="CJ23" s="3"/>
      <c r="CK23" s="3"/>
      <c r="CL23" s="2" t="s">
        <v>24</v>
      </c>
      <c r="CM23" s="7" t="s">
        <v>35</v>
      </c>
      <c r="CN23" s="8" t="s">
        <v>43</v>
      </c>
      <c r="CO23" s="11" t="s">
        <v>85</v>
      </c>
    </row>
    <row r="24" spans="1:99">
      <c r="A24" s="2" t="s">
        <v>6</v>
      </c>
      <c r="B24" s="2" t="s">
        <v>23</v>
      </c>
      <c r="C24" s="2" t="s">
        <v>158</v>
      </c>
      <c r="D24" s="2" t="s">
        <v>202</v>
      </c>
      <c r="E24" s="2">
        <v>2014</v>
      </c>
      <c r="F24" s="2">
        <v>2014</v>
      </c>
      <c r="G24" s="2">
        <v>1</v>
      </c>
      <c r="H24" s="2">
        <v>0</v>
      </c>
      <c r="I24" s="2">
        <v>1</v>
      </c>
      <c r="J24" s="2">
        <v>1</v>
      </c>
      <c r="K24" s="2">
        <v>0</v>
      </c>
      <c r="L24" s="2">
        <v>0</v>
      </c>
      <c r="M24" s="3">
        <v>15.6</v>
      </c>
      <c r="N24" s="3">
        <v>127.19999999999999</v>
      </c>
      <c r="O24" s="3">
        <v>1400</v>
      </c>
      <c r="P24" s="3"/>
      <c r="Q24" s="3"/>
      <c r="R24" s="3"/>
      <c r="S24" s="3"/>
      <c r="T24" s="3"/>
      <c r="U24" s="12"/>
      <c r="V24" s="3"/>
      <c r="W24" s="3"/>
      <c r="X24" s="3"/>
      <c r="Y24" s="3"/>
      <c r="Z24" s="3"/>
      <c r="AA24" s="3"/>
      <c r="AB24" s="3"/>
      <c r="AC24" s="3"/>
      <c r="AD24" s="3"/>
      <c r="AE24" s="3"/>
      <c r="AF24" s="3"/>
      <c r="AG24" s="3"/>
      <c r="AH24" s="3"/>
      <c r="AI24" s="3"/>
      <c r="AJ24" s="3"/>
      <c r="AK24" s="3"/>
      <c r="AL24" s="3"/>
      <c r="AM24" s="3"/>
      <c r="AN24" s="3"/>
      <c r="AO24" s="3"/>
      <c r="AP24" s="3"/>
      <c r="AQ24" s="3"/>
      <c r="AR24" s="3"/>
      <c r="AS24" s="2"/>
      <c r="AT24" s="7"/>
      <c r="AU24" s="3">
        <v>3182</v>
      </c>
      <c r="AV24" s="3">
        <v>9.35</v>
      </c>
      <c r="AW24" s="3"/>
      <c r="AX24" s="3">
        <f>(AV24/2)^2*PI()*AU24/10000</f>
        <v>21.848080052984994</v>
      </c>
      <c r="AY24" s="12"/>
      <c r="AZ24" s="12"/>
      <c r="BA24" s="12"/>
      <c r="BB24" s="3"/>
      <c r="BC24" s="3"/>
      <c r="BD24" s="3"/>
      <c r="BE24" s="3"/>
      <c r="BF24" s="3"/>
      <c r="BG24" s="3"/>
      <c r="BH24" s="3"/>
      <c r="BI24" s="3"/>
      <c r="BJ24" s="3"/>
      <c r="BK24" s="12"/>
      <c r="BL24" s="12"/>
      <c r="BM24" s="12"/>
      <c r="BN24" s="3">
        <v>20.76</v>
      </c>
      <c r="BO24" s="3"/>
      <c r="BP24" s="3"/>
      <c r="BQ24" s="3"/>
      <c r="BR24" s="3"/>
      <c r="BS24" s="3"/>
      <c r="BT24" s="3"/>
      <c r="BU24" s="3"/>
      <c r="BV24" s="3">
        <v>111.7</v>
      </c>
      <c r="BW24" s="3"/>
      <c r="BX24" s="3"/>
      <c r="BY24" s="3"/>
      <c r="BZ24" s="3"/>
      <c r="CA24" s="3"/>
      <c r="CB24" s="3"/>
      <c r="CC24" s="3"/>
      <c r="CD24" s="3"/>
      <c r="CE24" s="3"/>
      <c r="CF24" s="3"/>
      <c r="CG24" s="3"/>
      <c r="CH24" s="3"/>
      <c r="CI24" s="3"/>
      <c r="CJ24" s="3"/>
      <c r="CK24" s="3"/>
      <c r="CL24" s="2" t="s">
        <v>24</v>
      </c>
      <c r="CM24" s="7" t="s">
        <v>35</v>
      </c>
      <c r="CN24" s="8" t="s">
        <v>43</v>
      </c>
      <c r="CO24" s="11" t="s">
        <v>85</v>
      </c>
    </row>
    <row r="25" spans="1:99">
      <c r="A25" s="2" t="s">
        <v>6</v>
      </c>
      <c r="B25" s="2" t="s">
        <v>267</v>
      </c>
      <c r="C25" s="2" t="s">
        <v>147</v>
      </c>
      <c r="D25" s="2" t="s">
        <v>198</v>
      </c>
      <c r="E25" s="2">
        <v>2010</v>
      </c>
      <c r="F25" s="2">
        <v>2010</v>
      </c>
      <c r="G25" s="2">
        <v>1</v>
      </c>
      <c r="H25" s="16">
        <v>1</v>
      </c>
      <c r="I25" s="16">
        <v>1</v>
      </c>
      <c r="J25" s="16">
        <v>1</v>
      </c>
      <c r="K25" s="16">
        <v>0</v>
      </c>
      <c r="L25" s="16">
        <v>0</v>
      </c>
      <c r="M25" s="3">
        <v>15.9</v>
      </c>
      <c r="N25" s="4">
        <f>(M25-5)*12</f>
        <v>130.80000000000001</v>
      </c>
      <c r="O25" s="3">
        <v>1424</v>
      </c>
      <c r="P25" s="3"/>
      <c r="Q25" s="3">
        <f>(100+250)/2</f>
        <v>175</v>
      </c>
      <c r="R25" s="3"/>
      <c r="S25" s="3"/>
      <c r="T25" s="3"/>
      <c r="U25" s="12"/>
      <c r="V25" s="3"/>
      <c r="W25" s="3"/>
      <c r="X25" s="3"/>
      <c r="Y25" s="3"/>
      <c r="Z25" s="3"/>
      <c r="AA25" s="3"/>
      <c r="AB25" s="3"/>
      <c r="AC25" s="3"/>
      <c r="AD25" s="3"/>
      <c r="AE25" s="3"/>
      <c r="AF25" s="3"/>
      <c r="AG25" s="3"/>
      <c r="AH25" s="3"/>
      <c r="AI25" s="3"/>
      <c r="AJ25" s="3"/>
      <c r="AK25" s="3"/>
      <c r="AL25" s="3"/>
      <c r="AM25" s="3"/>
      <c r="AN25" s="3"/>
      <c r="AO25" s="3"/>
      <c r="AP25" s="3"/>
      <c r="AQ25" s="3"/>
      <c r="AR25" s="3"/>
      <c r="AS25" s="2"/>
      <c r="AT25" s="7"/>
      <c r="AU25" s="3">
        <f>(3475+3325+3300+3250+4025+3625+3625+3575+4250+3375+2750+3025+2550+2475+3075+3550+2425+3225)/18</f>
        <v>3272.2222222222222</v>
      </c>
      <c r="AV25" s="3">
        <f>(9.7+9.1+8.8+9.5+8+8.3+9+10.1+8.8+8.3+8.7+9+9+9.5+9.2+8.8+11.3+10.7)/18</f>
        <v>9.2111111111111104</v>
      </c>
      <c r="AW25" s="3"/>
      <c r="AX25" s="3">
        <f>(AV25/2)^2*PI()*AU25/10000</f>
        <v>21.805031242491747</v>
      </c>
      <c r="AY25" s="12"/>
      <c r="AZ25" s="12"/>
      <c r="BA25" s="12"/>
      <c r="BB25" s="3"/>
      <c r="BC25" s="3"/>
      <c r="BD25" s="3"/>
      <c r="BE25" s="3"/>
      <c r="BF25" s="3"/>
      <c r="BG25" s="3"/>
      <c r="BH25" s="3"/>
      <c r="BI25" s="3"/>
      <c r="BJ25" s="3"/>
      <c r="BK25" s="12"/>
      <c r="BL25" s="12"/>
      <c r="BM25" s="12"/>
      <c r="BN25" s="3">
        <f>40.708*0.5</f>
        <v>20.353999999999999</v>
      </c>
      <c r="BO25" s="3"/>
      <c r="BP25" s="3"/>
      <c r="BQ25" s="3"/>
      <c r="BR25" s="3"/>
      <c r="BS25" s="3"/>
      <c r="BT25" s="3"/>
      <c r="BU25" s="3"/>
      <c r="BV25" s="3">
        <v>80.834999999999994</v>
      </c>
      <c r="BW25" s="3"/>
      <c r="BX25" s="3"/>
      <c r="BY25" s="3"/>
      <c r="BZ25" s="3"/>
      <c r="CA25" s="3"/>
      <c r="CB25" s="3"/>
      <c r="CC25" s="3"/>
      <c r="CD25" s="3"/>
      <c r="CE25" s="3"/>
      <c r="CF25" s="3"/>
      <c r="CG25" s="3"/>
      <c r="CH25" s="3"/>
      <c r="CI25" s="3"/>
      <c r="CJ25" s="3"/>
      <c r="CK25" s="3"/>
      <c r="CL25" s="2" t="s">
        <v>38</v>
      </c>
      <c r="CM25" s="7" t="s">
        <v>35</v>
      </c>
      <c r="CN25" s="8" t="s">
        <v>39</v>
      </c>
      <c r="CO25" s="11" t="s">
        <v>85</v>
      </c>
    </row>
    <row r="26" spans="1:99">
      <c r="A26" s="6" t="s">
        <v>6</v>
      </c>
      <c r="B26" s="6" t="s">
        <v>693</v>
      </c>
      <c r="C26" s="6" t="s">
        <v>682</v>
      </c>
      <c r="D26" s="6" t="s">
        <v>692</v>
      </c>
      <c r="E26" s="6">
        <v>2013</v>
      </c>
      <c r="F26" s="6">
        <v>2016</v>
      </c>
      <c r="G26" s="6">
        <v>1</v>
      </c>
      <c r="H26" s="6">
        <v>0</v>
      </c>
      <c r="I26" s="6">
        <v>1</v>
      </c>
      <c r="J26" s="6">
        <v>1</v>
      </c>
      <c r="K26" s="6">
        <v>0</v>
      </c>
      <c r="L26" s="76">
        <v>0</v>
      </c>
      <c r="M26" s="12">
        <v>15.6</v>
      </c>
      <c r="N26" s="4">
        <f>(M26-5)*12+(5-3)</f>
        <v>129.19999999999999</v>
      </c>
      <c r="O26" s="12">
        <v>1420</v>
      </c>
      <c r="P26" s="12"/>
      <c r="Q26" s="12"/>
      <c r="R26" s="12"/>
      <c r="S26" s="12">
        <v>1847</v>
      </c>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6"/>
      <c r="AT26" s="18"/>
      <c r="AU26" s="12"/>
      <c r="AV26" s="12"/>
      <c r="AW26" s="12"/>
      <c r="AX26" s="12"/>
      <c r="AY26" s="12"/>
      <c r="AZ26" s="12"/>
      <c r="BA26" s="12"/>
      <c r="BB26" s="12"/>
      <c r="BC26" s="12"/>
      <c r="BD26" s="12"/>
      <c r="BE26" s="12"/>
      <c r="BF26" s="12"/>
      <c r="BG26" s="12"/>
      <c r="BH26" s="12"/>
      <c r="BI26" s="12"/>
      <c r="BJ26" s="12"/>
      <c r="BK26" s="12"/>
      <c r="BL26" s="12"/>
      <c r="BM26" s="12"/>
      <c r="BN26" s="12">
        <v>27</v>
      </c>
      <c r="BO26" s="12"/>
      <c r="BP26" s="12"/>
      <c r="BQ26" s="12"/>
      <c r="BR26" s="12"/>
      <c r="BS26" s="12">
        <v>19</v>
      </c>
      <c r="BT26" s="3">
        <f t="shared" ref="BT26:BT34" si="3">BS26+BN26</f>
        <v>46</v>
      </c>
      <c r="BU26" s="12"/>
      <c r="BV26" s="12">
        <v>68.099999999999994</v>
      </c>
      <c r="BW26" s="12"/>
      <c r="BX26" s="3">
        <f>BT26+BV26</f>
        <v>114.1</v>
      </c>
      <c r="BY26" s="12"/>
      <c r="BZ26" s="12"/>
      <c r="CA26" s="12"/>
      <c r="CB26" s="12"/>
      <c r="CC26" s="12">
        <v>4.17</v>
      </c>
      <c r="CD26" s="12"/>
      <c r="CE26" s="12"/>
      <c r="CF26" s="12"/>
      <c r="CG26" s="12">
        <v>3.11</v>
      </c>
      <c r="CH26" s="12">
        <v>7.28</v>
      </c>
      <c r="CI26" s="3"/>
      <c r="CJ26" s="12">
        <v>0.51</v>
      </c>
      <c r="CK26" s="3">
        <f>CH26-CJ26</f>
        <v>6.7700000000000005</v>
      </c>
      <c r="CL26" s="6" t="s">
        <v>680</v>
      </c>
      <c r="CM26" s="7" t="s">
        <v>35</v>
      </c>
      <c r="CN26" s="21" t="s">
        <v>679</v>
      </c>
      <c r="CO26" s="77" t="s">
        <v>678</v>
      </c>
      <c r="CP26" s="22"/>
      <c r="CQ26" s="22"/>
      <c r="CR26" s="22"/>
      <c r="CS26" s="22"/>
      <c r="CT26" s="22"/>
      <c r="CU26" s="22"/>
    </row>
    <row r="27" spans="1:99">
      <c r="A27" s="6" t="s">
        <v>6</v>
      </c>
      <c r="B27" s="6" t="s">
        <v>693</v>
      </c>
      <c r="C27" s="6" t="s">
        <v>685</v>
      </c>
      <c r="D27" s="6" t="s">
        <v>696</v>
      </c>
      <c r="E27" s="6">
        <v>2013</v>
      </c>
      <c r="F27" s="6">
        <v>2016</v>
      </c>
      <c r="G27" s="6">
        <v>1</v>
      </c>
      <c r="H27" s="6">
        <v>3</v>
      </c>
      <c r="I27" s="6">
        <v>1</v>
      </c>
      <c r="J27" s="6">
        <v>1</v>
      </c>
      <c r="K27" s="6">
        <v>1</v>
      </c>
      <c r="L27" s="76">
        <v>1</v>
      </c>
      <c r="M27" s="12">
        <v>15.6</v>
      </c>
      <c r="N27" s="4">
        <f>(M27-5)*12+(5-3)</f>
        <v>129.19999999999999</v>
      </c>
      <c r="O27" s="12">
        <v>1420</v>
      </c>
      <c r="P27" s="12"/>
      <c r="Q27" s="12"/>
      <c r="R27" s="12"/>
      <c r="S27" s="12">
        <v>1847</v>
      </c>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6"/>
      <c r="AT27" s="18"/>
      <c r="AU27" s="12"/>
      <c r="AV27" s="12"/>
      <c r="AW27" s="12"/>
      <c r="AX27" s="12"/>
      <c r="AY27" s="12"/>
      <c r="AZ27" s="12"/>
      <c r="BA27" s="12"/>
      <c r="BB27" s="12"/>
      <c r="BC27" s="12"/>
      <c r="BD27" s="12"/>
      <c r="BE27" s="12"/>
      <c r="BF27" s="12"/>
      <c r="BG27" s="12"/>
      <c r="BH27" s="12"/>
      <c r="BI27" s="12"/>
      <c r="BJ27" s="12"/>
      <c r="BK27" s="12"/>
      <c r="BL27" s="12"/>
      <c r="BM27" s="12"/>
      <c r="BN27" s="12">
        <v>33</v>
      </c>
      <c r="BO27" s="12"/>
      <c r="BP27" s="12"/>
      <c r="BQ27" s="12"/>
      <c r="BR27" s="12"/>
      <c r="BS27" s="12">
        <v>24</v>
      </c>
      <c r="BT27" s="3">
        <f t="shared" si="3"/>
        <v>57</v>
      </c>
      <c r="BU27" s="12"/>
      <c r="BV27" s="12">
        <v>66</v>
      </c>
      <c r="BW27" s="12"/>
      <c r="BX27" s="3">
        <f>BT27+BV27</f>
        <v>123</v>
      </c>
      <c r="BY27" s="12"/>
      <c r="BZ27" s="12"/>
      <c r="CA27" s="12"/>
      <c r="CB27" s="12"/>
      <c r="CC27" s="12">
        <v>5.08</v>
      </c>
      <c r="CD27" s="12"/>
      <c r="CE27" s="12"/>
      <c r="CF27" s="12"/>
      <c r="CG27" s="12">
        <v>4.0199999999999996</v>
      </c>
      <c r="CH27" s="12">
        <v>9.1</v>
      </c>
      <c r="CI27" s="3"/>
      <c r="CJ27" s="12">
        <v>1.0900000000000001</v>
      </c>
      <c r="CK27" s="3">
        <f>CH27-CJ27</f>
        <v>8.01</v>
      </c>
      <c r="CL27" s="6" t="s">
        <v>690</v>
      </c>
      <c r="CM27" s="7" t="s">
        <v>35</v>
      </c>
      <c r="CN27" s="21" t="s">
        <v>691</v>
      </c>
      <c r="CO27" s="77" t="s">
        <v>678</v>
      </c>
      <c r="CP27" s="22"/>
      <c r="CQ27" s="22"/>
      <c r="CR27" s="22"/>
      <c r="CS27" s="22"/>
      <c r="CT27" s="22"/>
      <c r="CU27" s="22"/>
    </row>
    <row r="28" spans="1:99" s="22" customFormat="1">
      <c r="A28" s="6" t="s">
        <v>6</v>
      </c>
      <c r="B28" s="6" t="s">
        <v>693</v>
      </c>
      <c r="C28" s="6" t="s">
        <v>683</v>
      </c>
      <c r="D28" s="6" t="s">
        <v>694</v>
      </c>
      <c r="E28" s="6">
        <v>2013</v>
      </c>
      <c r="F28" s="6">
        <v>2016</v>
      </c>
      <c r="G28" s="6">
        <v>1</v>
      </c>
      <c r="H28" s="6">
        <v>1</v>
      </c>
      <c r="I28" s="6">
        <v>1</v>
      </c>
      <c r="J28" s="6">
        <v>1</v>
      </c>
      <c r="K28" s="6">
        <v>1</v>
      </c>
      <c r="L28" s="76">
        <v>1</v>
      </c>
      <c r="M28" s="12">
        <v>15.6</v>
      </c>
      <c r="N28" s="4">
        <f>(M28-5)*12+(5-3)</f>
        <v>129.19999999999999</v>
      </c>
      <c r="O28" s="12">
        <v>1420</v>
      </c>
      <c r="P28" s="12"/>
      <c r="Q28" s="12"/>
      <c r="R28" s="12"/>
      <c r="S28" s="12">
        <v>1847</v>
      </c>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6"/>
      <c r="AT28" s="18"/>
      <c r="AU28" s="12"/>
      <c r="AV28" s="12"/>
      <c r="AW28" s="12"/>
      <c r="AX28" s="12"/>
      <c r="AY28" s="12"/>
      <c r="AZ28" s="12"/>
      <c r="BA28" s="12"/>
      <c r="BB28" s="12"/>
      <c r="BC28" s="12"/>
      <c r="BD28" s="12"/>
      <c r="BE28" s="12"/>
      <c r="BF28" s="12"/>
      <c r="BG28" s="12"/>
      <c r="BH28" s="12"/>
      <c r="BI28" s="12"/>
      <c r="BJ28" s="12"/>
      <c r="BK28" s="12"/>
      <c r="BL28" s="12"/>
      <c r="BM28" s="12"/>
      <c r="BN28" s="12">
        <v>35.1</v>
      </c>
      <c r="BO28" s="12"/>
      <c r="BP28" s="12"/>
      <c r="BQ28" s="12"/>
      <c r="BR28" s="12"/>
      <c r="BS28" s="12">
        <v>26.1</v>
      </c>
      <c r="BT28" s="3">
        <f t="shared" si="3"/>
        <v>61.2</v>
      </c>
      <c r="BU28" s="12"/>
      <c r="BV28" s="12">
        <v>64.099999999999994</v>
      </c>
      <c r="BW28" s="12"/>
      <c r="BX28" s="3">
        <f>BT28+BV28</f>
        <v>125.3</v>
      </c>
      <c r="BY28" s="12"/>
      <c r="BZ28" s="12"/>
      <c r="CA28" s="12"/>
      <c r="CB28" s="12"/>
      <c r="CC28" s="12">
        <v>5.46</v>
      </c>
      <c r="CD28" s="12"/>
      <c r="CE28" s="12"/>
      <c r="CF28" s="12"/>
      <c r="CG28" s="12">
        <v>4.34</v>
      </c>
      <c r="CH28" s="12">
        <v>9.8000000000000007</v>
      </c>
      <c r="CI28" s="3"/>
      <c r="CJ28" s="12">
        <v>1.37</v>
      </c>
      <c r="CK28" s="3">
        <f>CH28-CJ28</f>
        <v>8.43</v>
      </c>
      <c r="CL28" s="6" t="s">
        <v>686</v>
      </c>
      <c r="CM28" s="7" t="s">
        <v>35</v>
      </c>
      <c r="CN28" s="21" t="s">
        <v>687</v>
      </c>
      <c r="CO28" s="77" t="s">
        <v>678</v>
      </c>
    </row>
    <row r="29" spans="1:99" s="22" customFormat="1">
      <c r="A29" s="6" t="s">
        <v>6</v>
      </c>
      <c r="B29" s="6" t="s">
        <v>693</v>
      </c>
      <c r="C29" s="6" t="s">
        <v>684</v>
      </c>
      <c r="D29" s="6" t="s">
        <v>695</v>
      </c>
      <c r="E29" s="6">
        <v>2013</v>
      </c>
      <c r="F29" s="6">
        <v>2016</v>
      </c>
      <c r="G29" s="6">
        <v>1</v>
      </c>
      <c r="H29" s="6">
        <v>2</v>
      </c>
      <c r="I29" s="6">
        <v>1</v>
      </c>
      <c r="J29" s="6">
        <v>1</v>
      </c>
      <c r="K29" s="6">
        <v>1</v>
      </c>
      <c r="L29" s="76">
        <v>1</v>
      </c>
      <c r="M29" s="12">
        <v>15.6</v>
      </c>
      <c r="N29" s="4">
        <f>(M29-5)*12+(5-3)</f>
        <v>129.19999999999999</v>
      </c>
      <c r="O29" s="12">
        <v>1420</v>
      </c>
      <c r="P29" s="12"/>
      <c r="Q29" s="12"/>
      <c r="R29" s="12"/>
      <c r="S29" s="12">
        <v>1847</v>
      </c>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6"/>
      <c r="AT29" s="18"/>
      <c r="AU29" s="12"/>
      <c r="AV29" s="12"/>
      <c r="AW29" s="12"/>
      <c r="AX29" s="12"/>
      <c r="AY29" s="12"/>
      <c r="AZ29" s="12"/>
      <c r="BA29" s="12"/>
      <c r="BB29" s="12"/>
      <c r="BC29" s="12"/>
      <c r="BD29" s="12"/>
      <c r="BE29" s="12"/>
      <c r="BF29" s="12"/>
      <c r="BG29" s="12"/>
      <c r="BH29" s="12"/>
      <c r="BI29" s="12"/>
      <c r="BJ29" s="12"/>
      <c r="BK29" s="12"/>
      <c r="BL29" s="12"/>
      <c r="BM29" s="12"/>
      <c r="BN29" s="12">
        <v>37.700000000000003</v>
      </c>
      <c r="BO29" s="12"/>
      <c r="BP29" s="12"/>
      <c r="BQ29" s="12"/>
      <c r="BR29" s="12"/>
      <c r="BS29" s="12">
        <v>26</v>
      </c>
      <c r="BT29" s="3">
        <f t="shared" si="3"/>
        <v>63.7</v>
      </c>
      <c r="BU29" s="12"/>
      <c r="BV29" s="12">
        <v>63</v>
      </c>
      <c r="BW29" s="12"/>
      <c r="BX29" s="3">
        <f>BT29+BV29</f>
        <v>126.7</v>
      </c>
      <c r="BY29" s="12"/>
      <c r="BZ29" s="12"/>
      <c r="CA29" s="12"/>
      <c r="CB29" s="12"/>
      <c r="CC29" s="12">
        <v>5.76</v>
      </c>
      <c r="CD29" s="12"/>
      <c r="CE29" s="12"/>
      <c r="CF29" s="12"/>
      <c r="CG29" s="12">
        <v>4.33</v>
      </c>
      <c r="CH29" s="12">
        <v>10.09</v>
      </c>
      <c r="CI29" s="3"/>
      <c r="CJ29" s="12">
        <v>1.29</v>
      </c>
      <c r="CK29" s="3">
        <f>CH29-CJ29</f>
        <v>8.8000000000000007</v>
      </c>
      <c r="CL29" s="6" t="s">
        <v>688</v>
      </c>
      <c r="CM29" s="7" t="s">
        <v>35</v>
      </c>
      <c r="CN29" s="21" t="s">
        <v>689</v>
      </c>
      <c r="CO29" s="77" t="s">
        <v>678</v>
      </c>
    </row>
    <row r="30" spans="1:99" s="22" customFormat="1">
      <c r="A30" s="2" t="s">
        <v>6</v>
      </c>
      <c r="B30" s="2" t="s">
        <v>204</v>
      </c>
      <c r="C30" s="2" t="s">
        <v>178</v>
      </c>
      <c r="D30" s="2" t="s">
        <v>205</v>
      </c>
      <c r="E30" s="2">
        <v>1980</v>
      </c>
      <c r="F30" s="2">
        <v>1989</v>
      </c>
      <c r="G30" s="2">
        <v>1</v>
      </c>
      <c r="H30" s="2">
        <v>1</v>
      </c>
      <c r="I30" s="2">
        <v>1</v>
      </c>
      <c r="J30" s="2">
        <v>1</v>
      </c>
      <c r="K30" s="2">
        <v>0</v>
      </c>
      <c r="L30" s="17">
        <v>0</v>
      </c>
      <c r="M30" s="3">
        <v>16</v>
      </c>
      <c r="N30" s="4">
        <f>(M30-5)*12</f>
        <v>132</v>
      </c>
      <c r="O30" s="3">
        <v>1800</v>
      </c>
      <c r="P30" s="3"/>
      <c r="Q30" s="4">
        <v>31</v>
      </c>
      <c r="R30" s="3"/>
      <c r="S30" s="3"/>
      <c r="T30" s="3"/>
      <c r="U30" s="12"/>
      <c r="V30" s="3"/>
      <c r="W30" s="3"/>
      <c r="X30" s="3"/>
      <c r="Y30" s="3"/>
      <c r="Z30" s="3"/>
      <c r="AA30" s="3"/>
      <c r="AB30" s="3"/>
      <c r="AC30" s="3"/>
      <c r="AD30" s="3"/>
      <c r="AE30" s="3"/>
      <c r="AF30" s="3"/>
      <c r="AG30" s="3"/>
      <c r="AH30" s="3"/>
      <c r="AI30" s="3"/>
      <c r="AJ30" s="3"/>
      <c r="AK30" s="3"/>
      <c r="AL30" s="3"/>
      <c r="AM30" s="3"/>
      <c r="AN30" s="12"/>
      <c r="AO30" s="12"/>
      <c r="AP30" s="12"/>
      <c r="AQ30" s="12"/>
      <c r="AR30" s="12"/>
      <c r="AS30" s="2"/>
      <c r="AT30" s="7"/>
      <c r="AU30" s="12">
        <v>3750</v>
      </c>
      <c r="AV30" s="12"/>
      <c r="AW30" s="3"/>
      <c r="AX30" s="3"/>
      <c r="AY30" s="3"/>
      <c r="AZ30" s="3"/>
      <c r="BA30" s="3">
        <v>11.17</v>
      </c>
      <c r="BB30" s="3"/>
      <c r="BC30" s="3"/>
      <c r="BD30" s="3"/>
      <c r="BE30" s="3"/>
      <c r="BF30" s="3"/>
      <c r="BG30" s="3"/>
      <c r="BH30" s="3"/>
      <c r="BI30" s="3"/>
      <c r="BJ30" s="3"/>
      <c r="BK30" s="4">
        <f>0.4314*10000/1000*50%</f>
        <v>2.157</v>
      </c>
      <c r="BL30" s="4">
        <f>1.305*10000/1000*50%</f>
        <v>6.5250000000000004</v>
      </c>
      <c r="BM30" s="4">
        <f>(9.889)*10000/1000*50%</f>
        <v>49.445</v>
      </c>
      <c r="BN30" s="4">
        <f>SUM(BK30:BM30)</f>
        <v>58.127000000000002</v>
      </c>
      <c r="BO30" s="4">
        <f>BS30/BN30</f>
        <v>0.56884064204242424</v>
      </c>
      <c r="BP30" s="4">
        <f>(3.864)*10000/1000*50%</f>
        <v>19.32</v>
      </c>
      <c r="BQ30" s="4">
        <f>(1.449)*10000/1000*50%</f>
        <v>7.2450000000000001</v>
      </c>
      <c r="BR30" s="4">
        <f>(1.3)*10000/1000*50%</f>
        <v>6.5</v>
      </c>
      <c r="BS30" s="4">
        <f>SUM(BP30:BR30)</f>
        <v>33.064999999999998</v>
      </c>
      <c r="BT30" s="4">
        <f t="shared" si="3"/>
        <v>91.192000000000007</v>
      </c>
      <c r="BU30" s="3"/>
      <c r="BV30" s="3"/>
      <c r="BW30" s="3"/>
      <c r="BX30" s="3"/>
      <c r="BY30" s="3"/>
      <c r="BZ30" s="3"/>
      <c r="CA30" s="3"/>
      <c r="CB30" s="3"/>
      <c r="CC30" s="4">
        <f>((10.0169+1.0598)/10)*10000/1000*50%</f>
        <v>5.5383499999999994</v>
      </c>
      <c r="CD30" s="3"/>
      <c r="CE30" s="3"/>
      <c r="CF30" s="3"/>
      <c r="CG30" s="3"/>
      <c r="CH30" s="3"/>
      <c r="CI30" s="3"/>
      <c r="CJ30" s="3"/>
      <c r="CK30" s="7"/>
      <c r="CL30" s="2" t="s">
        <v>168</v>
      </c>
      <c r="CM30" s="7" t="s">
        <v>35</v>
      </c>
      <c r="CN30" s="8" t="s">
        <v>169</v>
      </c>
      <c r="CO30" s="11" t="s">
        <v>85</v>
      </c>
      <c r="CP30"/>
      <c r="CQ30"/>
      <c r="CR30"/>
      <c r="CS30"/>
      <c r="CT30"/>
      <c r="CU30"/>
    </row>
    <row r="31" spans="1:99" s="22" customFormat="1">
      <c r="A31" s="2" t="s">
        <v>6</v>
      </c>
      <c r="B31" s="2" t="s">
        <v>681</v>
      </c>
      <c r="C31" s="2" t="s">
        <v>179</v>
      </c>
      <c r="D31" s="2" t="s">
        <v>206</v>
      </c>
      <c r="E31" s="2">
        <v>1982</v>
      </c>
      <c r="F31" s="2">
        <v>1989</v>
      </c>
      <c r="G31" s="2">
        <v>1</v>
      </c>
      <c r="H31" s="2">
        <v>0</v>
      </c>
      <c r="I31" s="2">
        <v>1</v>
      </c>
      <c r="J31" s="2">
        <v>1</v>
      </c>
      <c r="K31" s="2">
        <v>0</v>
      </c>
      <c r="L31" s="17">
        <v>0</v>
      </c>
      <c r="M31" s="3">
        <v>16</v>
      </c>
      <c r="N31" s="4">
        <f>(M31-5)*12</f>
        <v>132</v>
      </c>
      <c r="O31" s="3">
        <v>1800</v>
      </c>
      <c r="P31" s="3"/>
      <c r="Q31" s="4">
        <v>31</v>
      </c>
      <c r="R31" s="3"/>
      <c r="S31" s="3"/>
      <c r="T31" s="3"/>
      <c r="U31" s="12"/>
      <c r="V31" s="3"/>
      <c r="W31" s="3"/>
      <c r="X31" s="3"/>
      <c r="Y31" s="3"/>
      <c r="Z31" s="3"/>
      <c r="AA31" s="3"/>
      <c r="AB31" s="3"/>
      <c r="AC31" s="3"/>
      <c r="AD31" s="3"/>
      <c r="AE31" s="3"/>
      <c r="AF31" s="3"/>
      <c r="AG31" s="3"/>
      <c r="AH31" s="3"/>
      <c r="AI31" s="3"/>
      <c r="AJ31" s="3"/>
      <c r="AK31" s="3"/>
      <c r="AL31" s="3"/>
      <c r="AM31" s="3"/>
      <c r="AN31" s="12"/>
      <c r="AO31" s="12"/>
      <c r="AP31" s="12"/>
      <c r="AQ31" s="12"/>
      <c r="AR31" s="12"/>
      <c r="AS31" s="2"/>
      <c r="AT31" s="7"/>
      <c r="AU31" s="12">
        <v>2700</v>
      </c>
      <c r="AV31" s="12"/>
      <c r="AW31" s="3"/>
      <c r="AX31" s="3"/>
      <c r="AY31" s="3"/>
      <c r="AZ31" s="3"/>
      <c r="BA31" s="3">
        <v>8.02</v>
      </c>
      <c r="BB31" s="3"/>
      <c r="BC31" s="3"/>
      <c r="BD31" s="3"/>
      <c r="BE31" s="3"/>
      <c r="BF31" s="3"/>
      <c r="BG31" s="3"/>
      <c r="BH31" s="3"/>
      <c r="BI31" s="3"/>
      <c r="BJ31" s="3"/>
      <c r="BK31" s="4">
        <f>0.2886*10000/1000*50%</f>
        <v>1.4430000000000003</v>
      </c>
      <c r="BL31" s="4">
        <f>0.8213*10000/1000*50%</f>
        <v>4.1064999999999996</v>
      </c>
      <c r="BM31" s="4">
        <f>4.199*10000/1000*50%</f>
        <v>20.995000000000001</v>
      </c>
      <c r="BN31" s="4">
        <f>SUM(BK31:BM31)</f>
        <v>26.544499999999999</v>
      </c>
      <c r="BO31" s="4">
        <f>BS31/BN31</f>
        <v>1.2626156077530184</v>
      </c>
      <c r="BP31" s="4">
        <f>(4.857)*10000/1000*50%</f>
        <v>24.285</v>
      </c>
      <c r="BQ31" s="4">
        <f>(1.337)*10000/1000*50%</f>
        <v>6.6849999999999996</v>
      </c>
      <c r="BR31" s="4">
        <f>(0.5091)*10000/1000*50%</f>
        <v>2.5455000000000001</v>
      </c>
      <c r="BS31" s="4">
        <f>SUM(BP31:BR31)</f>
        <v>33.515499999999996</v>
      </c>
      <c r="BT31" s="4">
        <f t="shared" si="3"/>
        <v>60.059999999999995</v>
      </c>
      <c r="BU31" s="3"/>
      <c r="BV31" s="3"/>
      <c r="BW31" s="3"/>
      <c r="BX31" s="3"/>
      <c r="BY31" s="3"/>
      <c r="BZ31" s="3"/>
      <c r="CA31" s="3"/>
      <c r="CB31" s="3"/>
      <c r="CC31" s="4">
        <f>((4.2415+0.3274)/8)*10000/1000*50%</f>
        <v>2.8555625</v>
      </c>
      <c r="CD31" s="3"/>
      <c r="CE31" s="3"/>
      <c r="CF31" s="3"/>
      <c r="CG31" s="3"/>
      <c r="CH31" s="3"/>
      <c r="CI31" s="3"/>
      <c r="CJ31" s="3"/>
      <c r="CK31" s="7"/>
      <c r="CL31" s="2" t="s">
        <v>168</v>
      </c>
      <c r="CM31" s="7" t="s">
        <v>35</v>
      </c>
      <c r="CN31" s="8" t="s">
        <v>169</v>
      </c>
      <c r="CO31" s="11" t="s">
        <v>85</v>
      </c>
      <c r="CP31"/>
      <c r="CQ31"/>
      <c r="CR31"/>
      <c r="CS31"/>
      <c r="CT31"/>
      <c r="CU31"/>
    </row>
    <row r="32" spans="1:99">
      <c r="A32" s="2" t="s">
        <v>185</v>
      </c>
      <c r="B32" s="2" t="s">
        <v>279</v>
      </c>
      <c r="C32" s="6" t="s">
        <v>466</v>
      </c>
      <c r="D32" s="6" t="s">
        <v>288</v>
      </c>
      <c r="E32" s="6">
        <v>2008</v>
      </c>
      <c r="F32" s="6">
        <v>2009</v>
      </c>
      <c r="G32" s="6">
        <v>0</v>
      </c>
      <c r="H32" s="6">
        <v>0</v>
      </c>
      <c r="I32" s="6">
        <v>0</v>
      </c>
      <c r="J32" s="6">
        <v>0</v>
      </c>
      <c r="K32" s="6">
        <v>0</v>
      </c>
      <c r="L32" s="23">
        <v>0</v>
      </c>
      <c r="M32" s="12">
        <v>14.8</v>
      </c>
      <c r="N32" s="4">
        <f>(M32-5)*12</f>
        <v>117.60000000000001</v>
      </c>
      <c r="O32" s="12">
        <v>1451.4</v>
      </c>
      <c r="P32" s="39">
        <v>7</v>
      </c>
      <c r="Q32" s="12">
        <v>110</v>
      </c>
      <c r="R32" s="39">
        <v>61.208329999999997</v>
      </c>
      <c r="S32" s="39">
        <v>2161.15</v>
      </c>
      <c r="T32" s="39">
        <v>1.5333300000000001</v>
      </c>
      <c r="U32" s="12">
        <v>0.4</v>
      </c>
      <c r="V32" s="12"/>
      <c r="W32" s="12">
        <v>4.55</v>
      </c>
      <c r="X32" s="12"/>
      <c r="Y32" s="12"/>
      <c r="Z32" s="12"/>
      <c r="AA32" s="12"/>
      <c r="AB32" s="12">
        <f>(0.023)*1000</f>
        <v>23</v>
      </c>
      <c r="AC32" s="12"/>
      <c r="AD32" s="12"/>
      <c r="AE32" s="12"/>
      <c r="AF32" s="12"/>
      <c r="AG32" s="12"/>
      <c r="AH32" s="12"/>
      <c r="AI32" s="12"/>
      <c r="AJ32" s="12"/>
      <c r="AK32" s="12"/>
      <c r="AL32" s="12"/>
      <c r="AM32" s="12"/>
      <c r="AN32" s="12"/>
      <c r="AO32" s="12">
        <v>203</v>
      </c>
      <c r="AP32" s="12">
        <v>176</v>
      </c>
      <c r="AQ32" s="12"/>
      <c r="AR32" s="12"/>
      <c r="AS32" s="6"/>
      <c r="AT32" s="12">
        <v>290</v>
      </c>
      <c r="AU32" s="12">
        <v>2660</v>
      </c>
      <c r="AV32" s="12">
        <v>8.1999999999999993</v>
      </c>
      <c r="AW32" s="12"/>
      <c r="AX32" s="4">
        <f t="shared" ref="AX32:AX40" si="4">(AV32/2)^2*PI()*AU32/10000</f>
        <v>14.047505886820614</v>
      </c>
      <c r="AY32" s="12"/>
      <c r="AZ32" s="12"/>
      <c r="BA32" s="12"/>
      <c r="BB32" s="12"/>
      <c r="BC32" s="12"/>
      <c r="BD32" s="12"/>
      <c r="BE32" s="12"/>
      <c r="BF32" s="12"/>
      <c r="BG32" s="12"/>
      <c r="BH32" s="12"/>
      <c r="BI32" s="12"/>
      <c r="BJ32" s="12"/>
      <c r="BK32" s="39">
        <f>1.29*50%</f>
        <v>0.64500000000000002</v>
      </c>
      <c r="BL32" s="39">
        <f>3.72*50%</f>
        <v>1.86</v>
      </c>
      <c r="BM32" s="39">
        <f>26.4*50%</f>
        <v>13.2</v>
      </c>
      <c r="BN32" s="39">
        <f>SUM(BK32:BM32)</f>
        <v>15.704999999999998</v>
      </c>
      <c r="BO32" s="38">
        <f>BS32/BN32</f>
        <v>1.1464501751034704</v>
      </c>
      <c r="BP32" s="39">
        <f>(18.7+7.47)*50%</f>
        <v>13.084999999999999</v>
      </c>
      <c r="BQ32" s="39">
        <f>9.84*50%</f>
        <v>4.92</v>
      </c>
      <c r="BR32" s="37"/>
      <c r="BS32" s="39">
        <f>SUM(BP32:BR32)</f>
        <v>18.004999999999999</v>
      </c>
      <c r="BT32" s="39">
        <f t="shared" si="3"/>
        <v>33.709999999999994</v>
      </c>
      <c r="BU32" s="18"/>
      <c r="BV32" s="12"/>
      <c r="BW32" s="12"/>
      <c r="BX32" s="12"/>
      <c r="BY32" s="12"/>
      <c r="BZ32" s="12"/>
      <c r="CA32" s="12"/>
      <c r="CB32" s="39">
        <f>7.19*50%</f>
        <v>3.5950000000000002</v>
      </c>
      <c r="CC32" s="12"/>
      <c r="CD32" s="12"/>
      <c r="CE32" s="12"/>
      <c r="CF32" s="12"/>
      <c r="CG32" s="12"/>
      <c r="CH32" s="12"/>
      <c r="CI32" s="12"/>
      <c r="CJ32" s="12"/>
      <c r="CK32" s="18"/>
      <c r="CL32" s="6" t="s">
        <v>469</v>
      </c>
      <c r="CM32" s="2" t="s">
        <v>35</v>
      </c>
      <c r="CN32" s="54" t="s">
        <v>280</v>
      </c>
      <c r="CO32" s="47" t="s">
        <v>85</v>
      </c>
    </row>
    <row r="33" spans="1:93">
      <c r="A33" s="2" t="s">
        <v>185</v>
      </c>
      <c r="B33" s="2" t="s">
        <v>279</v>
      </c>
      <c r="C33" s="6" t="s">
        <v>468</v>
      </c>
      <c r="D33" s="6" t="s">
        <v>290</v>
      </c>
      <c r="E33" s="6">
        <v>2008</v>
      </c>
      <c r="F33" s="6">
        <v>2009</v>
      </c>
      <c r="G33" s="6">
        <v>0</v>
      </c>
      <c r="H33" s="6">
        <v>0</v>
      </c>
      <c r="I33" s="6">
        <v>0</v>
      </c>
      <c r="J33" s="6">
        <v>0</v>
      </c>
      <c r="K33" s="6">
        <v>0</v>
      </c>
      <c r="L33" s="23">
        <v>0</v>
      </c>
      <c r="M33" s="12">
        <v>14.8</v>
      </c>
      <c r="N33" s="4">
        <f>(M33-5)*12</f>
        <v>117.60000000000001</v>
      </c>
      <c r="O33" s="12">
        <v>1451.4</v>
      </c>
      <c r="P33" s="39">
        <v>7</v>
      </c>
      <c r="Q33" s="12">
        <v>160</v>
      </c>
      <c r="R33" s="39">
        <v>61.208329999999997</v>
      </c>
      <c r="S33" s="39">
        <v>2161.15</v>
      </c>
      <c r="T33" s="39">
        <v>1.5333300000000001</v>
      </c>
      <c r="U33" s="12">
        <v>0.31</v>
      </c>
      <c r="V33" s="12"/>
      <c r="W33" s="12">
        <v>4.79</v>
      </c>
      <c r="X33" s="12"/>
      <c r="Y33" s="12"/>
      <c r="Z33" s="12"/>
      <c r="AA33" s="12"/>
      <c r="AB33" s="12">
        <f>(0.025)*1000</f>
        <v>25</v>
      </c>
      <c r="AC33" s="12"/>
      <c r="AD33" s="12"/>
      <c r="AE33" s="12"/>
      <c r="AF33" s="12"/>
      <c r="AG33" s="12"/>
      <c r="AH33" s="12"/>
      <c r="AI33" s="12"/>
      <c r="AJ33" s="12"/>
      <c r="AK33" s="12"/>
      <c r="AL33" s="12"/>
      <c r="AM33" s="12"/>
      <c r="AN33" s="12"/>
      <c r="AO33" s="12">
        <v>357</v>
      </c>
      <c r="AP33" s="12">
        <v>463</v>
      </c>
      <c r="AQ33" s="12"/>
      <c r="AR33" s="12"/>
      <c r="AS33" s="6"/>
      <c r="AT33" s="12">
        <v>67</v>
      </c>
      <c r="AU33" s="12">
        <v>4790</v>
      </c>
      <c r="AV33" s="12">
        <v>11.2</v>
      </c>
      <c r="AW33" s="12"/>
      <c r="AX33" s="4">
        <f t="shared" si="4"/>
        <v>47.191245550339858</v>
      </c>
      <c r="AY33" s="12"/>
      <c r="AZ33" s="12"/>
      <c r="BA33" s="12"/>
      <c r="BB33" s="12"/>
      <c r="BC33" s="12"/>
      <c r="BD33" s="12"/>
      <c r="BE33" s="12"/>
      <c r="BF33" s="12"/>
      <c r="BG33" s="12"/>
      <c r="BH33" s="12"/>
      <c r="BI33" s="12"/>
      <c r="BJ33" s="12"/>
      <c r="BK33" s="39">
        <f>4.06*50%</f>
        <v>2.0299999999999998</v>
      </c>
      <c r="BL33" s="39">
        <f>10.9*50%</f>
        <v>5.45</v>
      </c>
      <c r="BM33" s="39">
        <f>92.2*50%</f>
        <v>46.1</v>
      </c>
      <c r="BN33" s="39">
        <f>SUM(BK33:BM33)</f>
        <v>53.58</v>
      </c>
      <c r="BO33" s="38">
        <f>BS33/BN33</f>
        <v>0.63176558417319884</v>
      </c>
      <c r="BP33" s="39">
        <f>(23.9+17.4)*50%</f>
        <v>20.65</v>
      </c>
      <c r="BQ33" s="39">
        <f>26.4*50%</f>
        <v>13.2</v>
      </c>
      <c r="BR33" s="37"/>
      <c r="BS33" s="39">
        <f>SUM(BP33:BR33)</f>
        <v>33.849999999999994</v>
      </c>
      <c r="BT33" s="39">
        <f t="shared" si="3"/>
        <v>87.429999999999993</v>
      </c>
      <c r="BU33" s="18"/>
      <c r="BV33" s="12"/>
      <c r="BW33" s="12"/>
      <c r="BX33" s="12"/>
      <c r="BY33" s="12"/>
      <c r="BZ33" s="12"/>
      <c r="CA33" s="12"/>
      <c r="CB33" s="39">
        <f>3.03*50%</f>
        <v>1.5149999999999999</v>
      </c>
      <c r="CC33" s="12"/>
      <c r="CD33" s="12"/>
      <c r="CE33" s="12"/>
      <c r="CF33" s="12"/>
      <c r="CG33" s="12"/>
      <c r="CH33" s="12"/>
      <c r="CI33" s="12"/>
      <c r="CJ33" s="12"/>
      <c r="CK33" s="18"/>
      <c r="CL33" s="6" t="s">
        <v>469</v>
      </c>
      <c r="CM33" s="2" t="s">
        <v>35</v>
      </c>
      <c r="CN33" s="54" t="s">
        <v>280</v>
      </c>
      <c r="CO33" s="47" t="s">
        <v>85</v>
      </c>
    </row>
    <row r="34" spans="1:93">
      <c r="A34" s="2" t="s">
        <v>185</v>
      </c>
      <c r="B34" s="2" t="s">
        <v>279</v>
      </c>
      <c r="C34" s="6" t="s">
        <v>467</v>
      </c>
      <c r="D34" s="6" t="s">
        <v>289</v>
      </c>
      <c r="E34" s="6">
        <v>2008</v>
      </c>
      <c r="F34" s="6">
        <v>2009</v>
      </c>
      <c r="G34" s="6">
        <v>0</v>
      </c>
      <c r="H34" s="6">
        <v>0</v>
      </c>
      <c r="I34" s="6">
        <v>0</v>
      </c>
      <c r="J34" s="6">
        <v>0</v>
      </c>
      <c r="K34" s="6">
        <v>0</v>
      </c>
      <c r="L34" s="23">
        <v>0</v>
      </c>
      <c r="M34" s="12">
        <v>14.8</v>
      </c>
      <c r="N34" s="4">
        <f>(M34-5)*12</f>
        <v>117.60000000000001</v>
      </c>
      <c r="O34" s="12">
        <v>1451.4</v>
      </c>
      <c r="P34" s="39">
        <v>7</v>
      </c>
      <c r="Q34" s="12">
        <v>200</v>
      </c>
      <c r="R34" s="39">
        <v>61.208329999999997</v>
      </c>
      <c r="S34" s="39">
        <v>2161.15</v>
      </c>
      <c r="T34" s="39">
        <v>1.5333300000000001</v>
      </c>
      <c r="U34" s="12">
        <v>0.48</v>
      </c>
      <c r="V34" s="12"/>
      <c r="W34" s="12">
        <v>4.6900000000000004</v>
      </c>
      <c r="X34" s="12"/>
      <c r="Y34" s="12"/>
      <c r="Z34" s="12"/>
      <c r="AA34" s="12"/>
      <c r="AB34" s="12">
        <f>(0.025)*1000</f>
        <v>25</v>
      </c>
      <c r="AC34" s="12"/>
      <c r="AD34" s="12"/>
      <c r="AE34" s="12"/>
      <c r="AF34" s="12"/>
      <c r="AG34" s="12"/>
      <c r="AH34" s="12"/>
      <c r="AI34" s="12"/>
      <c r="AJ34" s="12"/>
      <c r="AK34" s="12"/>
      <c r="AL34" s="12"/>
      <c r="AM34" s="12"/>
      <c r="AN34" s="12"/>
      <c r="AO34" s="12">
        <v>256</v>
      </c>
      <c r="AP34" s="12">
        <v>368</v>
      </c>
      <c r="AQ34" s="12"/>
      <c r="AR34" s="12"/>
      <c r="AS34" s="6"/>
      <c r="AT34" s="12">
        <v>324</v>
      </c>
      <c r="AU34" s="12">
        <v>2400</v>
      </c>
      <c r="AV34" s="12">
        <v>10.1</v>
      </c>
      <c r="AW34" s="12"/>
      <c r="AX34" s="4">
        <f t="shared" si="4"/>
        <v>19.228431995561689</v>
      </c>
      <c r="AY34" s="12"/>
      <c r="AZ34" s="12"/>
      <c r="BA34" s="12"/>
      <c r="BB34" s="12"/>
      <c r="BC34" s="12"/>
      <c r="BD34" s="12"/>
      <c r="BE34" s="12"/>
      <c r="BF34" s="12"/>
      <c r="BG34" s="12"/>
      <c r="BH34" s="12"/>
      <c r="BI34" s="12"/>
      <c r="BJ34" s="12"/>
      <c r="BK34" s="39">
        <f>1.69*50%</f>
        <v>0.84499999999999997</v>
      </c>
      <c r="BL34" s="39">
        <f>4.64*50%</f>
        <v>2.3199999999999998</v>
      </c>
      <c r="BM34" s="39">
        <f>37.3*50%</f>
        <v>18.649999999999999</v>
      </c>
      <c r="BN34" s="39">
        <f>SUM(BK34:BM34)</f>
        <v>21.814999999999998</v>
      </c>
      <c r="BO34" s="38">
        <f>BS34/BN34</f>
        <v>1.3183589273435712</v>
      </c>
      <c r="BP34" s="39">
        <f>(23.1+9.92)*50%</f>
        <v>16.510000000000002</v>
      </c>
      <c r="BQ34" s="39">
        <f>24.5*50%</f>
        <v>12.25</v>
      </c>
      <c r="BR34" s="37"/>
      <c r="BS34" s="39">
        <f>SUM(BP34:BR34)</f>
        <v>28.76</v>
      </c>
      <c r="BT34" s="39">
        <f t="shared" si="3"/>
        <v>50.575000000000003</v>
      </c>
      <c r="BU34" s="18"/>
      <c r="BV34" s="12"/>
      <c r="BW34" s="12"/>
      <c r="BX34" s="12"/>
      <c r="BY34" s="12"/>
      <c r="BZ34" s="12"/>
      <c r="CA34" s="12"/>
      <c r="CB34" s="39">
        <f>5.26*50%</f>
        <v>2.63</v>
      </c>
      <c r="CC34" s="12"/>
      <c r="CD34" s="12"/>
      <c r="CE34" s="12"/>
      <c r="CF34" s="12"/>
      <c r="CG34" s="12"/>
      <c r="CH34" s="12"/>
      <c r="CI34" s="12"/>
      <c r="CJ34" s="12"/>
      <c r="CK34" s="18"/>
      <c r="CL34" s="6" t="s">
        <v>469</v>
      </c>
      <c r="CM34" s="2" t="s">
        <v>35</v>
      </c>
      <c r="CN34" s="54" t="s">
        <v>280</v>
      </c>
      <c r="CO34" s="47" t="s">
        <v>85</v>
      </c>
    </row>
    <row r="35" spans="1:93">
      <c r="A35" s="6" t="s">
        <v>12</v>
      </c>
      <c r="B35" s="2" t="s">
        <v>188</v>
      </c>
      <c r="C35" s="2" t="s">
        <v>400</v>
      </c>
      <c r="D35" s="2" t="s">
        <v>373</v>
      </c>
      <c r="E35" s="2">
        <v>2002</v>
      </c>
      <c r="F35" s="2">
        <v>2003</v>
      </c>
      <c r="G35" s="2">
        <v>0</v>
      </c>
      <c r="H35" s="2">
        <v>0</v>
      </c>
      <c r="I35" s="2">
        <v>0</v>
      </c>
      <c r="J35" s="2">
        <v>0</v>
      </c>
      <c r="K35" s="2">
        <v>0</v>
      </c>
      <c r="L35" s="2">
        <v>0</v>
      </c>
      <c r="M35" s="4">
        <v>16.087499999999999</v>
      </c>
      <c r="N35" s="4">
        <v>133.5</v>
      </c>
      <c r="O35" s="4">
        <v>1556.5</v>
      </c>
      <c r="P35" s="39">
        <v>0</v>
      </c>
      <c r="Q35" s="4">
        <f>(50+92)/2</f>
        <v>71</v>
      </c>
      <c r="R35" s="18"/>
      <c r="S35" s="66">
        <v>1659.6</v>
      </c>
      <c r="T35" s="4">
        <v>2.329167</v>
      </c>
      <c r="U35" s="12"/>
      <c r="V35" s="3"/>
      <c r="W35" s="3"/>
      <c r="X35" s="3"/>
      <c r="Y35" s="3"/>
      <c r="Z35" s="3"/>
      <c r="AA35" s="3"/>
      <c r="AB35" s="3"/>
      <c r="AC35" s="3"/>
      <c r="AD35" s="3"/>
      <c r="AE35" s="3"/>
      <c r="AF35" s="3"/>
      <c r="AG35" s="3"/>
      <c r="AH35" s="3"/>
      <c r="AI35" s="3"/>
      <c r="AJ35" s="3"/>
      <c r="AK35" s="3"/>
      <c r="AL35" s="3"/>
      <c r="AM35" s="3"/>
      <c r="AN35" s="3"/>
      <c r="AO35" s="3"/>
      <c r="AP35" s="3"/>
      <c r="AQ35" s="3"/>
      <c r="AR35" s="3"/>
      <c r="AS35" s="2"/>
      <c r="AT35" s="3"/>
      <c r="AU35" s="3">
        <f>(8000+8791+5263)/3</f>
        <v>7351.333333333333</v>
      </c>
      <c r="AV35" s="3">
        <f>(8000*12.3+8791*9.8+5263*11.4)/(AU35*3)</f>
        <v>11.088691393851455</v>
      </c>
      <c r="AW35" s="3">
        <f>(8000*17+8791*14.2+5263*15.9)/(AU35*3)</f>
        <v>15.621379341616034</v>
      </c>
      <c r="AX35" s="4">
        <f t="shared" si="4"/>
        <v>70.993173583070003</v>
      </c>
      <c r="AY35" s="12"/>
      <c r="AZ35" s="12"/>
      <c r="BA35" s="12"/>
      <c r="BB35" s="3"/>
      <c r="BC35" s="3"/>
      <c r="BD35" s="3"/>
      <c r="BE35" s="3"/>
      <c r="BF35" s="3"/>
      <c r="BG35" s="3"/>
      <c r="BH35" s="3"/>
      <c r="BI35" s="3"/>
      <c r="BJ35" s="3"/>
      <c r="BK35" s="12"/>
      <c r="BL35" s="12"/>
      <c r="BM35" s="12"/>
      <c r="BN35" s="3">
        <f>((233.1+151.1+138.3)/3)*50%</f>
        <v>87.083333333333329</v>
      </c>
      <c r="BO35" s="3"/>
      <c r="BP35" s="3"/>
      <c r="BQ35" s="3"/>
      <c r="BR35" s="3"/>
      <c r="BS35" s="3"/>
      <c r="BT35" s="3"/>
      <c r="BU35" s="3"/>
      <c r="BV35" s="3"/>
      <c r="BW35" s="3"/>
      <c r="BX35" s="3"/>
      <c r="BY35" s="3"/>
      <c r="BZ35" s="3"/>
      <c r="CA35" s="3"/>
      <c r="CB35" s="3"/>
      <c r="CC35" s="3"/>
      <c r="CD35" s="3"/>
      <c r="CE35" s="3"/>
      <c r="CF35" s="3"/>
      <c r="CG35" s="3"/>
      <c r="CH35" s="3"/>
      <c r="CI35" s="3"/>
      <c r="CJ35" s="3"/>
      <c r="CK35" s="3"/>
      <c r="CL35" s="6" t="s">
        <v>367</v>
      </c>
      <c r="CM35" s="2" t="s">
        <v>35</v>
      </c>
      <c r="CN35" s="46" t="s">
        <v>339</v>
      </c>
      <c r="CO35" s="47" t="s">
        <v>85</v>
      </c>
    </row>
    <row r="36" spans="1:93">
      <c r="A36" s="2" t="s">
        <v>12</v>
      </c>
      <c r="B36" s="2" t="s">
        <v>189</v>
      </c>
      <c r="C36" s="6" t="s">
        <v>474</v>
      </c>
      <c r="D36" s="6" t="s">
        <v>277</v>
      </c>
      <c r="E36" s="6">
        <v>2005</v>
      </c>
      <c r="F36" s="6">
        <v>2005</v>
      </c>
      <c r="G36" s="6">
        <v>0</v>
      </c>
      <c r="H36" s="6">
        <v>0</v>
      </c>
      <c r="I36" s="6">
        <v>0</v>
      </c>
      <c r="J36" s="6">
        <v>0</v>
      </c>
      <c r="K36" s="6">
        <v>0</v>
      </c>
      <c r="L36" s="23">
        <v>1</v>
      </c>
      <c r="M36" s="12">
        <v>11.3</v>
      </c>
      <c r="N36" s="4">
        <f>(M36-5)*12</f>
        <v>75.600000000000009</v>
      </c>
      <c r="O36" s="12">
        <v>3244</v>
      </c>
      <c r="P36" s="39">
        <v>425</v>
      </c>
      <c r="Q36" s="12">
        <v>330</v>
      </c>
      <c r="R36" s="12"/>
      <c r="S36" s="39">
        <v>1085.9000000000001</v>
      </c>
      <c r="T36" s="39">
        <v>0.74166699999999997</v>
      </c>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6"/>
      <c r="AT36" s="12"/>
      <c r="AU36" s="12">
        <v>12500</v>
      </c>
      <c r="AV36" s="39">
        <f>(4.63*70+1.78*55)/125</f>
        <v>3.3759999999999999</v>
      </c>
      <c r="AW36" s="12"/>
      <c r="AX36" s="39">
        <f t="shared" si="4"/>
        <v>11.189347722437693</v>
      </c>
      <c r="AY36" s="12"/>
      <c r="AZ36" s="12"/>
      <c r="BA36" s="12"/>
      <c r="BB36" s="12"/>
      <c r="BC36" s="12"/>
      <c r="BD36" s="12"/>
      <c r="BE36" s="12"/>
      <c r="BF36" s="12"/>
      <c r="BG36" s="12"/>
      <c r="BH36" s="12"/>
      <c r="BI36" s="12"/>
      <c r="BJ36" s="12"/>
      <c r="BK36" s="37"/>
      <c r="BL36" s="12"/>
      <c r="BM36" s="12"/>
      <c r="BN36" s="12">
        <f>23.31*50%</f>
        <v>11.654999999999999</v>
      </c>
      <c r="BO36" s="12">
        <f>BS36/BN36</f>
        <v>1.5096525096525097</v>
      </c>
      <c r="BP36" s="12">
        <f>9.51*50%</f>
        <v>4.7549999999999999</v>
      </c>
      <c r="BQ36" s="12">
        <f>15.67*50%</f>
        <v>7.835</v>
      </c>
      <c r="BR36" s="12">
        <f>(7.56+2.45)*50%</f>
        <v>5.0049999999999999</v>
      </c>
      <c r="BS36" s="12">
        <f>SUM(BP36:BR36)</f>
        <v>17.594999999999999</v>
      </c>
      <c r="BT36" s="12">
        <f>BS36+BN36</f>
        <v>29.25</v>
      </c>
      <c r="BU36" s="12"/>
      <c r="BV36" s="12"/>
      <c r="BW36" s="12"/>
      <c r="BX36" s="12"/>
      <c r="BY36" s="18"/>
      <c r="BZ36" s="12"/>
      <c r="CA36" s="12"/>
      <c r="CB36" s="12"/>
      <c r="CC36" s="12"/>
      <c r="CD36" s="12"/>
      <c r="CE36" s="12"/>
      <c r="CF36" s="12"/>
      <c r="CG36" s="12"/>
      <c r="CH36" s="12"/>
      <c r="CI36" s="12"/>
      <c r="CJ36" s="12"/>
      <c r="CK36" s="18"/>
      <c r="CL36" s="6" t="s">
        <v>278</v>
      </c>
      <c r="CM36" s="2" t="s">
        <v>35</v>
      </c>
      <c r="CN36" s="21" t="s">
        <v>274</v>
      </c>
      <c r="CO36" s="47" t="s">
        <v>85</v>
      </c>
    </row>
    <row r="37" spans="1:93">
      <c r="A37" s="2" t="s">
        <v>12</v>
      </c>
      <c r="B37" s="2" t="s">
        <v>189</v>
      </c>
      <c r="C37" s="2" t="s">
        <v>401</v>
      </c>
      <c r="D37" s="2" t="s">
        <v>231</v>
      </c>
      <c r="E37" s="2">
        <v>2002</v>
      </c>
      <c r="F37" s="2">
        <v>2005</v>
      </c>
      <c r="G37" s="2">
        <v>1</v>
      </c>
      <c r="H37" s="2">
        <v>0</v>
      </c>
      <c r="I37" s="2">
        <v>1</v>
      </c>
      <c r="J37" s="16">
        <v>0</v>
      </c>
      <c r="K37" s="16">
        <v>0</v>
      </c>
      <c r="L37" s="16">
        <v>0</v>
      </c>
      <c r="M37" s="4">
        <v>16.177083333333332</v>
      </c>
      <c r="N37" s="4">
        <v>135.35</v>
      </c>
      <c r="O37" s="4">
        <v>1759.125</v>
      </c>
      <c r="P37" s="39">
        <v>56.75</v>
      </c>
      <c r="Q37" s="3">
        <v>70</v>
      </c>
      <c r="R37" s="4">
        <v>64.9375</v>
      </c>
      <c r="S37" s="4">
        <v>2042.8500000000001</v>
      </c>
      <c r="T37" s="4">
        <v>2.5979166666666664</v>
      </c>
      <c r="U37" s="12"/>
      <c r="V37" s="3"/>
      <c r="W37" s="3"/>
      <c r="X37" s="3"/>
      <c r="Y37" s="3"/>
      <c r="Z37" s="3"/>
      <c r="AA37" s="3"/>
      <c r="AB37" s="3"/>
      <c r="AC37" s="3"/>
      <c r="AD37" s="3"/>
      <c r="AE37" s="3"/>
      <c r="AF37" s="3"/>
      <c r="AG37" s="3"/>
      <c r="AH37" s="3"/>
      <c r="AI37" s="3"/>
      <c r="AJ37" s="3"/>
      <c r="AK37" s="3"/>
      <c r="AL37" s="3"/>
      <c r="AM37" s="3"/>
      <c r="AN37" s="3"/>
      <c r="AO37" s="3"/>
      <c r="AP37" s="3"/>
      <c r="AQ37" s="3"/>
      <c r="AR37" s="3"/>
      <c r="AS37" s="2"/>
      <c r="AT37" s="3"/>
      <c r="AU37" s="3">
        <v>3240</v>
      </c>
      <c r="AV37" s="3">
        <v>8.1999999999999993</v>
      </c>
      <c r="AW37" s="3"/>
      <c r="AX37" s="4">
        <f t="shared" si="4"/>
        <v>17.110495892217592</v>
      </c>
      <c r="AY37" s="12"/>
      <c r="AZ37" s="12"/>
      <c r="BA37" s="12"/>
      <c r="BB37" s="3">
        <v>45.2</v>
      </c>
      <c r="BC37" s="3">
        <v>48.2</v>
      </c>
      <c r="BD37" s="3">
        <v>48.9</v>
      </c>
      <c r="BE37" s="3">
        <v>44.8</v>
      </c>
      <c r="BF37" s="3"/>
      <c r="BG37" s="3">
        <v>45.6</v>
      </c>
      <c r="BH37" s="3"/>
      <c r="BI37" s="3"/>
      <c r="BJ37" s="3"/>
      <c r="BK37" s="12"/>
      <c r="BL37" s="12">
        <v>4.5999999999999996</v>
      </c>
      <c r="BM37" s="12">
        <v>18</v>
      </c>
      <c r="BN37" s="3">
        <f>SUM(BK37:BM37)</f>
        <v>22.6</v>
      </c>
      <c r="BO37" s="3">
        <f>BS37/BN37</f>
        <v>1.5088495575221239</v>
      </c>
      <c r="BP37" s="3">
        <v>11.8</v>
      </c>
      <c r="BQ37" s="3">
        <v>14</v>
      </c>
      <c r="BR37" s="3">
        <v>8.3000000000000007</v>
      </c>
      <c r="BS37" s="3">
        <f>SUM(BP37:BR37)</f>
        <v>34.1</v>
      </c>
      <c r="BT37" s="3">
        <f>BS37+BN37</f>
        <v>56.7</v>
      </c>
      <c r="BU37" s="3"/>
      <c r="BV37" s="3">
        <v>84.3</v>
      </c>
      <c r="BW37" s="3"/>
      <c r="BX37" s="3">
        <f>BT37+BV37</f>
        <v>141</v>
      </c>
      <c r="BY37" s="3"/>
      <c r="BZ37" s="3"/>
      <c r="CA37" s="3"/>
      <c r="CB37" s="3">
        <v>2.8</v>
      </c>
      <c r="CC37" s="3"/>
      <c r="CD37" s="3"/>
      <c r="CE37" s="3"/>
      <c r="CF37" s="3"/>
      <c r="CG37" s="3"/>
      <c r="CH37" s="3"/>
      <c r="CI37" s="3"/>
      <c r="CJ37" s="3"/>
      <c r="CK37" s="3"/>
      <c r="CL37" s="2" t="s">
        <v>344</v>
      </c>
      <c r="CM37" s="2" t="s">
        <v>35</v>
      </c>
      <c r="CN37" s="46" t="s">
        <v>51</v>
      </c>
      <c r="CO37" s="47" t="s">
        <v>85</v>
      </c>
    </row>
    <row r="38" spans="1:93">
      <c r="A38" s="2" t="s">
        <v>12</v>
      </c>
      <c r="B38" s="2" t="s">
        <v>189</v>
      </c>
      <c r="C38" s="2" t="s">
        <v>402</v>
      </c>
      <c r="D38" s="2" t="s">
        <v>235</v>
      </c>
      <c r="E38" s="2">
        <v>2002</v>
      </c>
      <c r="F38" s="2">
        <v>2005</v>
      </c>
      <c r="G38" s="2">
        <v>0</v>
      </c>
      <c r="H38" s="2">
        <v>0</v>
      </c>
      <c r="I38" s="2">
        <v>0</v>
      </c>
      <c r="J38" s="2">
        <v>0</v>
      </c>
      <c r="K38" s="2">
        <v>0</v>
      </c>
      <c r="L38" s="2">
        <v>0</v>
      </c>
      <c r="M38" s="4">
        <v>16.177083333333332</v>
      </c>
      <c r="N38" s="4">
        <v>135.35</v>
      </c>
      <c r="O38" s="4">
        <v>1759.125</v>
      </c>
      <c r="P38" s="39">
        <v>56.75</v>
      </c>
      <c r="Q38" s="3">
        <v>70</v>
      </c>
      <c r="R38" s="4">
        <v>64.9375</v>
      </c>
      <c r="S38" s="4">
        <v>2042.8500000000001</v>
      </c>
      <c r="T38" s="4">
        <v>2.5979166666666664</v>
      </c>
      <c r="U38" s="12"/>
      <c r="V38" s="3"/>
      <c r="W38" s="3"/>
      <c r="X38" s="3"/>
      <c r="Y38" s="3"/>
      <c r="Z38" s="3"/>
      <c r="AA38" s="3"/>
      <c r="AB38" s="3"/>
      <c r="AC38" s="3"/>
      <c r="AD38" s="3"/>
      <c r="AE38" s="3"/>
      <c r="AF38" s="3"/>
      <c r="AG38" s="3"/>
      <c r="AH38" s="3"/>
      <c r="AI38" s="3"/>
      <c r="AJ38" s="3"/>
      <c r="AK38" s="3"/>
      <c r="AL38" s="3"/>
      <c r="AM38" s="3"/>
      <c r="AN38" s="3"/>
      <c r="AO38" s="3"/>
      <c r="AP38" s="3"/>
      <c r="AQ38" s="3"/>
      <c r="AR38" s="3"/>
      <c r="AS38" s="2"/>
      <c r="AT38" s="3"/>
      <c r="AU38" s="3">
        <v>8200</v>
      </c>
      <c r="AV38" s="3">
        <v>7.5</v>
      </c>
      <c r="AW38" s="3"/>
      <c r="AX38" s="4">
        <f t="shared" si="4"/>
        <v>36.226490286707303</v>
      </c>
      <c r="AY38" s="12"/>
      <c r="AZ38" s="12"/>
      <c r="BA38" s="12"/>
      <c r="BB38" s="3">
        <v>45.2</v>
      </c>
      <c r="BC38" s="3">
        <v>48.2</v>
      </c>
      <c r="BD38" s="3">
        <v>48.9</v>
      </c>
      <c r="BE38" s="3">
        <v>44.8</v>
      </c>
      <c r="BF38" s="3"/>
      <c r="BG38" s="3">
        <v>45.6</v>
      </c>
      <c r="BH38" s="3"/>
      <c r="BI38" s="3"/>
      <c r="BJ38" s="3"/>
      <c r="BK38" s="12"/>
      <c r="BL38" s="12">
        <v>8.1</v>
      </c>
      <c r="BM38" s="12">
        <v>31.6</v>
      </c>
      <c r="BN38" s="3">
        <f>SUM(BK38:BM38)</f>
        <v>39.700000000000003</v>
      </c>
      <c r="BO38" s="3">
        <f>BS38/BN38</f>
        <v>1.1435768261964734</v>
      </c>
      <c r="BP38" s="3">
        <v>19.8</v>
      </c>
      <c r="BQ38" s="3">
        <v>13</v>
      </c>
      <c r="BR38" s="3">
        <v>12.6</v>
      </c>
      <c r="BS38" s="3">
        <f>SUM(BP38:BR38)</f>
        <v>45.4</v>
      </c>
      <c r="BT38" s="3">
        <f>BS38+BN38</f>
        <v>85.1</v>
      </c>
      <c r="BU38" s="3"/>
      <c r="BV38" s="3">
        <v>61.3</v>
      </c>
      <c r="BW38" s="3"/>
      <c r="BX38" s="3">
        <f>BT38+BV38</f>
        <v>146.39999999999998</v>
      </c>
      <c r="BY38" s="3"/>
      <c r="BZ38" s="3"/>
      <c r="CA38" s="3"/>
      <c r="CB38" s="3">
        <v>4.7</v>
      </c>
      <c r="CC38" s="3"/>
      <c r="CD38" s="3"/>
      <c r="CE38" s="3"/>
      <c r="CF38" s="3"/>
      <c r="CG38" s="3"/>
      <c r="CH38" s="3"/>
      <c r="CI38" s="3"/>
      <c r="CJ38" s="3"/>
      <c r="CK38" s="3"/>
      <c r="CL38" s="2" t="s">
        <v>344</v>
      </c>
      <c r="CM38" s="2" t="s">
        <v>35</v>
      </c>
      <c r="CN38" s="46" t="s">
        <v>51</v>
      </c>
      <c r="CO38" s="47" t="s">
        <v>85</v>
      </c>
    </row>
    <row r="39" spans="1:93">
      <c r="A39" s="2" t="s">
        <v>12</v>
      </c>
      <c r="B39" s="2" t="s">
        <v>189</v>
      </c>
      <c r="C39" s="2" t="s">
        <v>343</v>
      </c>
      <c r="D39" s="2" t="s">
        <v>372</v>
      </c>
      <c r="E39" s="2">
        <v>2002</v>
      </c>
      <c r="F39" s="2">
        <v>2005</v>
      </c>
      <c r="G39" s="2">
        <v>0</v>
      </c>
      <c r="H39" s="2">
        <v>0</v>
      </c>
      <c r="I39" s="2">
        <v>0</v>
      </c>
      <c r="J39" s="2">
        <v>0</v>
      </c>
      <c r="K39" s="2">
        <v>0</v>
      </c>
      <c r="L39" s="36">
        <v>1</v>
      </c>
      <c r="M39" s="4">
        <v>13.062499999999995</v>
      </c>
      <c r="N39" s="4">
        <v>105.32499999999999</v>
      </c>
      <c r="O39" s="4">
        <v>3462.5</v>
      </c>
      <c r="P39" s="39">
        <v>437.75</v>
      </c>
      <c r="Q39" s="3">
        <v>330</v>
      </c>
      <c r="R39" s="3"/>
      <c r="S39" s="4">
        <v>1223.2</v>
      </c>
      <c r="T39" s="4">
        <v>0.89166666666666672</v>
      </c>
      <c r="U39" s="12"/>
      <c r="V39" s="3"/>
      <c r="W39" s="3"/>
      <c r="X39" s="3"/>
      <c r="Y39" s="3"/>
      <c r="Z39" s="3"/>
      <c r="AA39" s="3"/>
      <c r="AB39" s="3"/>
      <c r="AC39" s="3"/>
      <c r="AD39" s="3"/>
      <c r="AE39" s="3"/>
      <c r="AF39" s="3"/>
      <c r="AG39" s="3"/>
      <c r="AH39" s="3"/>
      <c r="AI39" s="3"/>
      <c r="AJ39" s="3"/>
      <c r="AK39" s="3"/>
      <c r="AL39" s="3"/>
      <c r="AM39" s="3"/>
      <c r="AN39" s="3"/>
      <c r="AO39" s="3"/>
      <c r="AP39" s="3"/>
      <c r="AQ39" s="3"/>
      <c r="AR39" s="3"/>
      <c r="AS39" s="2"/>
      <c r="AT39" s="3"/>
      <c r="AU39" s="3">
        <v>8125</v>
      </c>
      <c r="AV39" s="3">
        <v>5.0999999999999996</v>
      </c>
      <c r="AW39" s="3"/>
      <c r="AX39" s="4">
        <f t="shared" si="4"/>
        <v>16.597917561848696</v>
      </c>
      <c r="AY39" s="12"/>
      <c r="AZ39" s="12"/>
      <c r="BA39" s="12"/>
      <c r="BB39" s="3">
        <v>45.2</v>
      </c>
      <c r="BC39" s="3">
        <v>48.2</v>
      </c>
      <c r="BD39" s="3">
        <v>48.9</v>
      </c>
      <c r="BE39" s="3">
        <v>44.8</v>
      </c>
      <c r="BF39" s="3"/>
      <c r="BG39" s="3">
        <v>45.6</v>
      </c>
      <c r="BH39" s="3"/>
      <c r="BI39" s="3"/>
      <c r="BJ39" s="3"/>
      <c r="BK39" s="12"/>
      <c r="BL39" s="12">
        <v>3.3</v>
      </c>
      <c r="BM39" s="12">
        <v>17.2</v>
      </c>
      <c r="BN39" s="3">
        <f>SUM(BK39:BM39)</f>
        <v>20.5</v>
      </c>
      <c r="BO39" s="3">
        <f>BS39/BN39</f>
        <v>2.1804878048780485</v>
      </c>
      <c r="BP39" s="3">
        <v>23.9</v>
      </c>
      <c r="BQ39" s="3">
        <v>15.7</v>
      </c>
      <c r="BR39" s="3">
        <v>5.0999999999999996</v>
      </c>
      <c r="BS39" s="3">
        <f>SUM(BP39:BR39)</f>
        <v>44.699999999999996</v>
      </c>
      <c r="BT39" s="3">
        <f>BS39+BN39</f>
        <v>65.199999999999989</v>
      </c>
      <c r="BU39" s="3"/>
      <c r="BV39" s="3">
        <v>113.8</v>
      </c>
      <c r="BW39" s="3"/>
      <c r="BX39" s="3">
        <f>BT39+BV39</f>
        <v>179</v>
      </c>
      <c r="BY39" s="3"/>
      <c r="BZ39" s="3"/>
      <c r="CA39" s="3"/>
      <c r="CB39" s="3">
        <v>10.5</v>
      </c>
      <c r="CC39" s="3"/>
      <c r="CD39" s="3"/>
      <c r="CE39" s="3"/>
      <c r="CF39" s="3"/>
      <c r="CG39" s="3"/>
      <c r="CH39" s="3"/>
      <c r="CI39" s="3"/>
      <c r="CJ39" s="3"/>
      <c r="CK39" s="3"/>
      <c r="CL39" s="2" t="s">
        <v>344</v>
      </c>
      <c r="CM39" s="2" t="s">
        <v>35</v>
      </c>
      <c r="CN39" s="46" t="s">
        <v>51</v>
      </c>
      <c r="CO39" s="47" t="s">
        <v>85</v>
      </c>
    </row>
    <row r="40" spans="1:93">
      <c r="A40" s="2" t="s">
        <v>185</v>
      </c>
      <c r="B40" s="2" t="s">
        <v>187</v>
      </c>
      <c r="C40" s="6" t="s">
        <v>470</v>
      </c>
      <c r="D40" s="2" t="s">
        <v>237</v>
      </c>
      <c r="E40" s="2">
        <v>2006</v>
      </c>
      <c r="F40" s="2">
        <v>2016</v>
      </c>
      <c r="G40" s="2">
        <v>0</v>
      </c>
      <c r="H40" s="2">
        <v>0</v>
      </c>
      <c r="I40" s="2">
        <v>0</v>
      </c>
      <c r="J40" s="2">
        <v>0</v>
      </c>
      <c r="K40" s="2">
        <v>0</v>
      </c>
      <c r="L40" s="2">
        <v>0</v>
      </c>
      <c r="M40" s="3">
        <v>17.5</v>
      </c>
      <c r="N40" s="4">
        <f>(M40-5)*12</f>
        <v>150</v>
      </c>
      <c r="O40" s="3">
        <v>2719</v>
      </c>
      <c r="P40" s="39">
        <v>1.1000000000000001</v>
      </c>
      <c r="Q40" s="38">
        <v>60</v>
      </c>
      <c r="R40" s="39">
        <v>69.340909999999994</v>
      </c>
      <c r="S40" s="39">
        <v>2353.88</v>
      </c>
      <c r="T40" s="39">
        <v>1.72197</v>
      </c>
      <c r="U40" s="12"/>
      <c r="V40" s="3"/>
      <c r="W40" s="3"/>
      <c r="X40" s="3"/>
      <c r="Y40" s="3"/>
      <c r="Z40" s="3"/>
      <c r="AA40" s="3"/>
      <c r="AB40" s="3"/>
      <c r="AC40" s="3"/>
      <c r="AD40" s="3"/>
      <c r="AE40" s="3"/>
      <c r="AF40" s="3"/>
      <c r="AG40" s="3"/>
      <c r="AH40" s="3"/>
      <c r="AI40" s="3"/>
      <c r="AJ40" s="3"/>
      <c r="AK40" s="3"/>
      <c r="AL40" s="3"/>
      <c r="AM40" s="3"/>
      <c r="AN40" s="3"/>
      <c r="AO40" s="3"/>
      <c r="AP40" s="3"/>
      <c r="AQ40" s="3"/>
      <c r="AR40" s="3"/>
      <c r="AS40" s="2"/>
      <c r="AT40" s="3"/>
      <c r="AU40" s="3">
        <f>(9870+7307)/2</f>
        <v>8588.5</v>
      </c>
      <c r="AV40" s="3">
        <f>(11+13)/2</f>
        <v>12</v>
      </c>
      <c r="AW40" s="3"/>
      <c r="AX40" s="3">
        <f t="shared" si="4"/>
        <v>97.133646619281379</v>
      </c>
      <c r="AY40" s="12"/>
      <c r="AZ40" s="12">
        <v>6.9</v>
      </c>
      <c r="BA40" s="12"/>
      <c r="BB40" s="3"/>
      <c r="BC40" s="3"/>
      <c r="BD40" s="3"/>
      <c r="BE40" s="3"/>
      <c r="BF40" s="3"/>
      <c r="BG40" s="3"/>
      <c r="BH40" s="3"/>
      <c r="BI40" s="3"/>
      <c r="BJ40" s="3"/>
      <c r="BK40" s="12"/>
      <c r="BL40" s="12"/>
      <c r="BM40" s="12"/>
      <c r="BN40" s="4">
        <f>(170+200)/2*50%</f>
        <v>92.5</v>
      </c>
      <c r="BO40" s="3"/>
      <c r="BP40" s="3"/>
      <c r="BQ40" s="3"/>
      <c r="BR40" s="3"/>
      <c r="BS40" s="3"/>
      <c r="BT40" s="3"/>
      <c r="BU40" s="3"/>
      <c r="BV40" s="3"/>
      <c r="BW40" s="3"/>
      <c r="BX40" s="3"/>
      <c r="BY40" s="3"/>
      <c r="BZ40" s="3"/>
      <c r="CA40" s="3"/>
      <c r="CB40" s="4">
        <f>4.2*50%</f>
        <v>2.1</v>
      </c>
      <c r="CC40" s="3"/>
      <c r="CD40" s="3"/>
      <c r="CE40" s="3"/>
      <c r="CF40" s="3"/>
      <c r="CG40" s="3"/>
      <c r="CH40" s="3"/>
      <c r="CI40" s="3"/>
      <c r="CJ40" s="3"/>
      <c r="CK40" s="3"/>
      <c r="CL40" s="2" t="s">
        <v>181</v>
      </c>
      <c r="CM40" s="2" t="s">
        <v>35</v>
      </c>
      <c r="CN40" s="46" t="s">
        <v>182</v>
      </c>
      <c r="CO40" s="47" t="s">
        <v>85</v>
      </c>
    </row>
    <row r="41" spans="1:93">
      <c r="A41" s="6" t="s">
        <v>12</v>
      </c>
      <c r="B41" s="2" t="s">
        <v>363</v>
      </c>
      <c r="C41" s="6" t="s">
        <v>456</v>
      </c>
      <c r="D41" s="35" t="s">
        <v>451</v>
      </c>
      <c r="E41" s="6">
        <v>2008</v>
      </c>
      <c r="F41" s="6">
        <v>2008</v>
      </c>
      <c r="G41" s="6">
        <v>0</v>
      </c>
      <c r="H41" s="6">
        <v>0</v>
      </c>
      <c r="I41" s="6">
        <v>0</v>
      </c>
      <c r="J41" s="6">
        <v>0</v>
      </c>
      <c r="K41" s="6">
        <v>0</v>
      </c>
      <c r="L41" s="23">
        <v>0</v>
      </c>
      <c r="M41" s="39">
        <v>16.75</v>
      </c>
      <c r="N41" s="39">
        <v>141</v>
      </c>
      <c r="O41" s="39">
        <v>1086.5</v>
      </c>
      <c r="P41" s="39">
        <v>0</v>
      </c>
      <c r="Q41" s="39">
        <v>88</v>
      </c>
      <c r="R41" s="78">
        <v>65.416669999999996</v>
      </c>
      <c r="S41" s="39">
        <v>2016.9</v>
      </c>
      <c r="T41" s="39">
        <v>2.35</v>
      </c>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5"/>
      <c r="AT41" s="37"/>
      <c r="AU41" s="37"/>
      <c r="AV41" s="37"/>
      <c r="AW41" s="37"/>
      <c r="AX41" s="37"/>
      <c r="AY41" s="37"/>
      <c r="AZ41" s="37"/>
      <c r="BA41" s="37"/>
      <c r="BB41" s="37"/>
      <c r="BC41" s="37"/>
      <c r="BD41" s="37"/>
      <c r="BE41" s="37"/>
      <c r="BF41" s="37"/>
      <c r="BG41" s="37"/>
      <c r="BH41" s="37"/>
      <c r="BI41" s="37"/>
      <c r="BJ41" s="37"/>
      <c r="BK41" s="37"/>
      <c r="BL41" s="37"/>
      <c r="BM41" s="37"/>
      <c r="BN41" s="39">
        <f>84.2</f>
        <v>84.2</v>
      </c>
      <c r="BO41" s="38"/>
      <c r="BP41" s="37"/>
      <c r="BQ41" s="37"/>
      <c r="BR41" s="37"/>
      <c r="BS41" s="37"/>
      <c r="BT41" s="37"/>
      <c r="BU41" s="44"/>
      <c r="BV41" s="37"/>
      <c r="BW41" s="37"/>
      <c r="BX41" s="37"/>
      <c r="BY41" s="37"/>
      <c r="BZ41" s="37"/>
      <c r="CA41" s="37"/>
      <c r="CB41" s="39">
        <v>3.49</v>
      </c>
      <c r="CC41" s="37"/>
      <c r="CD41" s="37"/>
      <c r="CE41" s="37"/>
      <c r="CF41" s="37"/>
      <c r="CG41" s="37"/>
      <c r="CH41" s="37"/>
      <c r="CI41" s="37"/>
      <c r="CJ41" s="37"/>
      <c r="CK41" s="44"/>
      <c r="CL41" s="35" t="s">
        <v>447</v>
      </c>
      <c r="CM41" s="36" t="s">
        <v>35</v>
      </c>
      <c r="CN41" s="21" t="s">
        <v>455</v>
      </c>
      <c r="CO41" s="57" t="s">
        <v>424</v>
      </c>
    </row>
    <row r="42" spans="1:93">
      <c r="A42" s="6" t="s">
        <v>12</v>
      </c>
      <c r="B42" s="2" t="s">
        <v>473</v>
      </c>
      <c r="C42" s="6" t="s">
        <v>353</v>
      </c>
      <c r="D42" s="35" t="s">
        <v>453</v>
      </c>
      <c r="E42" s="6">
        <v>2008</v>
      </c>
      <c r="F42" s="6">
        <v>2008</v>
      </c>
      <c r="G42" s="6">
        <v>0</v>
      </c>
      <c r="H42" s="6">
        <v>0</v>
      </c>
      <c r="I42" s="6">
        <v>0</v>
      </c>
      <c r="J42" s="6">
        <v>0</v>
      </c>
      <c r="K42" s="6">
        <v>0</v>
      </c>
      <c r="L42" s="23">
        <v>1</v>
      </c>
      <c r="M42" s="39">
        <v>16.75</v>
      </c>
      <c r="N42" s="39">
        <v>141</v>
      </c>
      <c r="O42" s="39">
        <v>1086.5</v>
      </c>
      <c r="P42" s="39">
        <v>0</v>
      </c>
      <c r="Q42" s="39">
        <v>88</v>
      </c>
      <c r="R42" s="39">
        <v>65.416669999999996</v>
      </c>
      <c r="S42" s="39">
        <v>2016.9</v>
      </c>
      <c r="T42" s="39">
        <v>2.35</v>
      </c>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5"/>
      <c r="AT42" s="37"/>
      <c r="AU42" s="37"/>
      <c r="AV42" s="37"/>
      <c r="AW42" s="37"/>
      <c r="AX42" s="37"/>
      <c r="AY42" s="37"/>
      <c r="AZ42" s="37"/>
      <c r="BA42" s="37"/>
      <c r="BB42" s="37"/>
      <c r="BC42" s="37"/>
      <c r="BD42" s="37"/>
      <c r="BE42" s="37"/>
      <c r="BF42" s="37"/>
      <c r="BG42" s="37"/>
      <c r="BH42" s="37"/>
      <c r="BI42" s="37"/>
      <c r="BJ42" s="37"/>
      <c r="BK42" s="37"/>
      <c r="BL42" s="37"/>
      <c r="BM42" s="37"/>
      <c r="BN42" s="39">
        <f>(103.2+116.7+92.3+61.1+88.2)/5</f>
        <v>92.3</v>
      </c>
      <c r="BO42" s="38"/>
      <c r="BP42" s="37"/>
      <c r="BQ42" s="37"/>
      <c r="BR42" s="37"/>
      <c r="BS42" s="37"/>
      <c r="BT42" s="37"/>
      <c r="BU42" s="44"/>
      <c r="BV42" s="37"/>
      <c r="BW42" s="37"/>
      <c r="BX42" s="37"/>
      <c r="BY42" s="37"/>
      <c r="BZ42" s="37"/>
      <c r="CA42" s="37"/>
      <c r="CB42" s="39">
        <f>(4.14+4.65+4.2+4.02+2.87)/5</f>
        <v>3.976</v>
      </c>
      <c r="CC42" s="37"/>
      <c r="CD42" s="37"/>
      <c r="CE42" s="37"/>
      <c r="CF42" s="37"/>
      <c r="CG42" s="37"/>
      <c r="CH42" s="37"/>
      <c r="CI42" s="37"/>
      <c r="CJ42" s="37"/>
      <c r="CK42" s="44"/>
      <c r="CL42" s="35" t="s">
        <v>447</v>
      </c>
      <c r="CM42" s="36" t="s">
        <v>35</v>
      </c>
      <c r="CN42" s="55" t="s">
        <v>354</v>
      </c>
      <c r="CO42" s="57" t="s">
        <v>454</v>
      </c>
    </row>
    <row r="43" spans="1:93">
      <c r="A43" s="6" t="s">
        <v>12</v>
      </c>
      <c r="B43" s="6" t="s">
        <v>258</v>
      </c>
      <c r="C43" s="6" t="s">
        <v>359</v>
      </c>
      <c r="D43" s="6" t="s">
        <v>240</v>
      </c>
      <c r="E43" s="6">
        <v>2009</v>
      </c>
      <c r="F43" s="6">
        <v>2009</v>
      </c>
      <c r="G43" s="2">
        <v>0</v>
      </c>
      <c r="H43" s="2">
        <v>0</v>
      </c>
      <c r="I43" s="2">
        <v>0</v>
      </c>
      <c r="J43" s="2">
        <v>0</v>
      </c>
      <c r="K43" s="2">
        <v>0</v>
      </c>
      <c r="L43" s="2">
        <v>0</v>
      </c>
      <c r="M43" s="3">
        <v>16.258333333333336</v>
      </c>
      <c r="N43" s="4">
        <f>(M43-5)*12</f>
        <v>135.10000000000002</v>
      </c>
      <c r="O43" s="3">
        <v>1831.5</v>
      </c>
      <c r="P43" s="39">
        <v>5</v>
      </c>
      <c r="Q43" s="12">
        <f>(320+80)/2</f>
        <v>200</v>
      </c>
      <c r="R43" s="4">
        <v>75.833333333333329</v>
      </c>
      <c r="S43" s="12">
        <v>1872.5</v>
      </c>
      <c r="T43" s="12">
        <v>1.4333333333333333</v>
      </c>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6"/>
      <c r="AT43" s="12"/>
      <c r="AU43" s="12">
        <f>(6130+5000)/2</f>
        <v>5565</v>
      </c>
      <c r="AV43" s="12">
        <f>(12.9+13.9)/2</f>
        <v>13.4</v>
      </c>
      <c r="AW43" s="12">
        <f>(17.9+18.1)/2</f>
        <v>18</v>
      </c>
      <c r="AX43" s="12">
        <f>(83+76.8)/2</f>
        <v>79.900000000000006</v>
      </c>
      <c r="AY43" s="12"/>
      <c r="AZ43" s="12"/>
      <c r="BA43" s="12"/>
      <c r="BB43" s="3"/>
      <c r="BC43" s="3"/>
      <c r="BD43" s="3"/>
      <c r="BE43" s="3"/>
      <c r="BF43" s="3"/>
      <c r="BG43" s="3"/>
      <c r="BH43" s="3"/>
      <c r="BI43" s="3"/>
      <c r="BJ43" s="3"/>
      <c r="BK43" s="12"/>
      <c r="BL43" s="4">
        <f>(17.01+18.71)/2*0.5</f>
        <v>8.93</v>
      </c>
      <c r="BM43" s="4">
        <f>(129.63+101.28)/2*0.5</f>
        <v>57.727499999999999</v>
      </c>
      <c r="BN43" s="4">
        <f>SUM(BK43:BM43)</f>
        <v>66.657499999999999</v>
      </c>
      <c r="BO43" s="3"/>
      <c r="BP43" s="3"/>
      <c r="BQ43" s="3"/>
      <c r="BR43" s="3"/>
      <c r="BS43" s="3"/>
      <c r="BT43" s="3"/>
      <c r="BU43" s="3"/>
      <c r="BV43" s="3"/>
      <c r="BW43" s="3"/>
      <c r="BX43" s="3"/>
      <c r="BY43" s="4"/>
      <c r="BZ43" s="4">
        <f>(1.22+2.73)/2*0.5</f>
        <v>0.98750000000000004</v>
      </c>
      <c r="CA43" s="4">
        <f>(7.04+12.44)/2*0.5</f>
        <v>4.87</v>
      </c>
      <c r="CB43" s="3"/>
      <c r="CC43" s="4">
        <f>SUM(BY43:CB43)</f>
        <v>5.8574999999999999</v>
      </c>
      <c r="CD43" s="3"/>
      <c r="CE43" s="3"/>
      <c r="CF43" s="3"/>
      <c r="CG43" s="3"/>
      <c r="CH43" s="3"/>
      <c r="CI43" s="3"/>
      <c r="CJ43" s="3"/>
      <c r="CK43" s="3"/>
      <c r="CL43" s="6" t="s">
        <v>329</v>
      </c>
      <c r="CM43" s="2" t="s">
        <v>35</v>
      </c>
      <c r="CN43" s="46" t="s">
        <v>53</v>
      </c>
      <c r="CO43" s="47" t="s">
        <v>85</v>
      </c>
    </row>
    <row r="44" spans="1:93">
      <c r="A44" s="6" t="s">
        <v>12</v>
      </c>
      <c r="B44" s="6" t="s">
        <v>29</v>
      </c>
      <c r="C44" s="6" t="s">
        <v>360</v>
      </c>
      <c r="D44" s="6" t="s">
        <v>241</v>
      </c>
      <c r="E44" s="6">
        <v>2009</v>
      </c>
      <c r="F44" s="6">
        <v>2009</v>
      </c>
      <c r="G44" s="2">
        <v>0</v>
      </c>
      <c r="H44" s="2">
        <v>0</v>
      </c>
      <c r="I44" s="2">
        <v>0</v>
      </c>
      <c r="J44" s="2">
        <v>0</v>
      </c>
      <c r="K44" s="2">
        <v>0</v>
      </c>
      <c r="L44" s="2">
        <v>0</v>
      </c>
      <c r="M44" s="3">
        <v>18.108333333333331</v>
      </c>
      <c r="N44" s="4">
        <f>(M44-5)*12</f>
        <v>157.29999999999995</v>
      </c>
      <c r="O44" s="3">
        <v>1818.5</v>
      </c>
      <c r="P44" s="39">
        <v>5</v>
      </c>
      <c r="Q44" s="12">
        <v>130</v>
      </c>
      <c r="R44" s="4">
        <v>75.833333333333329</v>
      </c>
      <c r="S44" s="12">
        <v>1781.2</v>
      </c>
      <c r="T44" s="12">
        <v>1.9750000000000003</v>
      </c>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6"/>
      <c r="AT44" s="12"/>
      <c r="AU44" s="12">
        <f>5230</f>
        <v>5230</v>
      </c>
      <c r="AV44" s="12">
        <v>10.4</v>
      </c>
      <c r="AW44" s="12">
        <v>13.5</v>
      </c>
      <c r="AX44" s="12">
        <v>45.7</v>
      </c>
      <c r="AY44" s="12"/>
      <c r="AZ44" s="12"/>
      <c r="BA44" s="12"/>
      <c r="BB44" s="3"/>
      <c r="BC44" s="3"/>
      <c r="BD44" s="3"/>
      <c r="BE44" s="3"/>
      <c r="BF44" s="3"/>
      <c r="BG44" s="3"/>
      <c r="BH44" s="3"/>
      <c r="BI44" s="3"/>
      <c r="BJ44" s="3"/>
      <c r="BK44" s="12"/>
      <c r="BL44" s="4">
        <f>12.29*0.5</f>
        <v>6.1449999999999996</v>
      </c>
      <c r="BM44" s="4">
        <f>70.53*0.5</f>
        <v>35.265000000000001</v>
      </c>
      <c r="BN44" s="4">
        <f>SUM(BK44:BM44)</f>
        <v>41.41</v>
      </c>
      <c r="BO44" s="3"/>
      <c r="BP44" s="3"/>
      <c r="BQ44" s="3"/>
      <c r="BR44" s="3"/>
      <c r="BS44" s="3"/>
      <c r="BT44" s="3"/>
      <c r="BU44" s="3"/>
      <c r="BV44" s="3"/>
      <c r="BW44" s="3"/>
      <c r="BX44" s="3"/>
      <c r="BY44" s="4"/>
      <c r="BZ44" s="4">
        <f>2.49*0.5</f>
        <v>1.2450000000000001</v>
      </c>
      <c r="CA44" s="4">
        <f>9.65*0.5</f>
        <v>4.8250000000000002</v>
      </c>
      <c r="CB44" s="3"/>
      <c r="CC44" s="4">
        <f>SUM(BY44:CB44)</f>
        <v>6.07</v>
      </c>
      <c r="CD44" s="3"/>
      <c r="CE44" s="3"/>
      <c r="CF44" s="3"/>
      <c r="CG44" s="3"/>
      <c r="CH44" s="3"/>
      <c r="CI44" s="3"/>
      <c r="CJ44" s="3"/>
      <c r="CK44" s="3"/>
      <c r="CL44" s="6" t="s">
        <v>329</v>
      </c>
      <c r="CM44" s="2" t="s">
        <v>35</v>
      </c>
      <c r="CN44" s="46" t="s">
        <v>53</v>
      </c>
      <c r="CO44" s="47" t="s">
        <v>85</v>
      </c>
    </row>
    <row r="45" spans="1:93">
      <c r="A45" s="6" t="s">
        <v>12</v>
      </c>
      <c r="B45" s="6" t="s">
        <v>29</v>
      </c>
      <c r="C45" s="6" t="s">
        <v>361</v>
      </c>
      <c r="D45" s="6" t="s">
        <v>239</v>
      </c>
      <c r="E45" s="6">
        <v>2009</v>
      </c>
      <c r="F45" s="6">
        <v>2009</v>
      </c>
      <c r="G45" s="2">
        <v>0</v>
      </c>
      <c r="H45" s="2">
        <v>0</v>
      </c>
      <c r="I45" s="2">
        <v>0</v>
      </c>
      <c r="J45" s="2">
        <v>0</v>
      </c>
      <c r="K45" s="2">
        <v>0</v>
      </c>
      <c r="L45" s="2">
        <v>0</v>
      </c>
      <c r="M45" s="3">
        <v>17.633333333333333</v>
      </c>
      <c r="N45" s="4">
        <f>(M45-5)*12</f>
        <v>151.6</v>
      </c>
      <c r="O45" s="3">
        <v>2057.3000000000002</v>
      </c>
      <c r="P45" s="39">
        <v>5</v>
      </c>
      <c r="Q45" s="12">
        <f>(125+125+125)/3</f>
        <v>125</v>
      </c>
      <c r="R45" s="3">
        <v>75.833333333333329</v>
      </c>
      <c r="S45" s="12">
        <v>1974.0000000000002</v>
      </c>
      <c r="T45" s="12">
        <v>3.2250000000000001</v>
      </c>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6"/>
      <c r="AT45" s="12"/>
      <c r="AU45" s="12">
        <f>(5550+5200+5130)/3</f>
        <v>5293.333333333333</v>
      </c>
      <c r="AV45" s="12">
        <f>(12.5+12.8+11.7)/3</f>
        <v>12.333333333333334</v>
      </c>
      <c r="AW45" s="12">
        <f>(17+17.5+16.3)/3</f>
        <v>16.933333333333334</v>
      </c>
      <c r="AX45" s="12">
        <f>(69.5+67.4+59.1)/3</f>
        <v>65.333333333333329</v>
      </c>
      <c r="AY45" s="12"/>
      <c r="AZ45" s="12"/>
      <c r="BA45" s="12"/>
      <c r="BB45" s="3"/>
      <c r="BC45" s="3"/>
      <c r="BD45" s="3"/>
      <c r="BE45" s="3"/>
      <c r="BF45" s="3"/>
      <c r="BG45" s="3"/>
      <c r="BH45" s="3"/>
      <c r="BI45" s="3"/>
      <c r="BJ45" s="3"/>
      <c r="BK45" s="12"/>
      <c r="BL45" s="4">
        <f>(13.09+16.52+15.96)/3*0.5</f>
        <v>7.5949999999999998</v>
      </c>
      <c r="BM45" s="4">
        <f>(108.8+104.54+72.27)/3*0.5</f>
        <v>47.601666666666667</v>
      </c>
      <c r="BN45" s="4">
        <f>SUM(BK45:BM45)</f>
        <v>55.196666666666665</v>
      </c>
      <c r="BO45" s="3"/>
      <c r="BP45" s="3"/>
      <c r="BQ45" s="3"/>
      <c r="BR45" s="3"/>
      <c r="BS45" s="3"/>
      <c r="BT45" s="3"/>
      <c r="BU45" s="3"/>
      <c r="BV45" s="3"/>
      <c r="BW45" s="3"/>
      <c r="BX45" s="3"/>
      <c r="BY45" s="4"/>
      <c r="BZ45" s="4">
        <f>(0.39+0.07+0.22)/3*0.5</f>
        <v>0.11333333333333334</v>
      </c>
      <c r="CA45" s="4">
        <f>(1.67+0.22+0.71)/3*0.5</f>
        <v>0.43333333333333329</v>
      </c>
      <c r="CB45" s="3"/>
      <c r="CC45" s="4">
        <f>SUM(BY45:CB45)</f>
        <v>0.54666666666666663</v>
      </c>
      <c r="CD45" s="3"/>
      <c r="CE45" s="3"/>
      <c r="CF45" s="3"/>
      <c r="CG45" s="3"/>
      <c r="CH45" s="3"/>
      <c r="CI45" s="3"/>
      <c r="CJ45" s="3"/>
      <c r="CK45" s="3"/>
      <c r="CL45" s="6" t="s">
        <v>329</v>
      </c>
      <c r="CM45" s="2" t="s">
        <v>35</v>
      </c>
      <c r="CN45" s="46" t="s">
        <v>53</v>
      </c>
      <c r="CO45" s="47" t="s">
        <v>85</v>
      </c>
    </row>
    <row r="46" spans="1:93">
      <c r="A46" s="2" t="s">
        <v>12</v>
      </c>
      <c r="B46" s="2" t="s">
        <v>471</v>
      </c>
      <c r="C46" s="2" t="s">
        <v>365</v>
      </c>
      <c r="D46" s="2" t="s">
        <v>233</v>
      </c>
      <c r="E46" s="2">
        <v>2013</v>
      </c>
      <c r="F46" s="2">
        <v>2016</v>
      </c>
      <c r="G46" s="2">
        <v>1</v>
      </c>
      <c r="H46" s="2">
        <v>0</v>
      </c>
      <c r="I46" s="2">
        <v>0</v>
      </c>
      <c r="J46" s="2">
        <v>1</v>
      </c>
      <c r="K46" s="2">
        <v>0</v>
      </c>
      <c r="L46" s="2">
        <v>0</v>
      </c>
      <c r="M46" s="3">
        <v>15.9</v>
      </c>
      <c r="N46" s="4">
        <f>(M46-5)*12</f>
        <v>130.80000000000001</v>
      </c>
      <c r="O46" s="3">
        <v>1833</v>
      </c>
      <c r="P46" s="39">
        <v>2.25</v>
      </c>
      <c r="Q46" s="39">
        <v>84</v>
      </c>
      <c r="R46" s="39">
        <v>70.104166666666671</v>
      </c>
      <c r="S46" s="39">
        <v>2523.9333333333334</v>
      </c>
      <c r="T46" s="39">
        <v>2.8458333333333337</v>
      </c>
      <c r="U46" s="12"/>
      <c r="V46" s="3"/>
      <c r="W46" s="3"/>
      <c r="X46" s="3"/>
      <c r="Y46" s="3"/>
      <c r="Z46" s="3"/>
      <c r="AA46" s="3"/>
      <c r="AB46" s="3"/>
      <c r="AC46" s="3"/>
      <c r="AD46" s="3"/>
      <c r="AE46" s="3"/>
      <c r="AF46" s="3"/>
      <c r="AG46" s="3"/>
      <c r="AH46" s="3"/>
      <c r="AI46" s="3"/>
      <c r="AJ46" s="3"/>
      <c r="AK46" s="3"/>
      <c r="AL46" s="3"/>
      <c r="AM46" s="3"/>
      <c r="AN46" s="3"/>
      <c r="AO46" s="3"/>
      <c r="AP46" s="3"/>
      <c r="AQ46" s="3"/>
      <c r="AR46" s="3"/>
      <c r="AS46" s="2"/>
      <c r="AT46" s="3"/>
      <c r="AU46" s="38">
        <f>(10500+9900)/2</f>
        <v>10200</v>
      </c>
      <c r="AV46" s="38">
        <f>(9.3+9.3)/2</f>
        <v>9.3000000000000007</v>
      </c>
      <c r="AW46" s="38"/>
      <c r="AX46" s="38">
        <f>(72.6+76.4)/2</f>
        <v>74.5</v>
      </c>
      <c r="AY46" s="12"/>
      <c r="AZ46" s="12"/>
      <c r="BA46" s="12"/>
      <c r="BB46" s="3"/>
      <c r="BC46" s="3"/>
      <c r="BD46" s="3"/>
      <c r="BE46" s="3"/>
      <c r="BF46" s="3"/>
      <c r="BG46" s="3"/>
      <c r="BH46" s="3"/>
      <c r="BI46" s="3"/>
      <c r="BJ46" s="3"/>
      <c r="BK46" s="12"/>
      <c r="BL46" s="12"/>
      <c r="BM46" s="12"/>
      <c r="BN46" s="39">
        <f>(181+190.3)/2*0.5</f>
        <v>92.825000000000003</v>
      </c>
      <c r="BO46" s="3"/>
      <c r="BP46" s="3"/>
      <c r="BQ46" s="3"/>
      <c r="BR46" s="3"/>
      <c r="BS46" s="3"/>
      <c r="BT46" s="3"/>
      <c r="BU46" s="3"/>
      <c r="BV46" s="3"/>
      <c r="BW46" s="3"/>
      <c r="BX46" s="3"/>
      <c r="BY46" s="43"/>
      <c r="BZ46" s="3"/>
      <c r="CA46" s="3"/>
      <c r="CB46" s="3"/>
      <c r="CC46" s="3"/>
      <c r="CD46" s="3"/>
      <c r="CE46" s="3"/>
      <c r="CF46" s="3"/>
      <c r="CG46" s="3"/>
      <c r="CH46" s="3"/>
      <c r="CI46" s="3"/>
      <c r="CJ46" s="3"/>
      <c r="CK46" s="3"/>
      <c r="CL46" s="2" t="s">
        <v>50</v>
      </c>
      <c r="CM46" s="2" t="s">
        <v>35</v>
      </c>
      <c r="CN46" s="46" t="s">
        <v>328</v>
      </c>
      <c r="CO46" s="47" t="s">
        <v>85</v>
      </c>
    </row>
    <row r="47" spans="1:93">
      <c r="A47" s="2" t="s">
        <v>12</v>
      </c>
      <c r="B47" s="2" t="s">
        <v>364</v>
      </c>
      <c r="C47" s="2" t="s">
        <v>366</v>
      </c>
      <c r="D47" s="2" t="s">
        <v>238</v>
      </c>
      <c r="E47" s="2">
        <v>2013</v>
      </c>
      <c r="F47" s="2">
        <v>2016</v>
      </c>
      <c r="G47" s="2">
        <v>0</v>
      </c>
      <c r="H47" s="2">
        <v>0</v>
      </c>
      <c r="I47" s="2">
        <v>0</v>
      </c>
      <c r="J47" s="2">
        <v>0</v>
      </c>
      <c r="K47" s="2">
        <v>0</v>
      </c>
      <c r="L47" s="2">
        <v>0</v>
      </c>
      <c r="M47" s="3">
        <v>15.9</v>
      </c>
      <c r="N47" s="4">
        <f>(M47-5)*12</f>
        <v>130.80000000000001</v>
      </c>
      <c r="O47" s="3">
        <v>1833</v>
      </c>
      <c r="P47" s="39">
        <v>2.25</v>
      </c>
      <c r="Q47" s="39">
        <v>84</v>
      </c>
      <c r="R47" s="39">
        <v>70.104166666666671</v>
      </c>
      <c r="S47" s="39">
        <v>2523.9333333333334</v>
      </c>
      <c r="T47" s="39">
        <v>2.8458333333333337</v>
      </c>
      <c r="U47" s="12"/>
      <c r="V47" s="3"/>
      <c r="W47" s="3"/>
      <c r="X47" s="3"/>
      <c r="Y47" s="3"/>
      <c r="Z47" s="3"/>
      <c r="AA47" s="3"/>
      <c r="AB47" s="3"/>
      <c r="AC47" s="3"/>
      <c r="AD47" s="3"/>
      <c r="AE47" s="3"/>
      <c r="AF47" s="3"/>
      <c r="AG47" s="3"/>
      <c r="AH47" s="3"/>
      <c r="AI47" s="3"/>
      <c r="AJ47" s="3"/>
      <c r="AK47" s="3"/>
      <c r="AL47" s="3"/>
      <c r="AM47" s="3"/>
      <c r="AN47" s="3"/>
      <c r="AO47" s="3"/>
      <c r="AP47" s="3"/>
      <c r="AQ47" s="3"/>
      <c r="AR47" s="3"/>
      <c r="AS47" s="2"/>
      <c r="AT47" s="3"/>
      <c r="AU47" s="38">
        <f>(8000+8500)/2</f>
        <v>8250</v>
      </c>
      <c r="AV47" s="38">
        <f>(11.1+11.6)/2</f>
        <v>11.35</v>
      </c>
      <c r="AW47" s="38"/>
      <c r="AX47" s="38">
        <f>(86.5+85.9)/2</f>
        <v>86.2</v>
      </c>
      <c r="AY47" s="12"/>
      <c r="AZ47" s="12"/>
      <c r="BA47" s="12"/>
      <c r="BB47" s="3"/>
      <c r="BC47" s="3"/>
      <c r="BD47" s="3"/>
      <c r="BE47" s="3"/>
      <c r="BF47" s="3"/>
      <c r="BG47" s="3"/>
      <c r="BH47" s="3"/>
      <c r="BI47" s="3"/>
      <c r="BJ47" s="3"/>
      <c r="BK47" s="12"/>
      <c r="BL47" s="12"/>
      <c r="BM47" s="12"/>
      <c r="BN47" s="39">
        <f>(222.6+220.1)/2*0.5</f>
        <v>110.675</v>
      </c>
      <c r="BO47" s="3"/>
      <c r="BP47" s="3"/>
      <c r="BQ47" s="3"/>
      <c r="BR47" s="3"/>
      <c r="BS47" s="3"/>
      <c r="BT47" s="3"/>
      <c r="BU47" s="3"/>
      <c r="BV47" s="3"/>
      <c r="BW47" s="3"/>
      <c r="BX47" s="3"/>
      <c r="BY47" s="3"/>
      <c r="BZ47" s="3"/>
      <c r="CA47" s="3"/>
      <c r="CB47" s="3"/>
      <c r="CC47" s="3"/>
      <c r="CD47" s="3"/>
      <c r="CE47" s="3"/>
      <c r="CF47" s="3"/>
      <c r="CG47" s="3"/>
      <c r="CH47" s="3"/>
      <c r="CI47" s="3"/>
      <c r="CJ47" s="3"/>
      <c r="CK47" s="3"/>
      <c r="CL47" s="2" t="s">
        <v>50</v>
      </c>
      <c r="CM47" s="2" t="s">
        <v>35</v>
      </c>
      <c r="CN47" s="46" t="s">
        <v>52</v>
      </c>
      <c r="CO47" s="47" t="s">
        <v>85</v>
      </c>
    </row>
    <row r="48" spans="1:93">
      <c r="A48" s="6" t="s">
        <v>12</v>
      </c>
      <c r="B48" s="6" t="s">
        <v>332</v>
      </c>
      <c r="C48" s="2" t="s">
        <v>386</v>
      </c>
      <c r="D48" s="6" t="s">
        <v>383</v>
      </c>
      <c r="E48" s="36">
        <v>1983</v>
      </c>
      <c r="F48" s="36">
        <v>1987</v>
      </c>
      <c r="G48" s="2">
        <v>1</v>
      </c>
      <c r="H48" s="2">
        <v>0</v>
      </c>
      <c r="I48" s="2">
        <v>0</v>
      </c>
      <c r="J48" s="2">
        <v>0</v>
      </c>
      <c r="K48" s="2">
        <v>1</v>
      </c>
      <c r="L48" s="2">
        <v>0</v>
      </c>
      <c r="M48" s="4">
        <v>15.375</v>
      </c>
      <c r="N48" s="4">
        <v>127.08</v>
      </c>
      <c r="O48" s="4">
        <v>1487.6</v>
      </c>
      <c r="P48" s="39">
        <v>27.2</v>
      </c>
      <c r="Q48" s="4">
        <v>65</v>
      </c>
      <c r="R48" s="4">
        <v>65.75</v>
      </c>
      <c r="S48" s="4">
        <v>1989.38</v>
      </c>
      <c r="T48" s="4">
        <v>1.691667</v>
      </c>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6"/>
      <c r="AT48" s="38"/>
      <c r="AU48" s="39">
        <v>3000</v>
      </c>
      <c r="AV48" s="38"/>
      <c r="AW48" s="38"/>
      <c r="AX48" s="38"/>
      <c r="AY48" s="37"/>
      <c r="AZ48" s="37"/>
      <c r="BA48" s="37"/>
      <c r="BB48" s="38"/>
      <c r="BC48" s="38"/>
      <c r="BD48" s="38"/>
      <c r="BE48" s="38"/>
      <c r="BF48" s="38"/>
      <c r="BG48" s="38"/>
      <c r="BH48" s="38"/>
      <c r="BI48" s="38"/>
      <c r="BJ48" s="38"/>
      <c r="BK48" s="39">
        <f>22.8*50%</f>
        <v>11.4</v>
      </c>
      <c r="BL48" s="39">
        <f>15.5*50%</f>
        <v>7.75</v>
      </c>
      <c r="BM48" s="39">
        <f>30.2*50%</f>
        <v>15.1</v>
      </c>
      <c r="BN48" s="39">
        <f>80.3*50%</f>
        <v>40.15</v>
      </c>
      <c r="BO48" s="38"/>
      <c r="BP48" s="38"/>
      <c r="BQ48" s="38"/>
      <c r="BR48" s="38"/>
      <c r="BS48" s="38"/>
      <c r="BT48" s="38"/>
      <c r="BU48" s="38"/>
      <c r="BV48" s="38"/>
      <c r="BW48" s="38"/>
      <c r="BX48" s="38"/>
      <c r="BY48" s="37">
        <f>22.8/5*50%</f>
        <v>2.2800000000000002</v>
      </c>
      <c r="BZ48" s="37">
        <f>15.5/5*50%</f>
        <v>1.55</v>
      </c>
      <c r="CA48" s="37">
        <f>30.2/5*50%</f>
        <v>3.02</v>
      </c>
      <c r="CB48" s="37">
        <f>(589.9+652.3)/2*100*100/1000/1000*50%</f>
        <v>3.1054999999999997</v>
      </c>
      <c r="CC48" s="37">
        <f>80.3/5*50%</f>
        <v>8.0299999999999994</v>
      </c>
      <c r="CD48" s="38"/>
      <c r="CE48" s="38"/>
      <c r="CF48" s="38"/>
      <c r="CG48" s="38"/>
      <c r="CH48" s="38"/>
      <c r="CI48" s="38"/>
      <c r="CJ48" s="38"/>
      <c r="CK48" s="38"/>
      <c r="CL48" s="2" t="s">
        <v>346</v>
      </c>
      <c r="CM48" s="2" t="s">
        <v>330</v>
      </c>
      <c r="CN48" s="46" t="s">
        <v>333</v>
      </c>
      <c r="CO48" s="47" t="s">
        <v>85</v>
      </c>
    </row>
    <row r="49" spans="1:99" s="29" customFormat="1">
      <c r="A49" s="6" t="s">
        <v>12</v>
      </c>
      <c r="B49" s="6" t="s">
        <v>332</v>
      </c>
      <c r="C49" s="2" t="s">
        <v>355</v>
      </c>
      <c r="D49" s="6" t="s">
        <v>378</v>
      </c>
      <c r="E49" s="2">
        <v>1984</v>
      </c>
      <c r="F49" s="2">
        <v>1985</v>
      </c>
      <c r="G49" s="2">
        <v>0</v>
      </c>
      <c r="H49" s="2">
        <v>0</v>
      </c>
      <c r="I49" s="2">
        <v>0</v>
      </c>
      <c r="J49" s="2">
        <v>0</v>
      </c>
      <c r="K49" s="2">
        <v>0</v>
      </c>
      <c r="L49" s="2">
        <v>0</v>
      </c>
      <c r="M49" s="4">
        <v>15.304169999999999</v>
      </c>
      <c r="N49" s="4">
        <v>127.35</v>
      </c>
      <c r="O49" s="4">
        <v>1380.5</v>
      </c>
      <c r="P49" s="39">
        <v>42.5</v>
      </c>
      <c r="Q49" s="4">
        <v>65</v>
      </c>
      <c r="R49" s="4">
        <v>66.166669999999996</v>
      </c>
      <c r="S49" s="4">
        <v>1959.95</v>
      </c>
      <c r="T49" s="4">
        <v>1.745833</v>
      </c>
      <c r="U49" s="37"/>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6"/>
      <c r="AT49" s="38"/>
      <c r="AU49" s="3">
        <f>(8536+8617+4803)/3</f>
        <v>7318.666666666667</v>
      </c>
      <c r="AV49" s="3">
        <f>(8.3+12.9+10)/3</f>
        <v>10.4</v>
      </c>
      <c r="AW49" s="38"/>
      <c r="AX49" s="3">
        <f>(31.9+108+42.1)/3</f>
        <v>60.666666666666664</v>
      </c>
      <c r="AY49" s="37"/>
      <c r="AZ49" s="37"/>
      <c r="BA49" s="37"/>
      <c r="BB49" s="38"/>
      <c r="BC49" s="38"/>
      <c r="BD49" s="38"/>
      <c r="BE49" s="38"/>
      <c r="BF49" s="38"/>
      <c r="BG49" s="38"/>
      <c r="BH49" s="38"/>
      <c r="BI49" s="38"/>
      <c r="BJ49" s="38"/>
      <c r="BK49" s="37"/>
      <c r="BL49" s="37"/>
      <c r="BM49" s="4">
        <f>(80.1+218+67.1)/3*50%</f>
        <v>60.866666666666674</v>
      </c>
      <c r="BN49" s="37"/>
      <c r="BO49" s="38"/>
      <c r="BP49" s="38"/>
      <c r="BQ49" s="38"/>
      <c r="BR49" s="38"/>
      <c r="BS49" s="38"/>
      <c r="BT49" s="38"/>
      <c r="BU49" s="38"/>
      <c r="BV49" s="38"/>
      <c r="BW49" s="38"/>
      <c r="BX49" s="37"/>
      <c r="BY49" s="37"/>
      <c r="BZ49" s="37"/>
      <c r="CA49" s="37"/>
      <c r="CB49" s="37"/>
      <c r="CC49" s="37"/>
      <c r="CD49" s="37"/>
      <c r="CE49" s="37"/>
      <c r="CF49" s="37"/>
      <c r="CG49" s="37"/>
      <c r="CH49" s="38"/>
      <c r="CI49" s="38"/>
      <c r="CJ49" s="38"/>
      <c r="CK49" s="38"/>
      <c r="CL49" s="2" t="s">
        <v>347</v>
      </c>
      <c r="CM49" s="2" t="s">
        <v>330</v>
      </c>
      <c r="CN49" s="53" t="s">
        <v>336</v>
      </c>
      <c r="CO49" s="47" t="s">
        <v>85</v>
      </c>
      <c r="CP49"/>
      <c r="CQ49"/>
      <c r="CR49"/>
      <c r="CS49"/>
      <c r="CT49"/>
      <c r="CU49"/>
    </row>
    <row r="50" spans="1:99">
      <c r="A50" s="6" t="s">
        <v>12</v>
      </c>
      <c r="B50" s="6" t="s">
        <v>332</v>
      </c>
      <c r="C50" s="2" t="s">
        <v>463</v>
      </c>
      <c r="D50" s="35" t="s">
        <v>464</v>
      </c>
      <c r="E50" s="6">
        <v>2009</v>
      </c>
      <c r="F50" s="6">
        <v>2009</v>
      </c>
      <c r="G50" s="6">
        <v>0</v>
      </c>
      <c r="H50" s="6">
        <v>0</v>
      </c>
      <c r="I50" s="6">
        <v>0</v>
      </c>
      <c r="J50" s="6">
        <v>0</v>
      </c>
      <c r="K50" s="6">
        <v>0</v>
      </c>
      <c r="L50" s="6">
        <v>0</v>
      </c>
      <c r="M50" s="39">
        <v>16.100000000000001</v>
      </c>
      <c r="N50" s="39">
        <v>133.19999999999999</v>
      </c>
      <c r="O50" s="39">
        <v>1457.5</v>
      </c>
      <c r="P50" s="39">
        <v>2</v>
      </c>
      <c r="Q50" s="39">
        <v>132</v>
      </c>
      <c r="R50" s="39">
        <v>62</v>
      </c>
      <c r="S50" s="39">
        <v>1775</v>
      </c>
      <c r="T50" s="39">
        <v>2.0583330000000002</v>
      </c>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5"/>
      <c r="AT50" s="37"/>
      <c r="AU50" s="37">
        <v>5400</v>
      </c>
      <c r="AV50" s="37">
        <v>8</v>
      </c>
      <c r="AW50" s="37">
        <v>12.1</v>
      </c>
      <c r="AX50" s="39">
        <f>(AV50/2)^2*PI()*AU50/10000</f>
        <v>27.143360527015815</v>
      </c>
      <c r="AY50" s="37"/>
      <c r="AZ50" s="37"/>
      <c r="BA50" s="37"/>
      <c r="BB50" s="37"/>
      <c r="BC50" s="37"/>
      <c r="BD50" s="37"/>
      <c r="BE50" s="37"/>
      <c r="BF50" s="37"/>
      <c r="BG50" s="37"/>
      <c r="BH50" s="37"/>
      <c r="BI50" s="37"/>
      <c r="BJ50" s="37"/>
      <c r="BK50" s="37"/>
      <c r="BL50" s="37">
        <f>2.6*5400/1000</f>
        <v>14.04</v>
      </c>
      <c r="BM50" s="37">
        <f>8.9*5400/1000</f>
        <v>48.06</v>
      </c>
      <c r="BN50" s="37">
        <f>11.6*5400/1000</f>
        <v>62.64</v>
      </c>
      <c r="BO50" s="37"/>
      <c r="BP50" s="37"/>
      <c r="BQ50" s="37"/>
      <c r="BR50" s="37"/>
      <c r="BS50" s="37"/>
      <c r="BT50" s="37"/>
      <c r="BU50" s="37"/>
      <c r="BV50" s="37"/>
      <c r="BW50" s="37"/>
      <c r="BX50" s="37"/>
      <c r="BY50" s="37"/>
      <c r="BZ50" s="37"/>
      <c r="CA50" s="37"/>
      <c r="CB50" s="37"/>
      <c r="CC50" s="37"/>
      <c r="CD50" s="38"/>
      <c r="CE50" s="38"/>
      <c r="CF50" s="38"/>
      <c r="CG50" s="38"/>
      <c r="CH50" s="38"/>
      <c r="CI50" s="38"/>
      <c r="CJ50" s="38"/>
      <c r="CK50" s="38"/>
      <c r="CL50" s="2" t="s">
        <v>345</v>
      </c>
      <c r="CM50" s="2" t="s">
        <v>330</v>
      </c>
      <c r="CN50" s="46" t="s">
        <v>331</v>
      </c>
      <c r="CO50" s="47" t="s">
        <v>460</v>
      </c>
    </row>
    <row r="51" spans="1:99">
      <c r="A51" s="2" t="s">
        <v>12</v>
      </c>
      <c r="B51" s="2" t="s">
        <v>332</v>
      </c>
      <c r="C51" s="2" t="s">
        <v>674</v>
      </c>
      <c r="D51" s="2" t="s">
        <v>672</v>
      </c>
      <c r="E51" s="2">
        <v>2019</v>
      </c>
      <c r="F51" s="2">
        <v>2019</v>
      </c>
      <c r="G51" s="2">
        <v>1</v>
      </c>
      <c r="H51" s="2">
        <v>0</v>
      </c>
      <c r="I51" s="2">
        <v>1</v>
      </c>
      <c r="J51" s="2">
        <v>1</v>
      </c>
      <c r="K51" s="2">
        <v>0</v>
      </c>
      <c r="L51" s="2">
        <v>0</v>
      </c>
      <c r="M51" s="3">
        <v>16.91</v>
      </c>
      <c r="N51" s="4">
        <v>142.9</v>
      </c>
      <c r="O51" s="3">
        <v>1407.5</v>
      </c>
      <c r="P51" s="39">
        <v>7</v>
      </c>
      <c r="Q51" s="39">
        <v>65</v>
      </c>
      <c r="R51" s="39">
        <v>66.75</v>
      </c>
      <c r="S51" s="39">
        <v>1817.3</v>
      </c>
      <c r="T51" s="39">
        <v>2.1</v>
      </c>
      <c r="U51" s="12"/>
      <c r="V51" s="3"/>
      <c r="W51" s="3"/>
      <c r="X51" s="3"/>
      <c r="Y51" s="3"/>
      <c r="Z51" s="3"/>
      <c r="AA51" s="3"/>
      <c r="AB51" s="3"/>
      <c r="AC51" s="3"/>
      <c r="AD51" s="3"/>
      <c r="AE51" s="3"/>
      <c r="AF51" s="3"/>
      <c r="AG51" s="3"/>
      <c r="AH51" s="3"/>
      <c r="AI51" s="3"/>
      <c r="AJ51" s="3"/>
      <c r="AK51" s="3"/>
      <c r="AL51" s="3"/>
      <c r="AM51" s="3"/>
      <c r="AN51" s="3"/>
      <c r="AO51" s="3"/>
      <c r="AP51" s="3"/>
      <c r="AQ51" s="3"/>
      <c r="AR51" s="3"/>
      <c r="AS51" s="2"/>
      <c r="AT51" s="3"/>
      <c r="AU51" s="38">
        <v>9184</v>
      </c>
      <c r="AV51" s="38">
        <v>9.6999999999999993</v>
      </c>
      <c r="AW51" s="38"/>
      <c r="AX51" s="38">
        <v>69.7</v>
      </c>
      <c r="AY51" s="12"/>
      <c r="AZ51" s="12"/>
      <c r="BA51" s="12"/>
      <c r="BB51" s="3"/>
      <c r="BC51" s="3"/>
      <c r="BD51" s="3"/>
      <c r="BE51" s="3"/>
      <c r="BF51" s="3"/>
      <c r="BG51" s="3"/>
      <c r="BH51" s="3"/>
      <c r="BI51" s="3"/>
      <c r="BJ51" s="3"/>
      <c r="BK51" s="12">
        <v>1.7</v>
      </c>
      <c r="BL51" s="12">
        <v>5.8</v>
      </c>
      <c r="BM51" s="12">
        <v>60.9</v>
      </c>
      <c r="BN51" s="39">
        <v>68.400000000000006</v>
      </c>
      <c r="BO51" s="3">
        <v>0.36</v>
      </c>
      <c r="BP51" s="3">
        <v>5.0999999999999996</v>
      </c>
      <c r="BQ51" s="3">
        <v>12.8</v>
      </c>
      <c r="BR51" s="3">
        <v>6.7</v>
      </c>
      <c r="BS51" s="3">
        <v>24.6</v>
      </c>
      <c r="BT51" s="3">
        <v>93</v>
      </c>
      <c r="BU51" s="3"/>
      <c r="BV51" s="3"/>
      <c r="BW51" s="3"/>
      <c r="BX51" s="3"/>
      <c r="BY51" s="3"/>
      <c r="BZ51" s="3"/>
      <c r="CA51" s="3"/>
      <c r="CB51" s="3"/>
      <c r="CC51" s="3"/>
      <c r="CD51" s="3"/>
      <c r="CE51" s="3"/>
      <c r="CF51" s="3"/>
      <c r="CG51" s="3"/>
      <c r="CH51" s="3"/>
      <c r="CI51" s="3"/>
      <c r="CJ51" s="3"/>
      <c r="CK51" s="3"/>
      <c r="CL51" s="2" t="s">
        <v>711</v>
      </c>
      <c r="CM51" s="2" t="s">
        <v>330</v>
      </c>
      <c r="CN51" s="46" t="s">
        <v>712</v>
      </c>
      <c r="CO51" s="47" t="s">
        <v>710</v>
      </c>
    </row>
    <row r="52" spans="1:99" s="22" customFormat="1">
      <c r="A52" s="6" t="s">
        <v>12</v>
      </c>
      <c r="B52" s="6" t="s">
        <v>332</v>
      </c>
      <c r="C52" s="2" t="s">
        <v>335</v>
      </c>
      <c r="D52" s="2" t="s">
        <v>381</v>
      </c>
      <c r="E52" s="2">
        <v>1971</v>
      </c>
      <c r="F52" s="2">
        <v>1971</v>
      </c>
      <c r="G52" s="2">
        <v>1</v>
      </c>
      <c r="H52" s="2">
        <v>0</v>
      </c>
      <c r="I52" s="2">
        <v>1</v>
      </c>
      <c r="J52" s="2">
        <v>0</v>
      </c>
      <c r="K52" s="2">
        <v>0</v>
      </c>
      <c r="L52" s="2">
        <v>0</v>
      </c>
      <c r="M52" s="3">
        <v>15</v>
      </c>
      <c r="N52" s="4">
        <v>124.5</v>
      </c>
      <c r="O52" s="3">
        <v>1600</v>
      </c>
      <c r="P52" s="39">
        <v>17</v>
      </c>
      <c r="Q52" s="4">
        <v>65</v>
      </c>
      <c r="R52" s="4">
        <v>65.75</v>
      </c>
      <c r="S52" s="4">
        <v>1810</v>
      </c>
      <c r="T52" s="4">
        <v>1.858333</v>
      </c>
      <c r="U52" s="12"/>
      <c r="V52" s="3"/>
      <c r="W52" s="3"/>
      <c r="X52" s="3"/>
      <c r="Y52" s="3"/>
      <c r="Z52" s="3"/>
      <c r="AA52" s="3"/>
      <c r="AB52" s="3"/>
      <c r="AC52" s="3"/>
      <c r="AD52" s="3"/>
      <c r="AE52" s="3"/>
      <c r="AF52" s="3"/>
      <c r="AG52" s="3"/>
      <c r="AH52" s="3"/>
      <c r="AI52" s="3"/>
      <c r="AJ52" s="3"/>
      <c r="AK52" s="3"/>
      <c r="AL52" s="3"/>
      <c r="AM52" s="3"/>
      <c r="AN52" s="3"/>
      <c r="AO52" s="3"/>
      <c r="AP52" s="3"/>
      <c r="AQ52" s="3"/>
      <c r="AR52" s="3"/>
      <c r="AS52" s="2"/>
      <c r="AT52" s="3"/>
      <c r="AU52" s="3">
        <f>(4500+5100+8800)/3</f>
        <v>6133.333333333333</v>
      </c>
      <c r="AV52" s="3">
        <f>(8.3+9.3+9.2)/3</f>
        <v>8.9333333333333336</v>
      </c>
      <c r="AW52" s="3">
        <f>(12+13.2+13.3)/3</f>
        <v>12.833333333333334</v>
      </c>
      <c r="AX52" s="4">
        <f>(AV52/2)^2*PI()*AU52/10000</f>
        <v>38.442668646540483</v>
      </c>
      <c r="AY52" s="12"/>
      <c r="AZ52" s="12"/>
      <c r="BA52" s="12"/>
      <c r="BB52" s="3"/>
      <c r="BC52" s="3"/>
      <c r="BD52" s="3"/>
      <c r="BE52" s="3"/>
      <c r="BF52" s="3"/>
      <c r="BG52" s="3"/>
      <c r="BH52" s="3"/>
      <c r="BI52" s="3"/>
      <c r="BJ52" s="3"/>
      <c r="BK52" s="12">
        <f>3.1*50%</f>
        <v>1.55</v>
      </c>
      <c r="BL52" s="12">
        <f>7.3*50%</f>
        <v>3.65</v>
      </c>
      <c r="BM52" s="12">
        <f>40.6*50%</f>
        <v>20.3</v>
      </c>
      <c r="BN52" s="12">
        <f>SUM(BK52:BM52)</f>
        <v>25.5</v>
      </c>
      <c r="BO52" s="3"/>
      <c r="BP52" s="3"/>
      <c r="BQ52" s="3"/>
      <c r="BR52" s="3"/>
      <c r="BS52" s="3"/>
      <c r="BT52" s="3"/>
      <c r="BU52" s="3"/>
      <c r="BV52" s="3"/>
      <c r="BW52" s="3"/>
      <c r="BX52" s="3"/>
      <c r="BY52" s="12">
        <f>3.1*50%</f>
        <v>1.55</v>
      </c>
      <c r="BZ52" s="12">
        <f>7.3*50%</f>
        <v>3.65</v>
      </c>
      <c r="CA52" s="12">
        <f>40.6*50%</f>
        <v>20.3</v>
      </c>
      <c r="CB52" s="12">
        <f>SUM(BX52:BZ52)</f>
        <v>5.2</v>
      </c>
      <c r="CC52" s="12">
        <f>SUM(BY52:CA52)</f>
        <v>25.5</v>
      </c>
      <c r="CD52" s="3">
        <f>(2.2+4.1+1.5)/3*50%</f>
        <v>1.3</v>
      </c>
      <c r="CE52" s="3">
        <f>(3.4+6.4+2.4)/3*50%</f>
        <v>2.0333333333333337</v>
      </c>
      <c r="CF52" s="3"/>
      <c r="CG52" s="3">
        <f>SUM(CD52:CF52)</f>
        <v>3.3333333333333339</v>
      </c>
      <c r="CH52" s="3">
        <f>CC52+CG52</f>
        <v>28.833333333333336</v>
      </c>
      <c r="CI52" s="3"/>
      <c r="CJ52" s="3"/>
      <c r="CK52" s="3"/>
      <c r="CL52" s="2" t="s">
        <v>429</v>
      </c>
      <c r="CM52" s="2" t="s">
        <v>330</v>
      </c>
      <c r="CN52" s="2" t="s">
        <v>461</v>
      </c>
      <c r="CO52" s="47" t="s">
        <v>85</v>
      </c>
      <c r="CP52"/>
      <c r="CQ52"/>
      <c r="CR52"/>
      <c r="CS52"/>
      <c r="CT52"/>
      <c r="CU52"/>
    </row>
    <row r="53" spans="1:99" s="22" customFormat="1">
      <c r="A53" s="6" t="s">
        <v>12</v>
      </c>
      <c r="B53" s="6" t="s">
        <v>332</v>
      </c>
      <c r="C53" s="2" t="s">
        <v>334</v>
      </c>
      <c r="D53" s="2" t="s">
        <v>382</v>
      </c>
      <c r="E53" s="36">
        <v>1983</v>
      </c>
      <c r="F53" s="36">
        <v>1987</v>
      </c>
      <c r="G53" s="2">
        <v>1</v>
      </c>
      <c r="H53" s="2">
        <v>0</v>
      </c>
      <c r="I53" s="2">
        <v>1</v>
      </c>
      <c r="J53" s="2">
        <v>0</v>
      </c>
      <c r="K53" s="2">
        <v>0</v>
      </c>
      <c r="L53" s="2">
        <v>0</v>
      </c>
      <c r="M53" s="4">
        <v>15.375</v>
      </c>
      <c r="N53" s="4">
        <v>127.08</v>
      </c>
      <c r="O53" s="4">
        <v>1487.6</v>
      </c>
      <c r="P53" s="39">
        <v>27.2</v>
      </c>
      <c r="Q53" s="4">
        <v>65</v>
      </c>
      <c r="R53" s="4">
        <v>65.75</v>
      </c>
      <c r="S53" s="4">
        <v>1989.38</v>
      </c>
      <c r="T53" s="4">
        <v>1.691667</v>
      </c>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6"/>
      <c r="AT53" s="38"/>
      <c r="AU53" s="39">
        <v>7200</v>
      </c>
      <c r="AV53" s="38"/>
      <c r="AW53" s="38"/>
      <c r="AX53" s="38"/>
      <c r="AY53" s="37"/>
      <c r="AZ53" s="37"/>
      <c r="BA53" s="37"/>
      <c r="BB53" s="38"/>
      <c r="BC53" s="38"/>
      <c r="BD53" s="38"/>
      <c r="BE53" s="38"/>
      <c r="BF53" s="38"/>
      <c r="BG53" s="38"/>
      <c r="BH53" s="38"/>
      <c r="BI53" s="38"/>
      <c r="BJ53" s="38"/>
      <c r="BK53" s="39">
        <f>28.4*50%+BK55*40%</f>
        <v>14.2</v>
      </c>
      <c r="BL53" s="39">
        <f>13.1*50%+BL55*40%</f>
        <v>6.55</v>
      </c>
      <c r="BM53" s="39">
        <f>25.4*50%+BM55*40%</f>
        <v>39.311999999999998</v>
      </c>
      <c r="BN53" s="39">
        <f>SUM(BK53:BM53)</f>
        <v>60.061999999999998</v>
      </c>
      <c r="BO53" s="38"/>
      <c r="BP53" s="38"/>
      <c r="BQ53" s="38"/>
      <c r="BR53" s="38"/>
      <c r="BS53" s="38"/>
      <c r="BT53" s="38"/>
      <c r="BU53" s="38"/>
      <c r="BV53" s="38"/>
      <c r="BW53" s="38"/>
      <c r="BX53" s="38"/>
      <c r="BY53" s="37">
        <f>28.4/5*50%</f>
        <v>2.84</v>
      </c>
      <c r="BZ53" s="37">
        <f>13.1/5*50%</f>
        <v>1.31</v>
      </c>
      <c r="CA53" s="37">
        <f>25.4/5*50%</f>
        <v>2.54</v>
      </c>
      <c r="CB53" s="37">
        <f>(628.8+657.9)/2*100*100/1000/1000*50%</f>
        <v>3.2167499999999993</v>
      </c>
      <c r="CC53" s="37">
        <f>78.6/5*50%</f>
        <v>7.8599999999999994</v>
      </c>
      <c r="CD53" s="38"/>
      <c r="CE53" s="38"/>
      <c r="CF53" s="38"/>
      <c r="CG53" s="38"/>
      <c r="CH53" s="38"/>
      <c r="CI53" s="38"/>
      <c r="CJ53" s="38"/>
      <c r="CK53" s="38"/>
      <c r="CL53" s="2" t="s">
        <v>346</v>
      </c>
      <c r="CM53" s="2" t="s">
        <v>330</v>
      </c>
      <c r="CN53" s="46" t="s">
        <v>333</v>
      </c>
      <c r="CO53" s="47" t="s">
        <v>85</v>
      </c>
      <c r="CP53"/>
      <c r="CQ53"/>
      <c r="CR53"/>
      <c r="CS53"/>
      <c r="CT53"/>
      <c r="CU53"/>
    </row>
    <row r="54" spans="1:99" s="22" customFormat="1">
      <c r="A54" s="6" t="s">
        <v>12</v>
      </c>
      <c r="B54" s="6" t="s">
        <v>332</v>
      </c>
      <c r="C54" s="2" t="s">
        <v>388</v>
      </c>
      <c r="D54" s="2" t="s">
        <v>723</v>
      </c>
      <c r="E54" s="36">
        <v>1983</v>
      </c>
      <c r="F54" s="36">
        <v>1987</v>
      </c>
      <c r="G54" s="2">
        <v>0</v>
      </c>
      <c r="H54" s="2">
        <v>0</v>
      </c>
      <c r="I54" s="2">
        <v>0</v>
      </c>
      <c r="J54" s="2">
        <v>0</v>
      </c>
      <c r="K54" s="2">
        <v>0</v>
      </c>
      <c r="L54" s="2">
        <v>0</v>
      </c>
      <c r="M54" s="4">
        <v>15.375</v>
      </c>
      <c r="N54" s="4">
        <v>127.08</v>
      </c>
      <c r="O54" s="4">
        <v>1487.6</v>
      </c>
      <c r="P54" s="39">
        <v>27.2</v>
      </c>
      <c r="Q54" s="4">
        <v>65</v>
      </c>
      <c r="R54" s="4">
        <v>65.75</v>
      </c>
      <c r="S54" s="4">
        <v>1989.38</v>
      </c>
      <c r="T54" s="4">
        <v>1.691667</v>
      </c>
      <c r="U54" s="12"/>
      <c r="V54" s="3"/>
      <c r="W54" s="3"/>
      <c r="X54" s="3"/>
      <c r="Y54" s="3"/>
      <c r="Z54" s="3"/>
      <c r="AA54" s="3"/>
      <c r="AB54" s="3"/>
      <c r="AC54" s="3"/>
      <c r="AD54" s="3"/>
      <c r="AE54" s="3"/>
      <c r="AF54" s="3"/>
      <c r="AG54" s="3"/>
      <c r="AH54" s="3"/>
      <c r="AI54" s="3"/>
      <c r="AJ54" s="3"/>
      <c r="AK54" s="3"/>
      <c r="AL54" s="3"/>
      <c r="AM54" s="3"/>
      <c r="AN54" s="3"/>
      <c r="AO54" s="3"/>
      <c r="AP54" s="3"/>
      <c r="AQ54" s="3"/>
      <c r="AR54" s="3"/>
      <c r="AS54" s="2"/>
      <c r="AT54" s="3"/>
      <c r="AU54" s="39">
        <v>8000</v>
      </c>
      <c r="AV54" s="38"/>
      <c r="AW54" s="38"/>
      <c r="AX54" s="38"/>
      <c r="AY54" s="12"/>
      <c r="AZ54" s="12"/>
      <c r="BA54" s="12"/>
      <c r="BB54" s="3"/>
      <c r="BC54" s="3"/>
      <c r="BD54" s="3"/>
      <c r="BE54" s="3"/>
      <c r="BF54" s="3"/>
      <c r="BG54" s="3"/>
      <c r="BH54" s="3"/>
      <c r="BI54" s="3"/>
      <c r="BJ54" s="3"/>
      <c r="BK54" s="37">
        <f>37.6*50%+BK55</f>
        <v>18.8</v>
      </c>
      <c r="BL54" s="37">
        <f>14.3*50%+BL55</f>
        <v>7.15</v>
      </c>
      <c r="BM54" s="37">
        <f>27.4*50%+BM55</f>
        <v>80.23</v>
      </c>
      <c r="BN54" s="37">
        <f>SUM(BK54:BM54)</f>
        <v>106.18</v>
      </c>
      <c r="BO54" s="3"/>
      <c r="BP54" s="3"/>
      <c r="BQ54" s="3"/>
      <c r="BR54" s="3"/>
      <c r="BS54" s="3"/>
      <c r="BT54" s="3"/>
      <c r="BU54" s="3"/>
      <c r="BV54" s="3"/>
      <c r="BW54" s="3"/>
      <c r="BX54" s="3"/>
      <c r="BY54" s="37">
        <f>37.6/5*50%</f>
        <v>3.7600000000000002</v>
      </c>
      <c r="BZ54" s="37">
        <f>14.3/5*50%</f>
        <v>1.4300000000000002</v>
      </c>
      <c r="CA54" s="37">
        <f>27.4/5*50%</f>
        <v>2.7399999999999998</v>
      </c>
      <c r="CB54" s="37">
        <f>(753+717)*100*100/1000/1000*50%</f>
        <v>7.35</v>
      </c>
      <c r="CC54" s="37">
        <f>91.1/5*50%</f>
        <v>9.11</v>
      </c>
      <c r="CD54" s="3"/>
      <c r="CE54" s="3"/>
      <c r="CF54" s="3"/>
      <c r="CG54" s="3"/>
      <c r="CH54" s="3"/>
      <c r="CI54" s="3"/>
      <c r="CJ54" s="3"/>
      <c r="CK54" s="3"/>
      <c r="CL54" s="2" t="s">
        <v>346</v>
      </c>
      <c r="CM54" s="2" t="s">
        <v>330</v>
      </c>
      <c r="CN54" s="46" t="s">
        <v>333</v>
      </c>
      <c r="CO54" s="47" t="s">
        <v>85</v>
      </c>
      <c r="CP54"/>
      <c r="CQ54"/>
      <c r="CR54"/>
      <c r="CS54"/>
      <c r="CT54"/>
      <c r="CU54"/>
    </row>
    <row r="55" spans="1:99" s="45" customFormat="1">
      <c r="A55" s="6" t="s">
        <v>12</v>
      </c>
      <c r="B55" s="6" t="s">
        <v>332</v>
      </c>
      <c r="C55" s="2" t="s">
        <v>375</v>
      </c>
      <c r="D55" s="6" t="s">
        <v>377</v>
      </c>
      <c r="E55" s="2">
        <v>1984</v>
      </c>
      <c r="F55" s="2">
        <v>1985</v>
      </c>
      <c r="G55" s="2">
        <v>0</v>
      </c>
      <c r="H55" s="2">
        <v>0</v>
      </c>
      <c r="I55" s="2">
        <v>0</v>
      </c>
      <c r="J55" s="2">
        <v>0</v>
      </c>
      <c r="K55" s="2">
        <v>0</v>
      </c>
      <c r="L55" s="2">
        <v>0</v>
      </c>
      <c r="M55" s="4">
        <v>15.304169999999999</v>
      </c>
      <c r="N55" s="4">
        <v>127.35</v>
      </c>
      <c r="O55" s="4">
        <v>1380.5</v>
      </c>
      <c r="P55" s="39">
        <v>42.5</v>
      </c>
      <c r="Q55" s="4">
        <v>65</v>
      </c>
      <c r="R55" s="4">
        <v>66.166669999999996</v>
      </c>
      <c r="S55" s="4">
        <v>1959.95</v>
      </c>
      <c r="T55" s="4">
        <v>1.745833</v>
      </c>
      <c r="U55" s="37"/>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6"/>
      <c r="AT55" s="38"/>
      <c r="AU55" s="3">
        <f>(6045+6014+5488+6611+5751)/5</f>
        <v>5981.8</v>
      </c>
      <c r="AV55" s="3">
        <f>(13.5+11.5+13.2+12.8+12.3)/5</f>
        <v>12.66</v>
      </c>
      <c r="AW55" s="38"/>
      <c r="AX55" s="3">
        <f>(71.9+53.7+60.9+77.7+66.2)/5</f>
        <v>66.08</v>
      </c>
      <c r="AY55" s="37"/>
      <c r="AZ55" s="37"/>
      <c r="BA55" s="37"/>
      <c r="BB55" s="38"/>
      <c r="BC55" s="38"/>
      <c r="BD55" s="38"/>
      <c r="BE55" s="38"/>
      <c r="BF55" s="38"/>
      <c r="BG55" s="38"/>
      <c r="BH55" s="38"/>
      <c r="BI55" s="38"/>
      <c r="BJ55" s="38"/>
      <c r="BK55" s="37"/>
      <c r="BL55" s="37"/>
      <c r="BM55" s="4">
        <f>(161.7+113+139.6+118.3+132.7)/5*50%</f>
        <v>66.53</v>
      </c>
      <c r="BN55" s="37"/>
      <c r="BO55" s="38"/>
      <c r="BP55" s="38"/>
      <c r="BQ55" s="38"/>
      <c r="BR55" s="38"/>
      <c r="BS55" s="38"/>
      <c r="BT55" s="38"/>
      <c r="BU55" s="38"/>
      <c r="BV55" s="38"/>
      <c r="BW55" s="38"/>
      <c r="BX55" s="37"/>
      <c r="BY55" s="37"/>
      <c r="BZ55" s="37"/>
      <c r="CA55" s="37"/>
      <c r="CB55" s="37"/>
      <c r="CC55" s="37"/>
      <c r="CD55" s="37"/>
      <c r="CE55" s="37"/>
      <c r="CF55" s="37"/>
      <c r="CG55" s="37"/>
      <c r="CH55" s="38"/>
      <c r="CI55" s="38"/>
      <c r="CJ55" s="38"/>
      <c r="CK55" s="38"/>
      <c r="CL55" s="2" t="s">
        <v>347</v>
      </c>
      <c r="CM55" s="2" t="s">
        <v>384</v>
      </c>
      <c r="CN55" s="53" t="s">
        <v>336</v>
      </c>
      <c r="CO55" s="47" t="s">
        <v>85</v>
      </c>
      <c r="CP55"/>
      <c r="CQ55"/>
      <c r="CR55"/>
      <c r="CS55"/>
      <c r="CT55"/>
      <c r="CU55"/>
    </row>
    <row r="56" spans="1:99" s="45" customFormat="1">
      <c r="A56" s="6" t="s">
        <v>12</v>
      </c>
      <c r="B56" s="6" t="s">
        <v>332</v>
      </c>
      <c r="C56" s="2" t="s">
        <v>371</v>
      </c>
      <c r="D56" s="6" t="s">
        <v>379</v>
      </c>
      <c r="E56" s="2">
        <v>1984</v>
      </c>
      <c r="F56" s="2">
        <v>1985</v>
      </c>
      <c r="G56" s="2">
        <v>0</v>
      </c>
      <c r="H56" s="2">
        <v>0</v>
      </c>
      <c r="I56" s="2">
        <v>0</v>
      </c>
      <c r="J56" s="2">
        <v>0</v>
      </c>
      <c r="K56" s="2">
        <v>0</v>
      </c>
      <c r="L56" s="2">
        <v>0</v>
      </c>
      <c r="M56" s="4">
        <v>15.304169999999999</v>
      </c>
      <c r="N56" s="4">
        <v>127.35</v>
      </c>
      <c r="O56" s="4">
        <v>1380.5</v>
      </c>
      <c r="P56" s="39">
        <v>42.5</v>
      </c>
      <c r="Q56" s="4">
        <v>65</v>
      </c>
      <c r="R56" s="4">
        <v>66.166669999999996</v>
      </c>
      <c r="S56" s="4">
        <v>1959.95</v>
      </c>
      <c r="T56" s="4">
        <v>1.745833</v>
      </c>
      <c r="U56" s="37"/>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6"/>
      <c r="AT56" s="38"/>
      <c r="AU56" s="3">
        <f>5181</f>
        <v>5181</v>
      </c>
      <c r="AV56" s="3">
        <f>12.7</f>
        <v>12.7</v>
      </c>
      <c r="AW56" s="38"/>
      <c r="AX56" s="3">
        <v>57.6</v>
      </c>
      <c r="AY56" s="37"/>
      <c r="AZ56" s="37"/>
      <c r="BA56" s="37"/>
      <c r="BB56" s="38"/>
      <c r="BC56" s="38"/>
      <c r="BD56" s="38"/>
      <c r="BE56" s="38"/>
      <c r="BF56" s="38"/>
      <c r="BG56" s="38"/>
      <c r="BH56" s="38"/>
      <c r="BI56" s="38"/>
      <c r="BJ56" s="38"/>
      <c r="BK56" s="37"/>
      <c r="BL56" s="37"/>
      <c r="BM56" s="4">
        <f>136.5*50%</f>
        <v>68.25</v>
      </c>
      <c r="BN56" s="37"/>
      <c r="BO56" s="38"/>
      <c r="BP56" s="38"/>
      <c r="BQ56" s="38"/>
      <c r="BR56" s="38"/>
      <c r="BS56" s="38"/>
      <c r="BT56" s="38"/>
      <c r="BU56" s="38"/>
      <c r="BV56" s="38"/>
      <c r="BW56" s="38"/>
      <c r="BX56" s="37"/>
      <c r="BY56" s="37"/>
      <c r="BZ56" s="37"/>
      <c r="CA56" s="37"/>
      <c r="CB56" s="37"/>
      <c r="CC56" s="37"/>
      <c r="CD56" s="37"/>
      <c r="CE56" s="37"/>
      <c r="CF56" s="37"/>
      <c r="CG56" s="37"/>
      <c r="CH56" s="38"/>
      <c r="CI56" s="38"/>
      <c r="CJ56" s="38"/>
      <c r="CK56" s="38"/>
      <c r="CL56" s="2" t="s">
        <v>347</v>
      </c>
      <c r="CM56" s="2" t="s">
        <v>330</v>
      </c>
      <c r="CN56" s="53" t="s">
        <v>336</v>
      </c>
      <c r="CO56" s="47" t="s">
        <v>85</v>
      </c>
      <c r="CP56"/>
      <c r="CQ56"/>
      <c r="CR56"/>
      <c r="CS56"/>
      <c r="CT56"/>
      <c r="CU56"/>
    </row>
    <row r="57" spans="1:99">
      <c r="A57" s="6" t="s">
        <v>12</v>
      </c>
      <c r="B57" s="6" t="s">
        <v>332</v>
      </c>
      <c r="C57" s="2" t="s">
        <v>389</v>
      </c>
      <c r="D57" s="2" t="s">
        <v>391</v>
      </c>
      <c r="E57" s="2">
        <v>1983</v>
      </c>
      <c r="F57" s="2">
        <v>1983</v>
      </c>
      <c r="G57" s="2">
        <v>0</v>
      </c>
      <c r="H57" s="2">
        <v>0</v>
      </c>
      <c r="I57" s="2">
        <v>0</v>
      </c>
      <c r="J57" s="2">
        <v>0</v>
      </c>
      <c r="K57" s="2">
        <v>0</v>
      </c>
      <c r="L57" s="2">
        <v>0</v>
      </c>
      <c r="M57" s="4">
        <v>15.39167</v>
      </c>
      <c r="N57" s="4">
        <v>125.4</v>
      </c>
      <c r="O57" s="4">
        <v>1928</v>
      </c>
      <c r="P57" s="39">
        <v>12</v>
      </c>
      <c r="Q57" s="4">
        <v>65</v>
      </c>
      <c r="R57" s="4">
        <v>65.75</v>
      </c>
      <c r="S57" s="4">
        <v>2046.8</v>
      </c>
      <c r="T57" s="4">
        <v>1.558333</v>
      </c>
      <c r="U57" s="3"/>
      <c r="V57" s="3"/>
      <c r="W57" s="3"/>
      <c r="X57" s="3"/>
      <c r="Y57" s="3"/>
      <c r="Z57" s="3"/>
      <c r="AA57" s="3"/>
      <c r="AB57" s="3"/>
      <c r="AC57" s="3"/>
      <c r="AD57" s="3"/>
      <c r="AE57" s="3"/>
      <c r="AF57" s="3"/>
      <c r="AG57" s="3"/>
      <c r="AH57" s="3"/>
      <c r="AI57" s="3"/>
      <c r="AJ57" s="3"/>
      <c r="AK57" s="3"/>
      <c r="AL57" s="3"/>
      <c r="AM57" s="3"/>
      <c r="AN57" s="3"/>
      <c r="AO57" s="3"/>
      <c r="AP57" s="3"/>
      <c r="AQ57" s="3"/>
      <c r="AR57" s="3"/>
      <c r="AS57" s="2"/>
      <c r="AT57" s="3"/>
      <c r="AU57" s="3">
        <v>7200</v>
      </c>
      <c r="AV57" s="3">
        <v>9.6</v>
      </c>
      <c r="AW57" s="3">
        <v>13.6</v>
      </c>
      <c r="AX57" s="3">
        <v>53.9</v>
      </c>
      <c r="AY57" s="12"/>
      <c r="AZ57" s="12">
        <v>11.9</v>
      </c>
      <c r="BA57" s="12"/>
      <c r="BB57" s="3"/>
      <c r="BC57" s="3"/>
      <c r="BD57" s="3"/>
      <c r="BE57" s="3"/>
      <c r="BF57" s="3"/>
      <c r="BG57" s="3"/>
      <c r="BH57" s="3"/>
      <c r="BI57" s="3"/>
      <c r="BJ57" s="3"/>
      <c r="BK57" s="58">
        <f>5.3*50%</f>
        <v>2.65</v>
      </c>
      <c r="BL57" s="58">
        <f>13.2*50%</f>
        <v>6.6</v>
      </c>
      <c r="BM57" s="58">
        <f>76.6*50%</f>
        <v>38.299999999999997</v>
      </c>
      <c r="BN57" s="58">
        <f t="shared" ref="BN57:BN64" si="5">SUM(BK57:BM57)</f>
        <v>47.55</v>
      </c>
      <c r="BO57" s="3"/>
      <c r="BP57" s="3"/>
      <c r="BQ57" s="3"/>
      <c r="BR57" s="3"/>
      <c r="BS57" s="3"/>
      <c r="BT57" s="3"/>
      <c r="BU57" s="3"/>
      <c r="BV57" s="3"/>
      <c r="BW57" s="3"/>
      <c r="BX57" s="3"/>
      <c r="BY57" s="48"/>
      <c r="BZ57" s="48"/>
      <c r="CA57" s="48"/>
      <c r="CB57" s="48"/>
      <c r="CC57" s="48"/>
      <c r="CD57" s="38"/>
      <c r="CE57" s="38"/>
      <c r="CF57" s="38"/>
      <c r="CG57" s="38"/>
      <c r="CH57" s="38"/>
      <c r="CI57" s="38"/>
      <c r="CJ57" s="38"/>
      <c r="CK57" s="38"/>
      <c r="CL57" s="2" t="s">
        <v>346</v>
      </c>
      <c r="CM57" s="2" t="s">
        <v>330</v>
      </c>
      <c r="CN57" s="46" t="s">
        <v>333</v>
      </c>
      <c r="CO57" s="47" t="s">
        <v>85</v>
      </c>
    </row>
    <row r="58" spans="1:99">
      <c r="A58" s="2" t="s">
        <v>12</v>
      </c>
      <c r="B58" s="2" t="s">
        <v>186</v>
      </c>
      <c r="C58" s="2" t="s">
        <v>376</v>
      </c>
      <c r="D58" s="2" t="s">
        <v>380</v>
      </c>
      <c r="E58" s="2">
        <v>1982</v>
      </c>
      <c r="F58" s="2">
        <v>1991</v>
      </c>
      <c r="G58" s="2">
        <v>0</v>
      </c>
      <c r="H58" s="2">
        <v>0</v>
      </c>
      <c r="I58" s="2">
        <v>0</v>
      </c>
      <c r="J58" s="2">
        <v>0</v>
      </c>
      <c r="K58" s="2">
        <v>0</v>
      </c>
      <c r="L58" s="2">
        <v>0</v>
      </c>
      <c r="M58" s="3">
        <v>15.3</v>
      </c>
      <c r="N58" s="4">
        <f>(M58-5)*12</f>
        <v>123.60000000000001</v>
      </c>
      <c r="O58" s="3">
        <v>1581</v>
      </c>
      <c r="P58" s="39">
        <v>20.5</v>
      </c>
      <c r="Q58" s="12">
        <v>65</v>
      </c>
      <c r="R58" s="4">
        <v>67.00833333333334</v>
      </c>
      <c r="S58" s="4">
        <v>1872.7599999999998</v>
      </c>
      <c r="T58" s="4">
        <v>1.6700000000000008</v>
      </c>
      <c r="U58" s="12"/>
      <c r="V58" s="3"/>
      <c r="W58" s="3"/>
      <c r="X58" s="3"/>
      <c r="Y58" s="3"/>
      <c r="Z58" s="3"/>
      <c r="AA58" s="3"/>
      <c r="AB58" s="3"/>
      <c r="AC58" s="3"/>
      <c r="AD58" s="3"/>
      <c r="AE58" s="3"/>
      <c r="AF58" s="3"/>
      <c r="AG58" s="3"/>
      <c r="AH58" s="3"/>
      <c r="AI58" s="3"/>
      <c r="AJ58" s="3"/>
      <c r="AK58" s="3"/>
      <c r="AL58" s="3"/>
      <c r="AM58" s="3"/>
      <c r="AN58" s="3"/>
      <c r="AO58" s="3"/>
      <c r="AP58" s="3"/>
      <c r="AQ58" s="3"/>
      <c r="AR58" s="3"/>
      <c r="AS58" s="2"/>
      <c r="AT58" s="3"/>
      <c r="AU58" s="3">
        <v>7100</v>
      </c>
      <c r="AV58" s="3">
        <v>11.3</v>
      </c>
      <c r="AW58" s="3"/>
      <c r="AX58" s="3">
        <f>(AV58/2)^2*PI()*AU58/10000</f>
        <v>71.204118953796325</v>
      </c>
      <c r="AY58" s="12"/>
      <c r="AZ58" s="12"/>
      <c r="BA58" s="12"/>
      <c r="BB58" s="3">
        <v>46.2</v>
      </c>
      <c r="BC58" s="3">
        <v>48.4</v>
      </c>
      <c r="BD58" s="3">
        <v>47.6</v>
      </c>
      <c r="BE58" s="3">
        <v>40.1</v>
      </c>
      <c r="BF58" s="3"/>
      <c r="BG58" s="3">
        <v>44.8</v>
      </c>
      <c r="BH58" s="3"/>
      <c r="BI58" s="3"/>
      <c r="BJ58" s="3"/>
      <c r="BK58" s="12">
        <f>5.9*BB58/100</f>
        <v>2.7258000000000004</v>
      </c>
      <c r="BL58" s="12">
        <f>15.5*BC58/100</f>
        <v>7.5019999999999989</v>
      </c>
      <c r="BM58" s="12">
        <f>116.5*BD58/100</f>
        <v>55.454000000000008</v>
      </c>
      <c r="BN58" s="3">
        <f t="shared" si="5"/>
        <v>65.68180000000001</v>
      </c>
      <c r="BO58" s="3">
        <f>BS58/BN58</f>
        <v>0.2842416011741456</v>
      </c>
      <c r="BP58" s="3">
        <f>27.9*BE58/100</f>
        <v>11.187899999999999</v>
      </c>
      <c r="BQ58" s="3">
        <f>16.7*BG58/100</f>
        <v>7.4815999999999994</v>
      </c>
      <c r="BR58" s="3"/>
      <c r="BS58" s="3">
        <f>SUM(BP58:BR58)</f>
        <v>18.669499999999999</v>
      </c>
      <c r="BT58" s="3">
        <f>BS58+BN58</f>
        <v>84.351300000000009</v>
      </c>
      <c r="BU58" s="3"/>
      <c r="BV58" s="3">
        <f>7+94.2</f>
        <v>101.2</v>
      </c>
      <c r="BW58" s="3"/>
      <c r="BX58" s="3">
        <f>BT58+BV58</f>
        <v>185.55130000000003</v>
      </c>
      <c r="BY58" s="3">
        <f>2.06+0.99</f>
        <v>3.05</v>
      </c>
      <c r="BZ58" s="3">
        <v>0.79</v>
      </c>
      <c r="CA58" s="3">
        <v>4.66</v>
      </c>
      <c r="CB58" s="3">
        <f>2+0.3+1</f>
        <v>3.3</v>
      </c>
      <c r="CC58" s="3">
        <f>SUM(BY58:CB58)</f>
        <v>11.8</v>
      </c>
      <c r="CD58" s="3">
        <v>11</v>
      </c>
      <c r="CE58" s="3"/>
      <c r="CF58" s="3"/>
      <c r="CG58" s="3">
        <f>SUM(CD58:CF58)</f>
        <v>11</v>
      </c>
      <c r="CH58" s="3">
        <f>CG58+CC58</f>
        <v>22.8</v>
      </c>
      <c r="CI58" s="3">
        <f>52.3*12/44</f>
        <v>14.263636363636362</v>
      </c>
      <c r="CJ58" s="3">
        <f>10.7+2.6</f>
        <v>13.299999999999999</v>
      </c>
      <c r="CK58" s="3">
        <f>CH58-CJ58</f>
        <v>9.5000000000000018</v>
      </c>
      <c r="CL58" s="2" t="s">
        <v>15</v>
      </c>
      <c r="CM58" s="2" t="s">
        <v>35</v>
      </c>
      <c r="CN58" s="46" t="s">
        <v>49</v>
      </c>
      <c r="CO58" s="47" t="s">
        <v>85</v>
      </c>
    </row>
    <row r="59" spans="1:99">
      <c r="A59" s="36" t="s">
        <v>12</v>
      </c>
      <c r="B59" s="36" t="s">
        <v>341</v>
      </c>
      <c r="C59" s="36" t="s">
        <v>419</v>
      </c>
      <c r="D59" s="36" t="s">
        <v>416</v>
      </c>
      <c r="E59" s="35">
        <v>2005</v>
      </c>
      <c r="F59" s="35">
        <v>2005</v>
      </c>
      <c r="G59" s="35">
        <v>0</v>
      </c>
      <c r="H59" s="35">
        <v>0</v>
      </c>
      <c r="I59" s="35">
        <v>0</v>
      </c>
      <c r="J59" s="35">
        <v>0</v>
      </c>
      <c r="K59" s="35">
        <v>0</v>
      </c>
      <c r="L59" s="35">
        <v>0</v>
      </c>
      <c r="M59" s="39">
        <v>16.058330000000002</v>
      </c>
      <c r="N59" s="39">
        <v>133.30000000000001</v>
      </c>
      <c r="O59" s="39">
        <v>953</v>
      </c>
      <c r="P59" s="39">
        <v>21</v>
      </c>
      <c r="Q59" s="12">
        <v>270</v>
      </c>
      <c r="R59" s="39">
        <v>62</v>
      </c>
      <c r="S59" s="39">
        <v>1667.3</v>
      </c>
      <c r="T59" s="39">
        <v>1.433333</v>
      </c>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6"/>
      <c r="AT59" s="12"/>
      <c r="AU59" s="37">
        <v>8133</v>
      </c>
      <c r="AV59" s="37">
        <f>(12.2*1033+12.8*7100)/8133</f>
        <v>12.723791958686832</v>
      </c>
      <c r="AW59" s="37">
        <f>(18*1033+18.5*7100)/8133</f>
        <v>18.436493298905692</v>
      </c>
      <c r="AX59" s="39">
        <f>(AV59/2)^2*PI()*AU59/10000</f>
        <v>103.41267510803563</v>
      </c>
      <c r="AY59" s="12"/>
      <c r="AZ59" s="12"/>
      <c r="BA59" s="12"/>
      <c r="BB59" s="12"/>
      <c r="BC59" s="12"/>
      <c r="BD59" s="12"/>
      <c r="BE59" s="12"/>
      <c r="BF59" s="12"/>
      <c r="BG59" s="12"/>
      <c r="BH59" s="12"/>
      <c r="BI59" s="12"/>
      <c r="BJ59" s="12"/>
      <c r="BK59" s="39">
        <f>5.8*50%</f>
        <v>2.9</v>
      </c>
      <c r="BL59" s="39">
        <f>16.6*50%</f>
        <v>8.3000000000000007</v>
      </c>
      <c r="BM59" s="39">
        <f>194.8*50%</f>
        <v>97.4</v>
      </c>
      <c r="BN59" s="39">
        <f t="shared" si="5"/>
        <v>108.60000000000001</v>
      </c>
      <c r="BO59" s="12"/>
      <c r="BP59" s="12"/>
      <c r="BQ59" s="12"/>
      <c r="BR59" s="12"/>
      <c r="BS59" s="12"/>
      <c r="BT59" s="12"/>
      <c r="BU59" s="12"/>
      <c r="BV59" s="12"/>
      <c r="BW59" s="12"/>
      <c r="BX59" s="12"/>
      <c r="BY59" s="12"/>
      <c r="BZ59" s="12"/>
      <c r="CA59" s="12"/>
      <c r="CB59" s="12"/>
      <c r="CC59" s="12"/>
      <c r="CD59" s="12"/>
      <c r="CE59" s="12"/>
      <c r="CF59" s="12"/>
      <c r="CG59" s="12"/>
      <c r="CH59" s="12"/>
      <c r="CI59" s="12"/>
      <c r="CJ59" s="12"/>
      <c r="CK59" s="18"/>
      <c r="CL59" s="36" t="s">
        <v>25</v>
      </c>
      <c r="CM59" s="36" t="s">
        <v>35</v>
      </c>
      <c r="CN59" s="60" t="s">
        <v>167</v>
      </c>
      <c r="CO59" s="57" t="s">
        <v>85</v>
      </c>
    </row>
    <row r="60" spans="1:99">
      <c r="A60" s="36" t="s">
        <v>12</v>
      </c>
      <c r="B60" s="36" t="s">
        <v>341</v>
      </c>
      <c r="C60" s="36" t="s">
        <v>420</v>
      </c>
      <c r="D60" s="36" t="s">
        <v>417</v>
      </c>
      <c r="E60" s="35">
        <v>2006</v>
      </c>
      <c r="F60" s="35">
        <v>2006</v>
      </c>
      <c r="G60" s="35">
        <v>1</v>
      </c>
      <c r="H60" s="35">
        <v>0</v>
      </c>
      <c r="I60" s="35">
        <v>0</v>
      </c>
      <c r="J60" s="35">
        <v>0</v>
      </c>
      <c r="K60" s="35">
        <v>0</v>
      </c>
      <c r="L60" s="35">
        <v>0</v>
      </c>
      <c r="M60" s="39">
        <v>16.175000000000001</v>
      </c>
      <c r="N60" s="39">
        <v>134.80000000000001</v>
      </c>
      <c r="O60" s="39">
        <v>1568</v>
      </c>
      <c r="P60" s="39">
        <v>6</v>
      </c>
      <c r="Q60" s="12">
        <v>270</v>
      </c>
      <c r="R60" s="39">
        <v>64.083330000000004</v>
      </c>
      <c r="S60" s="39">
        <v>1480.5</v>
      </c>
      <c r="T60" s="39">
        <v>1.5833330000000001</v>
      </c>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6"/>
      <c r="AT60" s="12"/>
      <c r="AU60" s="37">
        <v>7967</v>
      </c>
      <c r="AV60" s="37">
        <f>(12.9*167+12.7*7800)/7967</f>
        <v>12.70419229320949</v>
      </c>
      <c r="AW60" s="37">
        <f>(18.6*167+18.4*7800)/7967</f>
        <v>18.404192293209491</v>
      </c>
      <c r="AX60" s="39">
        <f>(AV60/2)^2*PI()*AU60/10000</f>
        <v>100.99010318518286</v>
      </c>
      <c r="AY60" s="12"/>
      <c r="AZ60" s="12"/>
      <c r="BA60" s="12"/>
      <c r="BB60" s="12"/>
      <c r="BC60" s="12"/>
      <c r="BD60" s="12"/>
      <c r="BE60" s="12"/>
      <c r="BF60" s="12"/>
      <c r="BG60" s="12"/>
      <c r="BH60" s="12"/>
      <c r="BI60" s="12"/>
      <c r="BJ60" s="12"/>
      <c r="BK60" s="39">
        <f>5.9*50%</f>
        <v>2.95</v>
      </c>
      <c r="BL60" s="39">
        <f>16.2*50%</f>
        <v>8.1</v>
      </c>
      <c r="BM60" s="39">
        <f>50%*195.2</f>
        <v>97.6</v>
      </c>
      <c r="BN60" s="39">
        <f t="shared" si="5"/>
        <v>108.64999999999999</v>
      </c>
      <c r="BO60" s="12"/>
      <c r="BP60" s="12"/>
      <c r="BQ60" s="12"/>
      <c r="BR60" s="12"/>
      <c r="BS60" s="12"/>
      <c r="BT60" s="12"/>
      <c r="BU60" s="12"/>
      <c r="BV60" s="12"/>
      <c r="BW60" s="12"/>
      <c r="BX60" s="12"/>
      <c r="BY60" s="12"/>
      <c r="BZ60" s="12"/>
      <c r="CA60" s="12"/>
      <c r="CB60" s="12"/>
      <c r="CC60" s="12"/>
      <c r="CD60" s="12"/>
      <c r="CE60" s="12"/>
      <c r="CF60" s="12"/>
      <c r="CG60" s="12"/>
      <c r="CH60" s="12"/>
      <c r="CI60" s="12"/>
      <c r="CJ60" s="12"/>
      <c r="CK60" s="18"/>
      <c r="CL60" s="36" t="s">
        <v>25</v>
      </c>
      <c r="CM60" s="36" t="s">
        <v>35</v>
      </c>
      <c r="CN60" s="60" t="s">
        <v>167</v>
      </c>
      <c r="CO60" s="57" t="s">
        <v>85</v>
      </c>
    </row>
    <row r="61" spans="1:99">
      <c r="A61" s="36" t="s">
        <v>12</v>
      </c>
      <c r="B61" s="36" t="s">
        <v>341</v>
      </c>
      <c r="C61" s="36" t="s">
        <v>421</v>
      </c>
      <c r="D61" s="36" t="s">
        <v>418</v>
      </c>
      <c r="E61" s="35">
        <v>2007</v>
      </c>
      <c r="F61" s="35">
        <v>2007</v>
      </c>
      <c r="G61" s="35">
        <v>0</v>
      </c>
      <c r="H61" s="35">
        <v>0</v>
      </c>
      <c r="I61" s="35">
        <v>0</v>
      </c>
      <c r="J61" s="35">
        <v>0</v>
      </c>
      <c r="K61" s="35">
        <v>0</v>
      </c>
      <c r="L61" s="35">
        <v>0</v>
      </c>
      <c r="M61" s="39">
        <v>16.516670000000001</v>
      </c>
      <c r="N61" s="39">
        <v>138.19999999999999</v>
      </c>
      <c r="O61" s="39">
        <v>1234</v>
      </c>
      <c r="P61" s="39">
        <v>0</v>
      </c>
      <c r="Q61" s="12">
        <v>270</v>
      </c>
      <c r="R61" s="39">
        <v>61.833329999999997</v>
      </c>
      <c r="S61" s="39">
        <v>1997</v>
      </c>
      <c r="T61" s="39">
        <v>1.4583330000000001</v>
      </c>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6"/>
      <c r="AT61" s="12"/>
      <c r="AU61" s="37">
        <v>8133</v>
      </c>
      <c r="AV61" s="37">
        <f>(12.7*333+12.7*7800)/8133</f>
        <v>12.700000000000001</v>
      </c>
      <c r="AW61" s="37">
        <f>(18.5*333+18.4*7800)/8133</f>
        <v>18.404094430099594</v>
      </c>
      <c r="AX61" s="39">
        <f>(AV61/2)^2*PI()*AU61/10000</f>
        <v>103.02629818749874</v>
      </c>
      <c r="AY61" s="12"/>
      <c r="AZ61" s="12"/>
      <c r="BA61" s="12"/>
      <c r="BB61" s="12"/>
      <c r="BC61" s="12"/>
      <c r="BD61" s="12"/>
      <c r="BE61" s="12"/>
      <c r="BF61" s="12"/>
      <c r="BG61" s="12"/>
      <c r="BH61" s="12"/>
      <c r="BI61" s="12"/>
      <c r="BJ61" s="12"/>
      <c r="BK61" s="39">
        <f>5.9*50%</f>
        <v>2.95</v>
      </c>
      <c r="BL61" s="39">
        <f>16.5*50%</f>
        <v>8.25</v>
      </c>
      <c r="BM61" s="39">
        <f>50%*197.4</f>
        <v>98.7</v>
      </c>
      <c r="BN61" s="39">
        <f t="shared" si="5"/>
        <v>109.9</v>
      </c>
      <c r="BO61" s="12"/>
      <c r="BP61" s="12"/>
      <c r="BQ61" s="12"/>
      <c r="BR61" s="12"/>
      <c r="BS61" s="12"/>
      <c r="BT61" s="12"/>
      <c r="BU61" s="12"/>
      <c r="BV61" s="12"/>
      <c r="BW61" s="12"/>
      <c r="BX61" s="12"/>
      <c r="BY61" s="39">
        <f t="shared" ref="BY61:CA62" si="6">BK61-BK60</f>
        <v>0</v>
      </c>
      <c r="BZ61" s="39">
        <f t="shared" si="6"/>
        <v>0.15000000000000036</v>
      </c>
      <c r="CA61" s="39">
        <f t="shared" si="6"/>
        <v>1.1000000000000085</v>
      </c>
      <c r="CB61" s="18"/>
      <c r="CC61" s="39">
        <f>BN61-BN60</f>
        <v>1.2500000000000142</v>
      </c>
      <c r="CD61" s="12"/>
      <c r="CE61" s="12"/>
      <c r="CF61" s="12"/>
      <c r="CG61" s="12"/>
      <c r="CH61" s="12"/>
      <c r="CI61" s="12"/>
      <c r="CJ61" s="12"/>
      <c r="CK61" s="18"/>
      <c r="CL61" s="36" t="s">
        <v>25</v>
      </c>
      <c r="CM61" s="36" t="s">
        <v>35</v>
      </c>
      <c r="CN61" s="60" t="s">
        <v>167</v>
      </c>
      <c r="CO61" s="57" t="s">
        <v>85</v>
      </c>
      <c r="CS61" s="29"/>
      <c r="CT61" s="29"/>
      <c r="CU61" s="29"/>
    </row>
    <row r="62" spans="1:99">
      <c r="A62" s="36" t="s">
        <v>12</v>
      </c>
      <c r="B62" s="36" t="s">
        <v>341</v>
      </c>
      <c r="C62" s="36" t="s">
        <v>422</v>
      </c>
      <c r="D62" s="36" t="s">
        <v>415</v>
      </c>
      <c r="E62" s="36">
        <v>2008</v>
      </c>
      <c r="F62" s="36">
        <v>2008</v>
      </c>
      <c r="G62" s="36">
        <v>0</v>
      </c>
      <c r="H62" s="36">
        <v>0</v>
      </c>
      <c r="I62" s="36">
        <v>0</v>
      </c>
      <c r="J62" s="36">
        <v>0</v>
      </c>
      <c r="K62" s="36">
        <v>0</v>
      </c>
      <c r="L62" s="61">
        <v>0</v>
      </c>
      <c r="M62" s="39">
        <v>16.033329999999999</v>
      </c>
      <c r="N62" s="39">
        <v>134</v>
      </c>
      <c r="O62" s="39">
        <v>1606</v>
      </c>
      <c r="P62" s="39">
        <v>13</v>
      </c>
      <c r="Q62" s="12">
        <v>270</v>
      </c>
      <c r="R62" s="39">
        <v>63.166670000000003</v>
      </c>
      <c r="S62" s="39">
        <v>1897.6</v>
      </c>
      <c r="T62" s="39">
        <v>1.375</v>
      </c>
      <c r="U62" s="12"/>
      <c r="V62" s="3"/>
      <c r="W62" s="3"/>
      <c r="X62" s="3"/>
      <c r="Y62" s="3"/>
      <c r="Z62" s="3"/>
      <c r="AA62" s="3"/>
      <c r="AB62" s="3"/>
      <c r="AC62" s="3"/>
      <c r="AD62" s="3"/>
      <c r="AE62" s="3"/>
      <c r="AF62" s="3"/>
      <c r="AG62" s="3"/>
      <c r="AH62" s="3"/>
      <c r="AI62" s="3"/>
      <c r="AJ62" s="3"/>
      <c r="AK62" s="3"/>
      <c r="AL62" s="3"/>
      <c r="AM62" s="3"/>
      <c r="AN62" s="12"/>
      <c r="AO62" s="12"/>
      <c r="AP62" s="12"/>
      <c r="AQ62" s="12"/>
      <c r="AR62" s="12"/>
      <c r="AS62" s="2"/>
      <c r="AT62" s="12"/>
      <c r="AU62" s="38">
        <v>8300</v>
      </c>
      <c r="AV62" s="38">
        <f>(11.6*367+12.7*7933)/8300</f>
        <v>12.651361445783131</v>
      </c>
      <c r="AW62" s="38">
        <f>(17.4*367+18.5*7933)/8300</f>
        <v>18.451361445783132</v>
      </c>
      <c r="AX62" s="39">
        <f>(AV62/2)^2*PI()*AU62/10000</f>
        <v>104.33799836625894</v>
      </c>
      <c r="AY62" s="3"/>
      <c r="AZ62" s="3"/>
      <c r="BA62" s="3"/>
      <c r="BB62" s="3"/>
      <c r="BC62" s="3"/>
      <c r="BD62" s="3"/>
      <c r="BE62" s="3"/>
      <c r="BF62" s="3"/>
      <c r="BG62" s="3"/>
      <c r="BH62" s="3"/>
      <c r="BI62" s="3"/>
      <c r="BJ62" s="3"/>
      <c r="BK62" s="39">
        <f>6.1*50%</f>
        <v>3.05</v>
      </c>
      <c r="BL62" s="39">
        <f>(16.6+16.2+16.5+16.9)/4*50%</f>
        <v>8.2749999999999986</v>
      </c>
      <c r="BM62" s="39">
        <f>50%*201.4</f>
        <v>100.7</v>
      </c>
      <c r="BN62" s="39">
        <f t="shared" si="5"/>
        <v>112.02500000000001</v>
      </c>
      <c r="BO62" s="3"/>
      <c r="BP62" s="3"/>
      <c r="BQ62" s="3"/>
      <c r="BR62" s="3"/>
      <c r="BS62" s="3"/>
      <c r="BT62" s="3"/>
      <c r="BU62" s="3"/>
      <c r="BV62" s="3"/>
      <c r="BW62" s="3"/>
      <c r="BX62" s="3"/>
      <c r="BY62" s="39">
        <f t="shared" si="6"/>
        <v>9.9999999999999645E-2</v>
      </c>
      <c r="BZ62" s="39">
        <f t="shared" si="6"/>
        <v>2.4999999999998579E-2</v>
      </c>
      <c r="CA62" s="39">
        <f t="shared" si="6"/>
        <v>2</v>
      </c>
      <c r="CB62" s="7"/>
      <c r="CC62" s="39">
        <f>BN62-BN61</f>
        <v>2.125</v>
      </c>
      <c r="CD62" s="3"/>
      <c r="CE62" s="3"/>
      <c r="CF62" s="3"/>
      <c r="CG62" s="3"/>
      <c r="CH62" s="3"/>
      <c r="CI62" s="3"/>
      <c r="CJ62" s="3"/>
      <c r="CK62" s="7"/>
      <c r="CL62" s="36" t="s">
        <v>25</v>
      </c>
      <c r="CM62" s="36" t="s">
        <v>35</v>
      </c>
      <c r="CN62" s="60" t="s">
        <v>167</v>
      </c>
      <c r="CO62" s="57" t="s">
        <v>85</v>
      </c>
    </row>
    <row r="63" spans="1:99">
      <c r="A63" s="2" t="s">
        <v>12</v>
      </c>
      <c r="B63" s="2" t="s">
        <v>341</v>
      </c>
      <c r="C63" s="2" t="s">
        <v>425</v>
      </c>
      <c r="D63" s="36" t="s">
        <v>426</v>
      </c>
      <c r="E63" s="36">
        <v>2006</v>
      </c>
      <c r="F63" s="36">
        <v>2006</v>
      </c>
      <c r="G63" s="2">
        <v>0</v>
      </c>
      <c r="H63" s="2">
        <v>0</v>
      </c>
      <c r="I63" s="2">
        <v>0</v>
      </c>
      <c r="J63" s="2">
        <v>0</v>
      </c>
      <c r="K63" s="2">
        <v>0</v>
      </c>
      <c r="L63" s="2">
        <v>0</v>
      </c>
      <c r="M63" s="3">
        <v>15.3</v>
      </c>
      <c r="N63" s="4">
        <f>(M63-5)*12</f>
        <v>123.60000000000001</v>
      </c>
      <c r="O63" s="3">
        <v>1459</v>
      </c>
      <c r="P63" s="39">
        <v>6</v>
      </c>
      <c r="Q63" s="3">
        <v>280</v>
      </c>
      <c r="R63" s="39">
        <v>64.083330000000004</v>
      </c>
      <c r="S63" s="39">
        <v>1480.5</v>
      </c>
      <c r="T63" s="39">
        <v>1.5833330000000001</v>
      </c>
      <c r="U63" s="12"/>
      <c r="V63" s="3"/>
      <c r="W63" s="3"/>
      <c r="X63" s="3"/>
      <c r="Y63" s="3"/>
      <c r="Z63" s="3"/>
      <c r="AA63" s="3"/>
      <c r="AB63" s="3"/>
      <c r="AC63" s="3"/>
      <c r="AD63" s="3"/>
      <c r="AE63" s="3"/>
      <c r="AF63" s="3"/>
      <c r="AG63" s="3"/>
      <c r="AH63" s="3"/>
      <c r="AI63" s="3"/>
      <c r="AJ63" s="3"/>
      <c r="AK63" s="3"/>
      <c r="AL63" s="3"/>
      <c r="AM63" s="3"/>
      <c r="AN63" s="3"/>
      <c r="AO63" s="3"/>
      <c r="AP63" s="3"/>
      <c r="AQ63" s="3"/>
      <c r="AR63" s="3"/>
      <c r="AS63" s="2"/>
      <c r="AT63" s="3"/>
      <c r="AU63" s="3">
        <v>9675</v>
      </c>
      <c r="AV63" s="3">
        <v>10.52</v>
      </c>
      <c r="AW63" s="3"/>
      <c r="AX63" s="3">
        <v>88.3</v>
      </c>
      <c r="AY63" s="12"/>
      <c r="AZ63" s="12"/>
      <c r="BA63" s="12"/>
      <c r="BB63" s="3">
        <v>41.9</v>
      </c>
      <c r="BC63" s="3">
        <v>46.4</v>
      </c>
      <c r="BD63" s="3">
        <v>46.3</v>
      </c>
      <c r="BE63" s="3">
        <v>43.2</v>
      </c>
      <c r="BF63" s="3">
        <v>44.2</v>
      </c>
      <c r="BG63" s="3">
        <v>44.3</v>
      </c>
      <c r="BH63" s="3"/>
      <c r="BI63" s="3">
        <v>3.34</v>
      </c>
      <c r="BJ63" s="3">
        <v>2.11</v>
      </c>
      <c r="BK63" s="12">
        <v>2.1</v>
      </c>
      <c r="BL63" s="12">
        <v>6.9</v>
      </c>
      <c r="BM63" s="12">
        <v>75.900000000000006</v>
      </c>
      <c r="BN63" s="3">
        <f t="shared" si="5"/>
        <v>84.9</v>
      </c>
      <c r="BO63" s="3">
        <f>BS63/BN63</f>
        <v>0.65842167255594808</v>
      </c>
      <c r="BP63" s="3">
        <f>10.9+16.9</f>
        <v>27.799999999999997</v>
      </c>
      <c r="BQ63" s="3">
        <f>18.2</f>
        <v>18.2</v>
      </c>
      <c r="BR63" s="3">
        <v>9.9</v>
      </c>
      <c r="BS63" s="3">
        <f>SUM(BP63:BR63)</f>
        <v>55.9</v>
      </c>
      <c r="BT63" s="3">
        <f>BS63+BN63</f>
        <v>140.80000000000001</v>
      </c>
      <c r="BU63" s="3"/>
      <c r="BV63" s="3">
        <f>1.4+0.5+4.4+16.9+30.9</f>
        <v>54.099999999999994</v>
      </c>
      <c r="BW63" s="3"/>
      <c r="BX63" s="3">
        <f>BT63+BV63</f>
        <v>194.9</v>
      </c>
      <c r="BY63" s="3"/>
      <c r="BZ63" s="3"/>
      <c r="CA63" s="3"/>
      <c r="CB63" s="3"/>
      <c r="CC63" s="3"/>
      <c r="CD63" s="3"/>
      <c r="CE63" s="3"/>
      <c r="CF63" s="3"/>
      <c r="CG63" s="3"/>
      <c r="CH63" s="3"/>
      <c r="CI63" s="3"/>
      <c r="CJ63" s="3"/>
      <c r="CK63" s="3"/>
      <c r="CL63" s="2" t="s">
        <v>13</v>
      </c>
      <c r="CM63" s="2" t="s">
        <v>35</v>
      </c>
      <c r="CN63" s="46" t="s">
        <v>48</v>
      </c>
      <c r="CO63" s="47" t="s">
        <v>85</v>
      </c>
    </row>
    <row r="64" spans="1:99">
      <c r="A64" s="2" t="s">
        <v>185</v>
      </c>
      <c r="B64" s="2" t="s">
        <v>287</v>
      </c>
      <c r="C64" s="6" t="s">
        <v>403</v>
      </c>
      <c r="D64" s="6" t="s">
        <v>404</v>
      </c>
      <c r="E64" s="6">
        <v>2004</v>
      </c>
      <c r="F64" s="6">
        <v>2005</v>
      </c>
      <c r="G64" s="6">
        <v>0</v>
      </c>
      <c r="H64" s="6">
        <v>0</v>
      </c>
      <c r="I64" s="6">
        <v>0</v>
      </c>
      <c r="J64" s="6">
        <v>0</v>
      </c>
      <c r="K64" s="6">
        <v>0</v>
      </c>
      <c r="L64" s="40">
        <v>1</v>
      </c>
      <c r="M64" s="39">
        <v>15.446149999999999</v>
      </c>
      <c r="N64" s="39">
        <v>127.8</v>
      </c>
      <c r="O64" s="37">
        <v>2075</v>
      </c>
      <c r="P64" s="39">
        <v>66</v>
      </c>
      <c r="Q64" s="39">
        <v>30</v>
      </c>
      <c r="R64" s="39">
        <v>73</v>
      </c>
      <c r="S64" s="39">
        <v>1949.9</v>
      </c>
      <c r="T64" s="39">
        <v>3.4461539999999999</v>
      </c>
      <c r="U64" s="12"/>
      <c r="V64" s="37">
        <v>3.5</v>
      </c>
      <c r="W64" s="37">
        <v>4.7</v>
      </c>
      <c r="X64" s="12"/>
      <c r="Y64" s="12"/>
      <c r="Z64" s="12"/>
      <c r="AA64" s="12"/>
      <c r="AB64" s="12"/>
      <c r="AC64" s="12"/>
      <c r="AD64" s="12"/>
      <c r="AE64" s="12"/>
      <c r="AF64" s="12"/>
      <c r="AG64" s="12"/>
      <c r="AH64" s="12"/>
      <c r="AI64" s="12"/>
      <c r="AJ64" s="12"/>
      <c r="AK64" s="12"/>
      <c r="AL64" s="12"/>
      <c r="AM64" s="12"/>
      <c r="AN64" s="12"/>
      <c r="AO64" s="37">
        <v>534</v>
      </c>
      <c r="AP64" s="12"/>
      <c r="AQ64" s="12">
        <v>91.3</v>
      </c>
      <c r="AR64" s="12">
        <v>432</v>
      </c>
      <c r="AS64" s="12">
        <f>AR64-AT64</f>
        <v>50</v>
      </c>
      <c r="AT64" s="12">
        <v>382</v>
      </c>
      <c r="AU64" s="12">
        <v>14867</v>
      </c>
      <c r="AV64" s="12">
        <v>5.9</v>
      </c>
      <c r="AW64" s="12">
        <v>9.5</v>
      </c>
      <c r="AX64" s="12">
        <v>46.4</v>
      </c>
      <c r="AY64" s="12"/>
      <c r="AZ64" s="12"/>
      <c r="BA64" s="12"/>
      <c r="BB64" s="12"/>
      <c r="BC64" s="12"/>
      <c r="BD64" s="12"/>
      <c r="BE64" s="12"/>
      <c r="BF64" s="12"/>
      <c r="BG64" s="12"/>
      <c r="BH64" s="12"/>
      <c r="BI64" s="12"/>
      <c r="BJ64" s="12"/>
      <c r="BK64" s="4">
        <f>4.56*50%</f>
        <v>2.2799999999999998</v>
      </c>
      <c r="BL64" s="4">
        <f>11.9*50%</f>
        <v>5.95</v>
      </c>
      <c r="BM64" s="4">
        <f>71.4*50%</f>
        <v>35.700000000000003</v>
      </c>
      <c r="BN64" s="4">
        <f t="shared" si="5"/>
        <v>43.930000000000007</v>
      </c>
      <c r="BO64" s="3"/>
      <c r="BP64" s="3"/>
      <c r="BQ64" s="3"/>
      <c r="BR64" s="3"/>
      <c r="BS64" s="3"/>
      <c r="BT64" s="3"/>
      <c r="BU64" s="3"/>
      <c r="BV64" s="3"/>
      <c r="BW64" s="12"/>
      <c r="BX64" s="12"/>
      <c r="BY64" s="4">
        <f>(4.8+0.87)*50%</f>
        <v>2.835</v>
      </c>
      <c r="BZ64" s="4">
        <f>3.07*50%</f>
        <v>1.5349999999999999</v>
      </c>
      <c r="CA64" s="4">
        <f>10*50%</f>
        <v>5</v>
      </c>
      <c r="CB64" s="39">
        <f>7.45*50%</f>
        <v>3.7250000000000001</v>
      </c>
      <c r="CC64" s="4">
        <f>SUM(BY64:CA64)</f>
        <v>9.370000000000001</v>
      </c>
      <c r="CD64" s="12"/>
      <c r="CE64" s="12"/>
      <c r="CF64" s="12"/>
      <c r="CG64" s="12"/>
      <c r="CH64" s="12"/>
      <c r="CI64" s="12"/>
      <c r="CJ64" s="12"/>
      <c r="CK64" s="18"/>
      <c r="CL64" s="6" t="s">
        <v>405</v>
      </c>
      <c r="CM64" s="2" t="s">
        <v>35</v>
      </c>
      <c r="CN64" s="53" t="s">
        <v>342</v>
      </c>
      <c r="CO64" s="47" t="s">
        <v>85</v>
      </c>
    </row>
    <row r="65" spans="1:99">
      <c r="A65" s="2" t="s">
        <v>61</v>
      </c>
      <c r="B65" s="2" t="s">
        <v>229</v>
      </c>
      <c r="C65" s="2" t="s">
        <v>70</v>
      </c>
      <c r="D65" s="2" t="s">
        <v>234</v>
      </c>
      <c r="E65" s="2">
        <v>2005</v>
      </c>
      <c r="F65" s="2">
        <v>2005</v>
      </c>
      <c r="G65" s="2">
        <v>1</v>
      </c>
      <c r="H65" s="16">
        <v>1</v>
      </c>
      <c r="I65" s="16">
        <v>1</v>
      </c>
      <c r="J65" s="16">
        <v>1</v>
      </c>
      <c r="K65" s="2">
        <v>0</v>
      </c>
      <c r="L65" s="2">
        <v>0</v>
      </c>
      <c r="M65" s="3">
        <f>(0.3+26)/2</f>
        <v>13.15</v>
      </c>
      <c r="N65" s="4">
        <f>(M65-5)*12</f>
        <v>97.800000000000011</v>
      </c>
      <c r="O65" s="3">
        <v>1503</v>
      </c>
      <c r="P65" s="3"/>
      <c r="Q65" s="4">
        <v>33</v>
      </c>
      <c r="R65" s="4"/>
      <c r="S65" s="4"/>
      <c r="T65" s="4"/>
      <c r="U65" s="12"/>
      <c r="V65" s="4"/>
      <c r="W65" s="12">
        <v>4.45</v>
      </c>
      <c r="X65" s="12">
        <v>0.97</v>
      </c>
      <c r="Y65" s="12"/>
      <c r="Z65" s="12"/>
      <c r="AA65" s="4">
        <v>382.85</v>
      </c>
      <c r="AB65" s="12"/>
      <c r="AC65" s="12">
        <v>6.1</v>
      </c>
      <c r="AD65" s="12">
        <v>0.28999999999999998</v>
      </c>
      <c r="AE65" s="12">
        <v>2</v>
      </c>
      <c r="AF65" s="12">
        <v>0.53</v>
      </c>
      <c r="AG65" s="12"/>
      <c r="AH65" s="12"/>
      <c r="AI65" s="12"/>
      <c r="AJ65" s="12">
        <v>45.1</v>
      </c>
      <c r="AK65" s="12">
        <v>17.3</v>
      </c>
      <c r="AL65" s="12">
        <v>6.1</v>
      </c>
      <c r="AM65" s="12">
        <v>3.6</v>
      </c>
      <c r="AN65" s="12">
        <v>3.5</v>
      </c>
      <c r="AO65" s="12"/>
      <c r="AP65" s="12"/>
      <c r="AQ65" s="12"/>
      <c r="AR65" s="12"/>
      <c r="AS65" s="2"/>
      <c r="AT65" s="12"/>
      <c r="AU65" s="3">
        <v>6133</v>
      </c>
      <c r="AV65" s="3">
        <v>8.3000000000000007</v>
      </c>
      <c r="AW65" s="3">
        <v>12</v>
      </c>
      <c r="AX65" s="4">
        <f>(AV65/2)^2*PI()*AU65/10000</f>
        <v>33.183258542906927</v>
      </c>
      <c r="AY65" s="12"/>
      <c r="AZ65" s="12"/>
      <c r="BA65" s="12"/>
      <c r="BB65" s="12"/>
      <c r="BC65" s="12"/>
      <c r="BD65" s="12"/>
      <c r="BE65" s="12"/>
      <c r="BF65" s="12"/>
      <c r="BG65" s="12"/>
      <c r="BH65" s="12"/>
      <c r="BI65" s="12"/>
      <c r="BJ65" s="12"/>
      <c r="BK65" s="4">
        <f>16.29/2</f>
        <v>8.1449999999999996</v>
      </c>
      <c r="BL65" s="4">
        <f>11.17/2</f>
        <v>5.585</v>
      </c>
      <c r="BM65" s="4">
        <f>40.98/2</f>
        <v>20.49</v>
      </c>
      <c r="BN65" s="4">
        <f>69.65/2</f>
        <v>34.825000000000003</v>
      </c>
      <c r="BO65" s="3">
        <f>BS65/BN65</f>
        <v>0.3043790380473797</v>
      </c>
      <c r="BP65" s="4">
        <f>7.45/2</f>
        <v>3.7250000000000001</v>
      </c>
      <c r="BQ65" s="4">
        <f>13.72/2</f>
        <v>6.86</v>
      </c>
      <c r="BR65" s="3"/>
      <c r="BS65" s="4">
        <f>(13.7+7.5)/2</f>
        <v>10.6</v>
      </c>
      <c r="BT65" s="4">
        <f>BS65+BN65</f>
        <v>45.425000000000004</v>
      </c>
      <c r="BU65" s="12"/>
      <c r="BV65" s="3"/>
      <c r="BW65" s="3"/>
      <c r="BX65" s="3"/>
      <c r="BY65" s="3"/>
      <c r="BZ65" s="3"/>
      <c r="CA65" s="3"/>
      <c r="CB65" s="3"/>
      <c r="CC65" s="3"/>
      <c r="CD65" s="3"/>
      <c r="CE65" s="3"/>
      <c r="CF65" s="3"/>
      <c r="CG65" s="3"/>
      <c r="CH65" s="3"/>
      <c r="CI65" s="3"/>
      <c r="CJ65" s="3"/>
      <c r="CK65" s="3"/>
      <c r="CL65" s="2" t="s">
        <v>65</v>
      </c>
      <c r="CM65" s="7" t="s">
        <v>35</v>
      </c>
      <c r="CN65" s="8" t="s">
        <v>71</v>
      </c>
      <c r="CO65" s="11" t="s">
        <v>85</v>
      </c>
    </row>
    <row r="66" spans="1:99">
      <c r="A66" s="2" t="s">
        <v>61</v>
      </c>
      <c r="B66" s="2" t="s">
        <v>257</v>
      </c>
      <c r="C66" s="2" t="s">
        <v>62</v>
      </c>
      <c r="D66" s="2" t="s">
        <v>248</v>
      </c>
      <c r="E66" s="2">
        <v>2011</v>
      </c>
      <c r="F66" s="2">
        <v>2011</v>
      </c>
      <c r="G66" s="2">
        <v>0</v>
      </c>
      <c r="H66" s="2">
        <v>0</v>
      </c>
      <c r="I66" s="2">
        <v>0</v>
      </c>
      <c r="J66" s="2">
        <v>0</v>
      </c>
      <c r="K66" s="2">
        <v>0</v>
      </c>
      <c r="L66" s="2">
        <v>0</v>
      </c>
      <c r="M66" s="3">
        <f>(0.3+26)/2</f>
        <v>13.15</v>
      </c>
      <c r="N66" s="4">
        <f>(M66-5)*12</f>
        <v>97.800000000000011</v>
      </c>
      <c r="O66" s="3">
        <v>1503</v>
      </c>
      <c r="P66" s="3"/>
      <c r="Q66" s="4">
        <v>33</v>
      </c>
      <c r="R66" s="4"/>
      <c r="S66" s="4"/>
      <c r="T66" s="4"/>
      <c r="U66" s="12"/>
      <c r="V66" s="4"/>
      <c r="W66" s="4">
        <v>4.45</v>
      </c>
      <c r="X66" s="4">
        <v>0.97</v>
      </c>
      <c r="Y66" s="4"/>
      <c r="Z66" s="4"/>
      <c r="AA66" s="4">
        <v>382.85</v>
      </c>
      <c r="AB66" s="4"/>
      <c r="AC66" s="4">
        <v>6.1</v>
      </c>
      <c r="AD66" s="4">
        <v>0.28999999999999998</v>
      </c>
      <c r="AE66" s="4">
        <v>2</v>
      </c>
      <c r="AF66" s="4">
        <v>0.53</v>
      </c>
      <c r="AG66" s="4"/>
      <c r="AH66" s="4"/>
      <c r="AI66" s="4"/>
      <c r="AJ66" s="4">
        <v>45.1</v>
      </c>
      <c r="AK66" s="4">
        <v>17.3</v>
      </c>
      <c r="AL66" s="4">
        <v>6.1</v>
      </c>
      <c r="AM66" s="4">
        <v>3.6</v>
      </c>
      <c r="AN66" s="4">
        <v>3.5</v>
      </c>
      <c r="AO66" s="12"/>
      <c r="AP66" s="12"/>
      <c r="AQ66" s="12"/>
      <c r="AR66" s="12"/>
      <c r="AS66" s="6"/>
      <c r="AT66" s="12"/>
      <c r="AU66" s="3">
        <v>3050</v>
      </c>
      <c r="AV66" s="3">
        <v>8.9</v>
      </c>
      <c r="AW66" s="3">
        <v>13.2</v>
      </c>
      <c r="AX66" s="4">
        <f>(AV66/2)^2*PI()*AU66/10000</f>
        <v>18.974473499427123</v>
      </c>
      <c r="AY66" s="12"/>
      <c r="AZ66" s="12"/>
      <c r="BA66" s="12"/>
      <c r="BB66" s="12"/>
      <c r="BC66" s="12"/>
      <c r="BD66" s="12"/>
      <c r="BE66" s="12"/>
      <c r="BF66" s="12"/>
      <c r="BG66" s="12"/>
      <c r="BH66" s="12"/>
      <c r="BI66" s="12"/>
      <c r="BJ66" s="12"/>
      <c r="BK66" s="4">
        <f>8.01/2</f>
        <v>4.0049999999999999</v>
      </c>
      <c r="BL66" s="4">
        <f>9.29/2</f>
        <v>4.6449999999999996</v>
      </c>
      <c r="BM66" s="4">
        <f>40.47/2</f>
        <v>20.234999999999999</v>
      </c>
      <c r="BN66" s="4">
        <f>57.77/2</f>
        <v>28.885000000000002</v>
      </c>
      <c r="BO66" s="3">
        <f>BS66/BN66</f>
        <v>0.92348970053661072</v>
      </c>
      <c r="BP66" s="4">
        <f>9.93/2</f>
        <v>4.9649999999999999</v>
      </c>
      <c r="BQ66" s="4">
        <f>43.43/2</f>
        <v>21.715</v>
      </c>
      <c r="BR66" s="3"/>
      <c r="BS66" s="4">
        <f>53.35/2</f>
        <v>26.675000000000001</v>
      </c>
      <c r="BT66" s="4">
        <f>BS66+BN66</f>
        <v>55.56</v>
      </c>
      <c r="BU66" s="12"/>
      <c r="BV66" s="3"/>
      <c r="BW66" s="3"/>
      <c r="BX66" s="3"/>
      <c r="BY66" s="3"/>
      <c r="BZ66" s="3"/>
      <c r="CA66" s="3"/>
      <c r="CB66" s="3"/>
      <c r="CC66" s="3"/>
      <c r="CD66" s="3"/>
      <c r="CE66" s="3"/>
      <c r="CF66" s="3"/>
      <c r="CG66" s="3"/>
      <c r="CH66" s="3"/>
      <c r="CI66" s="3"/>
      <c r="CJ66" s="3"/>
      <c r="CK66" s="3"/>
      <c r="CL66" s="2" t="s">
        <v>66</v>
      </c>
      <c r="CM66" s="7" t="s">
        <v>35</v>
      </c>
      <c r="CN66" s="8" t="s">
        <v>256</v>
      </c>
      <c r="CO66" s="11" t="s">
        <v>85</v>
      </c>
    </row>
    <row r="67" spans="1:99">
      <c r="A67" s="2" t="s">
        <v>61</v>
      </c>
      <c r="B67" s="2" t="s">
        <v>255</v>
      </c>
      <c r="C67" s="2" t="s">
        <v>62</v>
      </c>
      <c r="D67" s="2" t="s">
        <v>249</v>
      </c>
      <c r="E67" s="2">
        <v>1996</v>
      </c>
      <c r="F67" s="2">
        <v>1996</v>
      </c>
      <c r="G67" s="2">
        <v>0</v>
      </c>
      <c r="H67" s="16">
        <v>0</v>
      </c>
      <c r="I67" s="16">
        <v>0</v>
      </c>
      <c r="J67" s="16">
        <v>0</v>
      </c>
      <c r="K67" s="2">
        <v>0</v>
      </c>
      <c r="L67" s="2"/>
      <c r="M67" s="3">
        <f>(5+15)/2</f>
        <v>10</v>
      </c>
      <c r="N67" s="4">
        <f>(M67-5)*12</f>
        <v>60</v>
      </c>
      <c r="O67" s="3"/>
      <c r="P67" s="3"/>
      <c r="Q67" s="3">
        <v>150</v>
      </c>
      <c r="R67" s="3"/>
      <c r="S67" s="3"/>
      <c r="T67" s="3"/>
      <c r="U67" s="12"/>
      <c r="V67" s="3"/>
      <c r="W67" s="3">
        <v>4.8</v>
      </c>
      <c r="X67" s="3">
        <v>0.34200000000000003</v>
      </c>
      <c r="Y67" s="3"/>
      <c r="Z67" s="3"/>
      <c r="AA67" s="4">
        <v>281.10000000000002</v>
      </c>
      <c r="AB67" s="3"/>
      <c r="AC67" s="3"/>
      <c r="AD67" s="3">
        <v>0.35</v>
      </c>
      <c r="AE67" s="3">
        <v>1.48</v>
      </c>
      <c r="AF67" s="3">
        <v>0.2</v>
      </c>
      <c r="AG67" s="3"/>
      <c r="AH67" s="3"/>
      <c r="AI67" s="3"/>
      <c r="AJ67" s="3"/>
      <c r="AK67" s="3"/>
      <c r="AL67" s="3"/>
      <c r="AM67" s="3"/>
      <c r="AN67" s="3"/>
      <c r="AO67" s="3"/>
      <c r="AP67" s="3"/>
      <c r="AQ67" s="3"/>
      <c r="AR67" s="3"/>
      <c r="AS67" s="2"/>
      <c r="AT67" s="3"/>
      <c r="AU67" s="3">
        <v>7500</v>
      </c>
      <c r="AV67" s="3">
        <v>8.1999999999999993</v>
      </c>
      <c r="AW67" s="3">
        <v>11.9</v>
      </c>
      <c r="AX67" s="3">
        <v>40.5</v>
      </c>
      <c r="AY67" s="12"/>
      <c r="AZ67" s="12"/>
      <c r="BA67" s="12"/>
      <c r="BB67" s="3"/>
      <c r="BC67" s="3"/>
      <c r="BD67" s="3"/>
      <c r="BE67" s="3"/>
      <c r="BF67" s="3"/>
      <c r="BG67" s="3"/>
      <c r="BH67" s="3"/>
      <c r="BI67" s="3"/>
      <c r="BJ67" s="3"/>
      <c r="BK67" s="4">
        <f>3.849/2</f>
        <v>1.9245000000000001</v>
      </c>
      <c r="BL67" s="4">
        <f>6.499/2</f>
        <v>3.2494999999999998</v>
      </c>
      <c r="BM67" s="4">
        <f>61.428/2</f>
        <v>30.713999999999999</v>
      </c>
      <c r="BN67" s="4">
        <f>71.76/2</f>
        <v>35.880000000000003</v>
      </c>
      <c r="BO67" s="3">
        <f>BS67/BN67</f>
        <v>0.44377090301003341</v>
      </c>
      <c r="BP67" s="4">
        <f>9.928/2</f>
        <v>4.9640000000000004</v>
      </c>
      <c r="BQ67" s="4">
        <f>21.917/2</f>
        <v>10.958500000000001</v>
      </c>
      <c r="BR67" s="3"/>
      <c r="BS67" s="4">
        <f>31.845/2</f>
        <v>15.922499999999999</v>
      </c>
      <c r="BT67" s="4">
        <f>BS67+BN67</f>
        <v>51.802500000000002</v>
      </c>
      <c r="BU67" s="12"/>
      <c r="BV67" s="3"/>
      <c r="BW67" s="3"/>
      <c r="BX67" s="3"/>
      <c r="BY67" s="4">
        <f>1.366/2</f>
        <v>0.68300000000000005</v>
      </c>
      <c r="BZ67" s="4">
        <f>0.69/2</f>
        <v>0.34499999999999997</v>
      </c>
      <c r="CA67" s="4">
        <f>6.115/2</f>
        <v>3.0575000000000001</v>
      </c>
      <c r="CB67" s="4"/>
      <c r="CC67" s="4">
        <f>8.171/2</f>
        <v>4.0854999999999997</v>
      </c>
      <c r="CD67" s="4">
        <f>1.027/2</f>
        <v>0.51349999999999996</v>
      </c>
      <c r="CE67" s="4">
        <f>2.266/2</f>
        <v>1.133</v>
      </c>
      <c r="CF67" s="12"/>
      <c r="CG67" s="4">
        <f>3.293/2</f>
        <v>1.6465000000000001</v>
      </c>
      <c r="CH67" s="4">
        <f>CC67+CG67</f>
        <v>5.7319999999999993</v>
      </c>
      <c r="CI67" s="4"/>
      <c r="CJ67" s="4"/>
      <c r="CK67" s="4"/>
      <c r="CL67" s="2" t="s">
        <v>67</v>
      </c>
      <c r="CM67" s="7" t="s">
        <v>35</v>
      </c>
      <c r="CN67" s="8" t="s">
        <v>87</v>
      </c>
      <c r="CO67" s="11" t="s">
        <v>85</v>
      </c>
    </row>
    <row r="68" spans="1:99">
      <c r="A68" s="2" t="s">
        <v>8</v>
      </c>
      <c r="B68" s="2" t="s">
        <v>721</v>
      </c>
      <c r="C68" s="2" t="s">
        <v>130</v>
      </c>
      <c r="D68" s="2" t="s">
        <v>245</v>
      </c>
      <c r="E68" s="2">
        <v>2007</v>
      </c>
      <c r="F68" s="2">
        <v>2007</v>
      </c>
      <c r="G68" s="2">
        <v>0</v>
      </c>
      <c r="H68" s="2">
        <v>0</v>
      </c>
      <c r="I68" s="2">
        <v>0</v>
      </c>
      <c r="J68" s="2">
        <v>1</v>
      </c>
      <c r="K68" s="2">
        <v>0</v>
      </c>
      <c r="L68" s="2">
        <v>0</v>
      </c>
      <c r="M68" s="3">
        <v>15.3</v>
      </c>
      <c r="N68" s="3">
        <v>123.60000000000001</v>
      </c>
      <c r="O68" s="3">
        <v>4618</v>
      </c>
      <c r="P68" s="4">
        <v>0</v>
      </c>
      <c r="Q68" s="3">
        <v>1300</v>
      </c>
      <c r="R68" s="3">
        <v>87.9</v>
      </c>
      <c r="S68" s="39">
        <v>1449.4</v>
      </c>
      <c r="T68" s="39">
        <v>1.233333</v>
      </c>
      <c r="U68" s="12"/>
      <c r="V68" s="3">
        <f>(3.8+4.04)/2</f>
        <v>3.92</v>
      </c>
      <c r="W68" s="3">
        <f>(4.6+5.1)/2</f>
        <v>4.8499999999999996</v>
      </c>
      <c r="X68" s="3">
        <f>(0.68+0.56)/2</f>
        <v>0.62000000000000011</v>
      </c>
      <c r="Y68" s="3"/>
      <c r="Z68" s="3"/>
      <c r="AA68" s="3">
        <f>1.96*(16*5+30*2)/30</f>
        <v>9.1466666666666665</v>
      </c>
      <c r="AB68" s="3"/>
      <c r="AC68" s="3">
        <f>(2.93+2.52)/2</f>
        <v>2.7250000000000001</v>
      </c>
      <c r="AD68" s="3">
        <f>(0.3415+0.4335)/2</f>
        <v>0.38750000000000001</v>
      </c>
      <c r="AE68" s="3">
        <f>(0.5951+0.7592)/2</f>
        <v>0.67714999999999992</v>
      </c>
      <c r="AF68" s="3">
        <f>(0.1174+0.1507)/2</f>
        <v>0.13405</v>
      </c>
      <c r="AG68" s="3">
        <f>(28+33.4)/2</f>
        <v>30.7</v>
      </c>
      <c r="AH68" s="3">
        <f>(34.8+24.6)/2</f>
        <v>29.7</v>
      </c>
      <c r="AI68" s="3">
        <f>(37.2+42)/2</f>
        <v>39.6</v>
      </c>
      <c r="AJ68" s="3"/>
      <c r="AK68" s="3"/>
      <c r="AL68" s="3"/>
      <c r="AM68" s="3"/>
      <c r="AN68" s="3"/>
      <c r="AO68" s="3"/>
      <c r="AP68" s="3"/>
      <c r="AQ68" s="3"/>
      <c r="AR68" s="3"/>
      <c r="AS68" s="2"/>
      <c r="AT68" s="3"/>
      <c r="AU68" s="3">
        <v>8344</v>
      </c>
      <c r="AV68" s="3">
        <v>10.6</v>
      </c>
      <c r="AW68" s="3">
        <v>21.4</v>
      </c>
      <c r="AX68" s="4">
        <f t="shared" ref="AX68:AX83" si="7">(AV68/2)^2*PI()*AU68/10000</f>
        <v>73.633578526263037</v>
      </c>
      <c r="AY68" s="12"/>
      <c r="AZ68" s="12"/>
      <c r="BA68" s="12"/>
      <c r="BB68" s="3">
        <v>45.67</v>
      </c>
      <c r="BC68" s="3">
        <v>48.27</v>
      </c>
      <c r="BD68" s="3">
        <v>48.34</v>
      </c>
      <c r="BE68" s="3"/>
      <c r="BF68" s="3"/>
      <c r="BG68" s="3"/>
      <c r="BH68" s="3"/>
      <c r="BI68" s="73">
        <v>5.74</v>
      </c>
      <c r="BJ68" s="73">
        <v>4</v>
      </c>
      <c r="BK68" s="12">
        <f>4.4*BB68/100</f>
        <v>2.0094800000000004</v>
      </c>
      <c r="BL68" s="12">
        <f>12*BC68/100</f>
        <v>5.7923999999999998</v>
      </c>
      <c r="BM68" s="12">
        <f>151.7*BD68/100</f>
        <v>73.331779999999995</v>
      </c>
      <c r="BN68" s="3">
        <f>BK68+BL68+BM68</f>
        <v>81.133659999999992</v>
      </c>
      <c r="BO68" s="3"/>
      <c r="BP68" s="3"/>
      <c r="BQ68" s="3"/>
      <c r="BR68" s="3"/>
      <c r="BS68" s="3"/>
      <c r="BT68" s="3"/>
      <c r="BU68" s="12"/>
      <c r="BV68" s="3"/>
      <c r="BW68" s="3"/>
      <c r="BX68" s="3"/>
      <c r="BY68" s="3"/>
      <c r="BZ68" s="3"/>
      <c r="CA68" s="3"/>
      <c r="CB68" s="3"/>
      <c r="CC68" s="3"/>
      <c r="CD68" s="3"/>
      <c r="CE68" s="3"/>
      <c r="CF68" s="3"/>
      <c r="CG68" s="3"/>
      <c r="CH68" s="3"/>
      <c r="CI68" s="3"/>
      <c r="CJ68" s="3"/>
      <c r="CK68" s="3"/>
      <c r="CL68" s="2" t="s">
        <v>709</v>
      </c>
      <c r="CM68" s="7" t="s">
        <v>35</v>
      </c>
      <c r="CN68" s="8" t="s">
        <v>56</v>
      </c>
      <c r="CO68" s="11" t="s">
        <v>85</v>
      </c>
    </row>
    <row r="69" spans="1:99" s="1" customFormat="1">
      <c r="A69" s="2" t="s">
        <v>8</v>
      </c>
      <c r="B69" s="2" t="s">
        <v>9</v>
      </c>
      <c r="C69" s="2" t="s">
        <v>220</v>
      </c>
      <c r="D69" s="2" t="s">
        <v>221</v>
      </c>
      <c r="E69" s="2">
        <v>2008</v>
      </c>
      <c r="F69" s="2">
        <v>2009</v>
      </c>
      <c r="G69" s="2">
        <v>1</v>
      </c>
      <c r="H69" s="2">
        <v>0</v>
      </c>
      <c r="I69" s="2">
        <v>0</v>
      </c>
      <c r="J69" s="2">
        <v>1</v>
      </c>
      <c r="K69" s="2">
        <v>0</v>
      </c>
      <c r="L69" s="2">
        <v>1</v>
      </c>
      <c r="M69" s="3">
        <v>23</v>
      </c>
      <c r="N69" s="4">
        <f>(M69-5)*12</f>
        <v>216</v>
      </c>
      <c r="O69" s="3">
        <v>2600</v>
      </c>
      <c r="P69" s="4">
        <v>0</v>
      </c>
      <c r="Q69" s="3">
        <v>1135</v>
      </c>
      <c r="R69" s="39">
        <v>81.458330000000004</v>
      </c>
      <c r="S69" s="39">
        <v>1222</v>
      </c>
      <c r="T69" s="39">
        <v>0.65833299999999995</v>
      </c>
      <c r="U69" s="12"/>
      <c r="V69" s="3"/>
      <c r="W69" s="3"/>
      <c r="X69" s="3"/>
      <c r="Y69" s="3"/>
      <c r="Z69" s="3"/>
      <c r="AA69" s="3"/>
      <c r="AB69" s="3"/>
      <c r="AC69" s="3"/>
      <c r="AD69" s="3"/>
      <c r="AE69" s="3"/>
      <c r="AF69" s="3"/>
      <c r="AG69" s="3"/>
      <c r="AH69" s="3"/>
      <c r="AI69" s="3"/>
      <c r="AJ69" s="3"/>
      <c r="AK69" s="3"/>
      <c r="AL69" s="3"/>
      <c r="AM69" s="3"/>
      <c r="AN69" s="3"/>
      <c r="AO69" s="3"/>
      <c r="AP69" s="3"/>
      <c r="AQ69" s="3"/>
      <c r="AR69" s="3"/>
      <c r="AS69" s="2"/>
      <c r="AT69" s="3"/>
      <c r="AU69" s="3">
        <v>3767</v>
      </c>
      <c r="AV69" s="3">
        <v>9.9</v>
      </c>
      <c r="AW69" s="3">
        <v>13.4</v>
      </c>
      <c r="AX69" s="4">
        <f t="shared" si="7"/>
        <v>28.99718843375976</v>
      </c>
      <c r="AY69" s="12">
        <v>25.1</v>
      </c>
      <c r="AZ69" s="12">
        <v>6.1</v>
      </c>
      <c r="BA69" s="12">
        <v>4.5999999999999996</v>
      </c>
      <c r="BB69" s="3"/>
      <c r="BC69" s="3"/>
      <c r="BD69" s="3"/>
      <c r="BE69" s="3"/>
      <c r="BF69" s="3"/>
      <c r="BG69" s="3"/>
      <c r="BH69" s="3"/>
      <c r="BI69" s="3"/>
      <c r="BJ69" s="3"/>
      <c r="BK69" s="4">
        <f>3.2*0.5</f>
        <v>1.6</v>
      </c>
      <c r="BL69" s="4">
        <f>10.1*0.5</f>
        <v>5.05</v>
      </c>
      <c r="BM69" s="4">
        <f>60.6*0.5</f>
        <v>30.3</v>
      </c>
      <c r="BN69" s="4">
        <f>SUM(BK69:BM69)</f>
        <v>36.950000000000003</v>
      </c>
      <c r="BO69" s="3">
        <f>BS69/BN69</f>
        <v>1.23680649526387</v>
      </c>
      <c r="BP69" s="4">
        <f>6.4*0.5</f>
        <v>3.2</v>
      </c>
      <c r="BQ69" s="4">
        <f>67.1*0.5</f>
        <v>33.549999999999997</v>
      </c>
      <c r="BR69" s="4">
        <f>17.9*0.5</f>
        <v>8.9499999999999993</v>
      </c>
      <c r="BS69" s="4">
        <f>SUM(BP69:BR69)</f>
        <v>45.7</v>
      </c>
      <c r="BT69" s="4">
        <f>BS69+BN69</f>
        <v>82.65</v>
      </c>
      <c r="BU69" s="12"/>
      <c r="BV69" s="3"/>
      <c r="BW69" s="3"/>
      <c r="BX69" s="3"/>
      <c r="BY69" s="4">
        <f>0.3*0.5</f>
        <v>0.15</v>
      </c>
      <c r="BZ69" s="4">
        <f>1.1*0.5</f>
        <v>0.55000000000000004</v>
      </c>
      <c r="CA69" s="4">
        <f>6.9*0.5</f>
        <v>3.45</v>
      </c>
      <c r="CB69" s="3"/>
      <c r="CC69" s="4">
        <f>SUM(BY69:CB69)</f>
        <v>4.1500000000000004</v>
      </c>
      <c r="CD69" s="3"/>
      <c r="CE69" s="3"/>
      <c r="CF69" s="3"/>
      <c r="CG69" s="3"/>
      <c r="CH69" s="3"/>
      <c r="CI69" s="3"/>
      <c r="CJ69" s="3"/>
      <c r="CK69" s="3"/>
      <c r="CL69" s="2" t="s">
        <v>270</v>
      </c>
      <c r="CM69" s="7" t="s">
        <v>35</v>
      </c>
      <c r="CN69" s="8" t="s">
        <v>54</v>
      </c>
      <c r="CO69" s="11" t="s">
        <v>85</v>
      </c>
      <c r="CP69"/>
      <c r="CQ69"/>
      <c r="CR69"/>
      <c r="CS69"/>
      <c r="CT69"/>
      <c r="CU69"/>
    </row>
    <row r="70" spans="1:99" s="1" customFormat="1">
      <c r="A70" s="2" t="s">
        <v>8</v>
      </c>
      <c r="B70" s="2" t="s">
        <v>9</v>
      </c>
      <c r="C70" s="2" t="s">
        <v>117</v>
      </c>
      <c r="D70" s="14" t="s">
        <v>243</v>
      </c>
      <c r="E70" s="2">
        <v>2008</v>
      </c>
      <c r="F70" s="2">
        <v>2009</v>
      </c>
      <c r="G70" s="2">
        <v>0</v>
      </c>
      <c r="H70" s="2">
        <v>0</v>
      </c>
      <c r="I70" s="2">
        <v>0</v>
      </c>
      <c r="J70" s="2">
        <v>0</v>
      </c>
      <c r="K70" s="2">
        <v>0</v>
      </c>
      <c r="L70" s="2">
        <v>0</v>
      </c>
      <c r="M70" s="3">
        <v>23</v>
      </c>
      <c r="N70" s="4">
        <f>(M70-5)*12</f>
        <v>216</v>
      </c>
      <c r="O70" s="3">
        <v>2600</v>
      </c>
      <c r="P70" s="4">
        <v>0</v>
      </c>
      <c r="Q70" s="3">
        <v>1135</v>
      </c>
      <c r="R70" s="39">
        <v>81.458330000000004</v>
      </c>
      <c r="S70" s="39">
        <v>1222</v>
      </c>
      <c r="T70" s="39">
        <v>0.65833299999999995</v>
      </c>
      <c r="U70" s="12"/>
      <c r="V70" s="3"/>
      <c r="W70" s="3"/>
      <c r="X70" s="3"/>
      <c r="Y70" s="3"/>
      <c r="Z70" s="3"/>
      <c r="AA70" s="3"/>
      <c r="AB70" s="3"/>
      <c r="AC70" s="3"/>
      <c r="AD70" s="3"/>
      <c r="AE70" s="3"/>
      <c r="AF70" s="3"/>
      <c r="AG70" s="3"/>
      <c r="AH70" s="3"/>
      <c r="AI70" s="3"/>
      <c r="AJ70" s="3"/>
      <c r="AK70" s="3"/>
      <c r="AL70" s="3"/>
      <c r="AM70" s="3"/>
      <c r="AN70" s="3"/>
      <c r="AO70" s="3"/>
      <c r="AP70" s="3"/>
      <c r="AQ70" s="3"/>
      <c r="AR70" s="3"/>
      <c r="AS70" s="2"/>
      <c r="AT70" s="3"/>
      <c r="AU70" s="3">
        <v>5000</v>
      </c>
      <c r="AV70" s="3">
        <v>9.6999999999999993</v>
      </c>
      <c r="AW70" s="3">
        <v>13.6</v>
      </c>
      <c r="AX70" s="4">
        <f t="shared" si="7"/>
        <v>36.94905659703295</v>
      </c>
      <c r="AY70" s="12">
        <v>24.6</v>
      </c>
      <c r="AZ70" s="12">
        <v>5.4</v>
      </c>
      <c r="BA70" s="12">
        <v>5.6</v>
      </c>
      <c r="BB70" s="3"/>
      <c r="BC70" s="3"/>
      <c r="BD70" s="3"/>
      <c r="BE70" s="3"/>
      <c r="BF70" s="3"/>
      <c r="BG70" s="3"/>
      <c r="BH70" s="3"/>
      <c r="BI70" s="3"/>
      <c r="BJ70" s="3"/>
      <c r="BK70" s="4">
        <f>3.8*0.5</f>
        <v>1.9</v>
      </c>
      <c r="BL70" s="4">
        <f>12.4*0.5</f>
        <v>6.2</v>
      </c>
      <c r="BM70" s="4">
        <f>75.7*0.5</f>
        <v>37.85</v>
      </c>
      <c r="BN70" s="4">
        <f>SUM(BK70:BM70)</f>
        <v>45.95</v>
      </c>
      <c r="BO70" s="3">
        <f>BS70/BN70</f>
        <v>1.0228509249183895</v>
      </c>
      <c r="BP70" s="4">
        <f>6.2*0.5</f>
        <v>3.1</v>
      </c>
      <c r="BQ70" s="4">
        <f>64.8*0.5</f>
        <v>32.4</v>
      </c>
      <c r="BR70" s="4">
        <f>23*0.5</f>
        <v>11.5</v>
      </c>
      <c r="BS70" s="4">
        <f>SUM(BP70:BR70)</f>
        <v>47</v>
      </c>
      <c r="BT70" s="4">
        <f>BS70+BN70</f>
        <v>92.95</v>
      </c>
      <c r="BU70" s="12"/>
      <c r="BV70" s="3"/>
      <c r="BW70" s="3"/>
      <c r="BX70" s="3"/>
      <c r="BY70" s="4">
        <f>0.4*0.5</f>
        <v>0.2</v>
      </c>
      <c r="BZ70" s="4">
        <f>1.6*0.5</f>
        <v>0.8</v>
      </c>
      <c r="CA70" s="4">
        <f>9.2*0.5</f>
        <v>4.5999999999999996</v>
      </c>
      <c r="CB70" s="3"/>
      <c r="CC70" s="4">
        <f>SUM(BY70:CB70)</f>
        <v>5.6</v>
      </c>
      <c r="CD70" s="3"/>
      <c r="CE70" s="3"/>
      <c r="CF70" s="3"/>
      <c r="CG70" s="3"/>
      <c r="CH70" s="3"/>
      <c r="CI70" s="3"/>
      <c r="CJ70" s="3"/>
      <c r="CK70" s="3"/>
      <c r="CL70" s="2" t="s">
        <v>128</v>
      </c>
      <c r="CM70" s="7" t="s">
        <v>35</v>
      </c>
      <c r="CN70" s="8" t="s">
        <v>54</v>
      </c>
      <c r="CO70" s="11" t="s">
        <v>85</v>
      </c>
      <c r="CP70"/>
      <c r="CQ70"/>
      <c r="CR70"/>
      <c r="CS70"/>
      <c r="CT70"/>
      <c r="CU70"/>
    </row>
    <row r="71" spans="1:99" s="1" customFormat="1">
      <c r="A71" s="2" t="s">
        <v>8</v>
      </c>
      <c r="B71" s="2" t="s">
        <v>9</v>
      </c>
      <c r="C71" s="14" t="s">
        <v>116</v>
      </c>
      <c r="D71" s="14" t="s">
        <v>242</v>
      </c>
      <c r="E71" s="2">
        <v>2008</v>
      </c>
      <c r="F71" s="2">
        <v>2009</v>
      </c>
      <c r="G71" s="2">
        <v>0</v>
      </c>
      <c r="H71" s="2">
        <v>0</v>
      </c>
      <c r="I71" s="2">
        <v>0</v>
      </c>
      <c r="J71" s="2">
        <v>0</v>
      </c>
      <c r="K71" s="2">
        <v>0</v>
      </c>
      <c r="L71" s="2">
        <v>0</v>
      </c>
      <c r="M71" s="3">
        <v>23</v>
      </c>
      <c r="N71" s="4">
        <f>(M71-5)*12</f>
        <v>216</v>
      </c>
      <c r="O71" s="3">
        <v>2600</v>
      </c>
      <c r="P71" s="4">
        <v>0</v>
      </c>
      <c r="Q71" s="3">
        <v>1135</v>
      </c>
      <c r="R71" s="39">
        <v>81.458330000000004</v>
      </c>
      <c r="S71" s="39">
        <v>1222</v>
      </c>
      <c r="T71" s="39">
        <v>0.65833299999999995</v>
      </c>
      <c r="U71" s="12"/>
      <c r="V71" s="3"/>
      <c r="W71" s="3"/>
      <c r="X71" s="3"/>
      <c r="Y71" s="3"/>
      <c r="Z71" s="3"/>
      <c r="AA71" s="3"/>
      <c r="AB71" s="3"/>
      <c r="AC71" s="3"/>
      <c r="AD71" s="3"/>
      <c r="AE71" s="3"/>
      <c r="AF71" s="3"/>
      <c r="AG71" s="3"/>
      <c r="AH71" s="3"/>
      <c r="AI71" s="3"/>
      <c r="AJ71" s="3"/>
      <c r="AK71" s="3"/>
      <c r="AL71" s="3"/>
      <c r="AM71" s="3"/>
      <c r="AN71" s="3"/>
      <c r="AO71" s="3"/>
      <c r="AP71" s="3"/>
      <c r="AQ71" s="3"/>
      <c r="AR71" s="3"/>
      <c r="AS71" s="2"/>
      <c r="AT71" s="3"/>
      <c r="AU71" s="3">
        <v>5167</v>
      </c>
      <c r="AV71" s="3">
        <v>7.6</v>
      </c>
      <c r="AW71" s="3">
        <v>12.3</v>
      </c>
      <c r="AX71" s="4">
        <f t="shared" si="7"/>
        <v>23.439887744146176</v>
      </c>
      <c r="AY71" s="12">
        <v>37.1</v>
      </c>
      <c r="AZ71" s="12">
        <v>4.9000000000000004</v>
      </c>
      <c r="BA71" s="12">
        <v>1.9</v>
      </c>
      <c r="BB71" s="3"/>
      <c r="BC71" s="3"/>
      <c r="BD71" s="3"/>
      <c r="BE71" s="3"/>
      <c r="BF71" s="3"/>
      <c r="BG71" s="3"/>
      <c r="BH71" s="3"/>
      <c r="BI71" s="3"/>
      <c r="BJ71" s="3"/>
      <c r="BK71" s="4">
        <f>1.3*0.5</f>
        <v>0.65</v>
      </c>
      <c r="BL71" s="4">
        <f>5.5*0.5</f>
        <v>2.75</v>
      </c>
      <c r="BM71" s="4">
        <f>36.5*0.5</f>
        <v>18.25</v>
      </c>
      <c r="BN71" s="4">
        <f>SUM(BK71:BM71)</f>
        <v>21.65</v>
      </c>
      <c r="BO71" s="3">
        <f>BS71/BN71</f>
        <v>1.9769053117782913</v>
      </c>
      <c r="BP71" s="4">
        <f>6.2*0.5</f>
        <v>3.1</v>
      </c>
      <c r="BQ71" s="4">
        <f>64.5*0.5</f>
        <v>32.25</v>
      </c>
      <c r="BR71" s="4">
        <f>14.9*0.5</f>
        <v>7.45</v>
      </c>
      <c r="BS71" s="4">
        <f>SUM(BP71:BR71)</f>
        <v>42.800000000000004</v>
      </c>
      <c r="BT71" s="4">
        <f>BS71+BN71</f>
        <v>64.45</v>
      </c>
      <c r="BU71" s="12"/>
      <c r="BV71" s="3"/>
      <c r="BW71" s="3"/>
      <c r="BX71" s="3"/>
      <c r="BY71" s="4">
        <f>0.2*0.5</f>
        <v>0.1</v>
      </c>
      <c r="BZ71" s="4">
        <f>0.9*0.5</f>
        <v>0.45</v>
      </c>
      <c r="CA71" s="4">
        <f>6.4*0.5</f>
        <v>3.2</v>
      </c>
      <c r="CB71" s="3"/>
      <c r="CC71" s="4">
        <f>SUM(BY71:CB71)</f>
        <v>3.75</v>
      </c>
      <c r="CD71" s="3"/>
      <c r="CE71" s="3"/>
      <c r="CF71" s="3"/>
      <c r="CG71" s="3"/>
      <c r="CH71" s="3"/>
      <c r="CI71" s="3"/>
      <c r="CJ71" s="3"/>
      <c r="CK71" s="3"/>
      <c r="CL71" s="2" t="s">
        <v>128</v>
      </c>
      <c r="CM71" s="7" t="s">
        <v>35</v>
      </c>
      <c r="CN71" s="8" t="s">
        <v>54</v>
      </c>
      <c r="CO71" s="11" t="s">
        <v>85</v>
      </c>
      <c r="CP71"/>
      <c r="CQ71"/>
      <c r="CR71"/>
    </row>
    <row r="72" spans="1:99" s="1" customFormat="1">
      <c r="A72" s="2" t="s">
        <v>8</v>
      </c>
      <c r="B72" s="2" t="s">
        <v>262</v>
      </c>
      <c r="C72" s="2" t="s">
        <v>70</v>
      </c>
      <c r="D72" s="2" t="s">
        <v>228</v>
      </c>
      <c r="E72" s="2">
        <v>2004</v>
      </c>
      <c r="F72" s="2">
        <v>2007</v>
      </c>
      <c r="G72" s="2">
        <v>1</v>
      </c>
      <c r="H72" s="2">
        <v>1</v>
      </c>
      <c r="I72" s="2">
        <v>1</v>
      </c>
      <c r="J72" s="2">
        <v>1</v>
      </c>
      <c r="K72" s="2">
        <v>0</v>
      </c>
      <c r="L72" s="2">
        <v>0</v>
      </c>
      <c r="M72" s="4">
        <f>(11+22)/2</f>
        <v>16.5</v>
      </c>
      <c r="N72" s="4">
        <f>(M72-5)*12</f>
        <v>138</v>
      </c>
      <c r="O72" s="4">
        <f>(1900+2500)/2</f>
        <v>2200</v>
      </c>
      <c r="P72" s="4">
        <v>0</v>
      </c>
      <c r="Q72" s="3">
        <f>(1200+1500)/2</f>
        <v>1350</v>
      </c>
      <c r="R72" s="39">
        <v>82.666669999999996</v>
      </c>
      <c r="S72" s="39">
        <v>1561.7</v>
      </c>
      <c r="T72" s="39">
        <v>1.2250000000000001</v>
      </c>
      <c r="U72" s="12"/>
      <c r="V72" s="3"/>
      <c r="W72" s="3"/>
      <c r="X72" s="3"/>
      <c r="Y72" s="3"/>
      <c r="Z72" s="3"/>
      <c r="AA72" s="3"/>
      <c r="AB72" s="3"/>
      <c r="AC72" s="3"/>
      <c r="AD72" s="3"/>
      <c r="AE72" s="3"/>
      <c r="AF72" s="3"/>
      <c r="AG72" s="3"/>
      <c r="AH72" s="3"/>
      <c r="AI72" s="3"/>
      <c r="AJ72" s="3"/>
      <c r="AK72" s="3"/>
      <c r="AL72" s="3"/>
      <c r="AM72" s="3"/>
      <c r="AN72" s="3"/>
      <c r="AO72" s="3"/>
      <c r="AP72" s="3"/>
      <c r="AQ72" s="3"/>
      <c r="AR72" s="3"/>
      <c r="AS72" s="2"/>
      <c r="AT72" s="3"/>
      <c r="AU72" s="3">
        <v>7050</v>
      </c>
      <c r="AV72" s="3">
        <v>8.66</v>
      </c>
      <c r="AW72" s="3"/>
      <c r="AX72" s="4">
        <f t="shared" si="7"/>
        <v>41.525491584537221</v>
      </c>
      <c r="AY72" s="12"/>
      <c r="AZ72" s="12"/>
      <c r="BA72" s="12"/>
      <c r="BB72" s="4">
        <v>45.44</v>
      </c>
      <c r="BC72" s="4">
        <v>48.15</v>
      </c>
      <c r="BD72" s="4">
        <v>46.28</v>
      </c>
      <c r="BE72" s="4"/>
      <c r="BF72" s="4"/>
      <c r="BG72" s="4"/>
      <c r="BH72" s="4"/>
      <c r="BI72" s="4"/>
      <c r="BJ72" s="4"/>
      <c r="BK72" s="12">
        <f>3.19*BB72/100</f>
        <v>1.4495359999999999</v>
      </c>
      <c r="BL72" s="12">
        <f>10.19*BC72/100</f>
        <v>4.906485</v>
      </c>
      <c r="BM72" s="12">
        <f>71.94*BD72/100</f>
        <v>33.293831999999995</v>
      </c>
      <c r="BN72" s="3">
        <f>BK72+BL72+BM72</f>
        <v>39.649852999999993</v>
      </c>
      <c r="BO72" s="3"/>
      <c r="BP72" s="3"/>
      <c r="BQ72" s="3"/>
      <c r="BR72" s="3"/>
      <c r="BS72" s="3"/>
      <c r="BT72" s="3"/>
      <c r="BU72" s="3"/>
      <c r="BV72" s="3"/>
      <c r="BW72" s="3"/>
      <c r="BX72" s="3"/>
      <c r="BY72" s="3"/>
      <c r="BZ72" s="3"/>
      <c r="CA72" s="3"/>
      <c r="CB72" s="3"/>
      <c r="CC72" s="3"/>
      <c r="CD72" s="3"/>
      <c r="CE72" s="3"/>
      <c r="CF72" s="3"/>
      <c r="CG72" s="3"/>
      <c r="CH72" s="3"/>
      <c r="CI72" s="3"/>
      <c r="CJ72" s="3"/>
      <c r="CK72" s="3"/>
      <c r="CL72" s="2" t="s">
        <v>26</v>
      </c>
      <c r="CM72" s="7" t="s">
        <v>35</v>
      </c>
      <c r="CN72" s="8" t="s">
        <v>58</v>
      </c>
      <c r="CO72" s="11" t="s">
        <v>85</v>
      </c>
      <c r="CP72"/>
      <c r="CQ72"/>
      <c r="CR72"/>
    </row>
    <row r="73" spans="1:99" s="1" customFormat="1">
      <c r="A73" s="2" t="s">
        <v>8</v>
      </c>
      <c r="B73" s="2" t="s">
        <v>722</v>
      </c>
      <c r="C73" s="2" t="s">
        <v>130</v>
      </c>
      <c r="D73" s="2" t="s">
        <v>246</v>
      </c>
      <c r="E73" s="2">
        <v>2007</v>
      </c>
      <c r="F73" s="2">
        <v>2007</v>
      </c>
      <c r="G73" s="2">
        <v>0</v>
      </c>
      <c r="H73" s="2">
        <v>0</v>
      </c>
      <c r="I73" s="2">
        <v>0</v>
      </c>
      <c r="J73" s="2">
        <v>0</v>
      </c>
      <c r="K73" s="2">
        <v>0</v>
      </c>
      <c r="L73" s="2">
        <v>0</v>
      </c>
      <c r="M73" s="3">
        <v>20.3</v>
      </c>
      <c r="N73" s="3">
        <v>183.60000000000002</v>
      </c>
      <c r="O73" s="3">
        <v>3389</v>
      </c>
      <c r="P73" s="4">
        <v>0</v>
      </c>
      <c r="Q73" s="3">
        <v>667</v>
      </c>
      <c r="R73" s="3">
        <v>85.2</v>
      </c>
      <c r="S73" s="39">
        <v>1599.1</v>
      </c>
      <c r="T73" s="39">
        <v>1.26</v>
      </c>
      <c r="U73" s="12"/>
      <c r="V73" s="3">
        <f>(3.75+3.8)/2</f>
        <v>3.7749999999999999</v>
      </c>
      <c r="W73" s="3">
        <f>(4.6+4.6)/2</f>
        <v>4.5999999999999996</v>
      </c>
      <c r="X73" s="3">
        <f>(0.55+0.4)/2</f>
        <v>0.47500000000000003</v>
      </c>
      <c r="Y73" s="3"/>
      <c r="Z73" s="3"/>
      <c r="AA73" s="3">
        <f>0.4*(16*5+30*2)/30</f>
        <v>1.8666666666666667</v>
      </c>
      <c r="AB73" s="3"/>
      <c r="AC73" s="3">
        <f>(2.42+2.34)/2</f>
        <v>2.38</v>
      </c>
      <c r="AD73" s="3">
        <f>(0.5877+0.4611)/2</f>
        <v>0.52439999999999998</v>
      </c>
      <c r="AE73" s="3">
        <f>(1.2162+1.2237)/2</f>
        <v>1.2199499999999999</v>
      </c>
      <c r="AF73" s="3">
        <f>(0.7169+0.8386)/2</f>
        <v>0.77774999999999994</v>
      </c>
      <c r="AG73" s="3">
        <f>(36+38)/2</f>
        <v>37</v>
      </c>
      <c r="AH73" s="3">
        <f>(36.8+33)/2</f>
        <v>34.9</v>
      </c>
      <c r="AI73" s="3">
        <f>(27.2+37.2)/2</f>
        <v>32.200000000000003</v>
      </c>
      <c r="AJ73" s="3"/>
      <c r="AK73" s="3"/>
      <c r="AL73" s="3"/>
      <c r="AM73" s="3"/>
      <c r="AN73" s="3"/>
      <c r="AO73" s="3"/>
      <c r="AP73" s="3"/>
      <c r="AQ73" s="3"/>
      <c r="AR73" s="3"/>
      <c r="AS73" s="2"/>
      <c r="AT73" s="3"/>
      <c r="AU73" s="3">
        <v>7933</v>
      </c>
      <c r="AV73" s="3">
        <v>6.8</v>
      </c>
      <c r="AW73" s="3">
        <v>10.3</v>
      </c>
      <c r="AX73" s="4">
        <f t="shared" si="7"/>
        <v>28.810126226192569</v>
      </c>
      <c r="AY73" s="12"/>
      <c r="AZ73" s="12"/>
      <c r="BA73" s="12"/>
      <c r="BB73" s="3">
        <v>45.44</v>
      </c>
      <c r="BC73" s="3">
        <v>48.15</v>
      </c>
      <c r="BD73" s="3">
        <v>46.28</v>
      </c>
      <c r="BE73" s="15">
        <v>44.87</v>
      </c>
      <c r="BF73" s="15"/>
      <c r="BG73" s="15">
        <v>43.54</v>
      </c>
      <c r="BH73" s="15"/>
      <c r="BI73" s="15">
        <v>3.52</v>
      </c>
      <c r="BJ73" s="15">
        <v>2.27</v>
      </c>
      <c r="BK73" s="12">
        <f>3.6*BB73/100</f>
        <v>1.63584</v>
      </c>
      <c r="BL73" s="12">
        <f>9.7*BC73/100</f>
        <v>4.6705499999999995</v>
      </c>
      <c r="BM73" s="12">
        <f>43.1*BD73/100</f>
        <v>19.946680000000001</v>
      </c>
      <c r="BN73" s="3">
        <f>BK73+BL73+BM73</f>
        <v>26.253070000000001</v>
      </c>
      <c r="BO73" s="15">
        <f>BS73/BN73</f>
        <v>0.133317741506041</v>
      </c>
      <c r="BP73" s="15">
        <v>0.9</v>
      </c>
      <c r="BQ73" s="15">
        <v>0.5</v>
      </c>
      <c r="BR73" s="15">
        <v>2.1</v>
      </c>
      <c r="BS73" s="15">
        <f>SUM(BP73:BR73)</f>
        <v>3.5</v>
      </c>
      <c r="BT73" s="15">
        <f>BS73+BN73</f>
        <v>29.753070000000001</v>
      </c>
      <c r="BU73" s="15"/>
      <c r="BV73" s="15">
        <v>172.8</v>
      </c>
      <c r="BW73" s="15"/>
      <c r="BX73" s="15">
        <f>BT73+BV73</f>
        <v>202.55307000000002</v>
      </c>
      <c r="BY73" s="3"/>
      <c r="BZ73" s="3"/>
      <c r="CA73" s="3"/>
      <c r="CB73" s="3"/>
      <c r="CC73" s="4">
        <f>CC75</f>
        <v>4</v>
      </c>
      <c r="CD73" s="3"/>
      <c r="CE73" s="3"/>
      <c r="CF73" s="3"/>
      <c r="CG73" s="3"/>
      <c r="CH73" s="3"/>
      <c r="CI73" s="3"/>
      <c r="CJ73" s="3"/>
      <c r="CK73" s="3"/>
      <c r="CL73" s="2" t="s">
        <v>709</v>
      </c>
      <c r="CM73" s="7" t="s">
        <v>35</v>
      </c>
      <c r="CN73" s="8" t="s">
        <v>56</v>
      </c>
      <c r="CO73" s="11" t="s">
        <v>85</v>
      </c>
      <c r="CP73"/>
      <c r="CQ73"/>
      <c r="CR73"/>
    </row>
    <row r="74" spans="1:99" s="1" customFormat="1">
      <c r="A74" s="2" t="s">
        <v>8</v>
      </c>
      <c r="B74" s="2" t="s">
        <v>27</v>
      </c>
      <c r="C74" s="2" t="s">
        <v>107</v>
      </c>
      <c r="D74" s="2" t="s">
        <v>247</v>
      </c>
      <c r="E74" s="2">
        <v>2007</v>
      </c>
      <c r="F74" s="2">
        <v>2009</v>
      </c>
      <c r="G74" s="2">
        <v>0</v>
      </c>
      <c r="H74" s="2">
        <v>0</v>
      </c>
      <c r="I74" s="2">
        <v>0</v>
      </c>
      <c r="J74" s="2">
        <v>0</v>
      </c>
      <c r="K74" s="2">
        <v>0</v>
      </c>
      <c r="L74" s="2">
        <v>0</v>
      </c>
      <c r="M74" s="3">
        <v>20.3</v>
      </c>
      <c r="N74" s="3">
        <v>183.60000000000002</v>
      </c>
      <c r="O74" s="3">
        <v>3389</v>
      </c>
      <c r="P74" s="4">
        <v>0</v>
      </c>
      <c r="Q74" s="3">
        <v>667</v>
      </c>
      <c r="R74" s="3">
        <v>85.2</v>
      </c>
      <c r="S74" s="39">
        <v>1657.133</v>
      </c>
      <c r="T74" s="39">
        <v>1.2944439999999999</v>
      </c>
      <c r="U74" s="12"/>
      <c r="V74" s="3"/>
      <c r="W74" s="3"/>
      <c r="X74" s="3"/>
      <c r="Y74" s="3"/>
      <c r="Z74" s="3"/>
      <c r="AA74" s="3"/>
      <c r="AB74" s="3"/>
      <c r="AC74" s="3"/>
      <c r="AD74" s="3"/>
      <c r="AE74" s="3"/>
      <c r="AF74" s="3"/>
      <c r="AG74" s="3"/>
      <c r="AH74" s="3"/>
      <c r="AI74" s="3"/>
      <c r="AJ74" s="3"/>
      <c r="AK74" s="3"/>
      <c r="AL74" s="3"/>
      <c r="AM74" s="3"/>
      <c r="AN74" s="3"/>
      <c r="AO74" s="3"/>
      <c r="AP74" s="3"/>
      <c r="AQ74" s="3"/>
      <c r="AR74" s="3"/>
      <c r="AS74" s="2"/>
      <c r="AT74" s="3"/>
      <c r="AU74" s="3">
        <v>11467</v>
      </c>
      <c r="AV74" s="3">
        <v>5.9</v>
      </c>
      <c r="AW74" s="3">
        <v>9.5</v>
      </c>
      <c r="AX74" s="4">
        <f t="shared" si="7"/>
        <v>31.350445534820999</v>
      </c>
      <c r="AY74" s="12"/>
      <c r="AZ74" s="12"/>
      <c r="BA74" s="12"/>
      <c r="BB74" s="4">
        <v>45.44</v>
      </c>
      <c r="BC74" s="4">
        <v>48.15</v>
      </c>
      <c r="BD74" s="4">
        <v>46.28</v>
      </c>
      <c r="BE74" s="12"/>
      <c r="BF74" s="12"/>
      <c r="BG74" s="12"/>
      <c r="BH74" s="12"/>
      <c r="BI74" s="12"/>
      <c r="BJ74" s="12"/>
      <c r="BK74" s="12"/>
      <c r="BL74" s="12"/>
      <c r="BM74" s="12"/>
      <c r="BN74" s="3">
        <v>29.5</v>
      </c>
      <c r="BO74" s="3"/>
      <c r="BP74" s="3"/>
      <c r="BQ74" s="3"/>
      <c r="BR74" s="3"/>
      <c r="BS74" s="3"/>
      <c r="BT74" s="3"/>
      <c r="BU74" s="3"/>
      <c r="BV74" s="3"/>
      <c r="BW74" s="3"/>
      <c r="BX74" s="3"/>
      <c r="BY74" s="3"/>
      <c r="BZ74" s="3"/>
      <c r="CA74" s="3"/>
      <c r="CB74" s="3"/>
      <c r="CC74" s="3">
        <f>(4.1+1.7)/2</f>
        <v>2.9</v>
      </c>
      <c r="CD74" s="3"/>
      <c r="CE74" s="3"/>
      <c r="CF74" s="3"/>
      <c r="CG74" s="3"/>
      <c r="CH74" s="3"/>
      <c r="CI74" s="3"/>
      <c r="CJ74" s="3"/>
      <c r="CK74" s="3"/>
      <c r="CL74" s="2" t="s">
        <v>110</v>
      </c>
      <c r="CM74" s="7" t="s">
        <v>35</v>
      </c>
      <c r="CN74" s="8" t="s">
        <v>57</v>
      </c>
      <c r="CO74" s="11" t="s">
        <v>85</v>
      </c>
      <c r="CP74"/>
      <c r="CQ74"/>
      <c r="CR74"/>
    </row>
    <row r="75" spans="1:99" s="1" customFormat="1">
      <c r="A75" s="2" t="s">
        <v>8</v>
      </c>
      <c r="B75" s="2" t="s">
        <v>225</v>
      </c>
      <c r="C75" s="2" t="s">
        <v>109</v>
      </c>
      <c r="D75" s="2" t="s">
        <v>224</v>
      </c>
      <c r="E75" s="2">
        <v>2007</v>
      </c>
      <c r="F75" s="2">
        <v>2009</v>
      </c>
      <c r="G75" s="2">
        <v>1</v>
      </c>
      <c r="H75" s="2">
        <v>0</v>
      </c>
      <c r="I75" s="2">
        <v>1</v>
      </c>
      <c r="J75" s="2">
        <v>0</v>
      </c>
      <c r="K75" s="2">
        <v>1</v>
      </c>
      <c r="L75" s="2">
        <v>0</v>
      </c>
      <c r="M75" s="3">
        <v>20.3</v>
      </c>
      <c r="N75" s="3">
        <v>183.60000000000002</v>
      </c>
      <c r="O75" s="3">
        <v>3389</v>
      </c>
      <c r="P75" s="4">
        <v>0</v>
      </c>
      <c r="Q75" s="3">
        <v>667</v>
      </c>
      <c r="R75" s="3">
        <v>85.2</v>
      </c>
      <c r="S75" s="39">
        <v>1657.133</v>
      </c>
      <c r="T75" s="39">
        <v>1.2944439999999999</v>
      </c>
      <c r="U75" s="12"/>
      <c r="V75" s="3"/>
      <c r="W75" s="3"/>
      <c r="X75" s="3"/>
      <c r="Y75" s="3"/>
      <c r="Z75" s="3"/>
      <c r="AA75" s="3"/>
      <c r="AB75" s="3"/>
      <c r="AC75" s="3"/>
      <c r="AD75" s="3"/>
      <c r="AE75" s="3"/>
      <c r="AF75" s="3"/>
      <c r="AG75" s="3"/>
      <c r="AH75" s="3"/>
      <c r="AI75" s="3"/>
      <c r="AJ75" s="3"/>
      <c r="AK75" s="3"/>
      <c r="AL75" s="3"/>
      <c r="AM75" s="3"/>
      <c r="AN75" s="3"/>
      <c r="AO75" s="3"/>
      <c r="AP75" s="3"/>
      <c r="AQ75" s="3"/>
      <c r="AR75" s="3"/>
      <c r="AS75" s="2"/>
      <c r="AT75" s="3"/>
      <c r="AU75" s="3">
        <v>5567</v>
      </c>
      <c r="AV75" s="3">
        <v>4.8</v>
      </c>
      <c r="AW75" s="3">
        <v>8</v>
      </c>
      <c r="AX75" s="4">
        <f t="shared" si="7"/>
        <v>10.073805870259802</v>
      </c>
      <c r="AY75" s="12"/>
      <c r="AZ75" s="12"/>
      <c r="BA75" s="12"/>
      <c r="BB75" s="4">
        <v>45.44</v>
      </c>
      <c r="BC75" s="4">
        <v>48.15</v>
      </c>
      <c r="BD75" s="4">
        <v>46.28</v>
      </c>
      <c r="BE75" s="4"/>
      <c r="BF75" s="4"/>
      <c r="BG75" s="4"/>
      <c r="BH75" s="4"/>
      <c r="BI75" s="4"/>
      <c r="BJ75" s="4"/>
      <c r="BK75" s="12"/>
      <c r="BL75" s="12"/>
      <c r="BM75" s="12"/>
      <c r="BN75" s="3">
        <v>8</v>
      </c>
      <c r="BO75" s="3"/>
      <c r="BP75" s="3"/>
      <c r="BQ75" s="3"/>
      <c r="BR75" s="3"/>
      <c r="BS75" s="3"/>
      <c r="BT75" s="3"/>
      <c r="BU75" s="3"/>
      <c r="BV75" s="3"/>
      <c r="BW75" s="3"/>
      <c r="BX75" s="3"/>
      <c r="BY75" s="3"/>
      <c r="BZ75" s="3"/>
      <c r="CA75" s="3"/>
      <c r="CB75" s="3"/>
      <c r="CC75" s="3">
        <f>(2.2+5.8)/2</f>
        <v>4</v>
      </c>
      <c r="CD75" s="3"/>
      <c r="CE75" s="3"/>
      <c r="CF75" s="3"/>
      <c r="CG75" s="3"/>
      <c r="CH75" s="3"/>
      <c r="CI75" s="3"/>
      <c r="CJ75" s="3"/>
      <c r="CK75" s="3"/>
      <c r="CL75" s="2" t="s">
        <v>110</v>
      </c>
      <c r="CM75" s="7" t="s">
        <v>35</v>
      </c>
      <c r="CN75" s="8" t="s">
        <v>57</v>
      </c>
      <c r="CO75" s="11" t="s">
        <v>85</v>
      </c>
      <c r="CP75"/>
      <c r="CQ75"/>
      <c r="CR75"/>
    </row>
    <row r="76" spans="1:99" s="1" customFormat="1">
      <c r="A76" s="2" t="s">
        <v>8</v>
      </c>
      <c r="B76" s="2" t="s">
        <v>222</v>
      </c>
      <c r="C76" s="2" t="s">
        <v>108</v>
      </c>
      <c r="D76" s="2" t="s">
        <v>223</v>
      </c>
      <c r="E76" s="2">
        <v>2007</v>
      </c>
      <c r="F76" s="2">
        <v>2009</v>
      </c>
      <c r="G76" s="2">
        <v>1</v>
      </c>
      <c r="H76" s="2">
        <v>0</v>
      </c>
      <c r="I76" s="2">
        <v>1</v>
      </c>
      <c r="J76" s="2">
        <v>0</v>
      </c>
      <c r="K76" s="2">
        <v>0</v>
      </c>
      <c r="L76" s="2">
        <v>0</v>
      </c>
      <c r="M76" s="3">
        <v>20.3</v>
      </c>
      <c r="N76" s="3">
        <v>183.60000000000002</v>
      </c>
      <c r="O76" s="3">
        <v>3389</v>
      </c>
      <c r="P76" s="4">
        <v>0</v>
      </c>
      <c r="Q76" s="3">
        <v>667</v>
      </c>
      <c r="R76" s="3">
        <v>85.2</v>
      </c>
      <c r="S76" s="39">
        <v>1657.133</v>
      </c>
      <c r="T76" s="39">
        <v>1.2944439999999999</v>
      </c>
      <c r="U76" s="12"/>
      <c r="V76" s="3"/>
      <c r="W76" s="3"/>
      <c r="X76" s="3"/>
      <c r="Y76" s="3"/>
      <c r="Z76" s="3"/>
      <c r="AA76" s="3"/>
      <c r="AB76" s="3"/>
      <c r="AC76" s="3"/>
      <c r="AD76" s="3"/>
      <c r="AE76" s="3"/>
      <c r="AF76" s="3"/>
      <c r="AG76" s="3"/>
      <c r="AH76" s="3"/>
      <c r="AI76" s="3"/>
      <c r="AJ76" s="3"/>
      <c r="AK76" s="3"/>
      <c r="AL76" s="3"/>
      <c r="AM76" s="3"/>
      <c r="AN76" s="3"/>
      <c r="AO76" s="3"/>
      <c r="AP76" s="3"/>
      <c r="AQ76" s="3"/>
      <c r="AR76" s="3"/>
      <c r="AS76" s="2"/>
      <c r="AT76" s="3"/>
      <c r="AU76" s="3">
        <v>10633</v>
      </c>
      <c r="AV76" s="3">
        <v>5.9</v>
      </c>
      <c r="AW76" s="3">
        <v>9.5</v>
      </c>
      <c r="AX76" s="4">
        <f t="shared" si="7"/>
        <v>29.070313715161038</v>
      </c>
      <c r="AY76" s="12"/>
      <c r="AZ76" s="12"/>
      <c r="BA76" s="12"/>
      <c r="BB76" s="4">
        <v>45.44</v>
      </c>
      <c r="BC76" s="4">
        <v>48.15</v>
      </c>
      <c r="BD76" s="4">
        <v>46.28</v>
      </c>
      <c r="BE76" s="4"/>
      <c r="BF76" s="4"/>
      <c r="BG76" s="4"/>
      <c r="BH76" s="4"/>
      <c r="BI76" s="4"/>
      <c r="BJ76" s="4"/>
      <c r="BK76" s="12"/>
      <c r="BL76" s="12"/>
      <c r="BM76" s="12"/>
      <c r="BN76" s="3">
        <v>28.4</v>
      </c>
      <c r="BO76" s="3"/>
      <c r="BP76" s="3"/>
      <c r="BQ76" s="3"/>
      <c r="BR76" s="3"/>
      <c r="BS76" s="3"/>
      <c r="BT76" s="3"/>
      <c r="BU76" s="3"/>
      <c r="BV76" s="3"/>
      <c r="BW76" s="3"/>
      <c r="BX76" s="3"/>
      <c r="BY76" s="3"/>
      <c r="BZ76" s="3"/>
      <c r="CA76" s="3"/>
      <c r="CB76" s="3"/>
      <c r="CC76" s="3">
        <f>(6.7+1.5)/2</f>
        <v>4.0999999999999996</v>
      </c>
      <c r="CD76" s="3"/>
      <c r="CE76" s="3"/>
      <c r="CF76" s="3"/>
      <c r="CG76" s="3"/>
      <c r="CH76" s="3"/>
      <c r="CI76" s="3"/>
      <c r="CJ76" s="3"/>
      <c r="CK76" s="3"/>
      <c r="CL76" s="2" t="s">
        <v>110</v>
      </c>
      <c r="CM76" s="7" t="s">
        <v>35</v>
      </c>
      <c r="CN76" s="8" t="s">
        <v>57</v>
      </c>
      <c r="CO76" s="11" t="s">
        <v>85</v>
      </c>
      <c r="CP76"/>
      <c r="CQ76"/>
      <c r="CR76"/>
    </row>
    <row r="77" spans="1:99">
      <c r="A77" s="2" t="s">
        <v>8</v>
      </c>
      <c r="B77" s="2" t="s">
        <v>260</v>
      </c>
      <c r="C77" s="2" t="s">
        <v>70</v>
      </c>
      <c r="D77" s="2" t="s">
        <v>226</v>
      </c>
      <c r="E77" s="2">
        <v>2004</v>
      </c>
      <c r="F77" s="2">
        <v>2007</v>
      </c>
      <c r="G77" s="2">
        <v>1</v>
      </c>
      <c r="H77" s="2">
        <v>1</v>
      </c>
      <c r="I77" s="2">
        <v>1</v>
      </c>
      <c r="J77" s="2">
        <v>1</v>
      </c>
      <c r="K77" s="2">
        <v>0</v>
      </c>
      <c r="L77" s="2">
        <v>0</v>
      </c>
      <c r="M77" s="4">
        <f>(11+22)/2</f>
        <v>16.5</v>
      </c>
      <c r="N77" s="4">
        <f t="shared" ref="N77:N84" si="8">(M77-5)*12</f>
        <v>138</v>
      </c>
      <c r="O77" s="4">
        <f>(1900+2500)/2</f>
        <v>2200</v>
      </c>
      <c r="P77" s="4">
        <v>0</v>
      </c>
      <c r="Q77" s="3">
        <f>(600+900)/2</f>
        <v>750</v>
      </c>
      <c r="R77" s="39">
        <v>82.666669999999996</v>
      </c>
      <c r="S77" s="39">
        <v>1561.7</v>
      </c>
      <c r="T77" s="39">
        <v>1.2250000000000001</v>
      </c>
      <c r="U77" s="12"/>
      <c r="V77" s="3"/>
      <c r="W77" s="3"/>
      <c r="X77" s="3"/>
      <c r="Y77" s="3"/>
      <c r="Z77" s="3"/>
      <c r="AA77" s="3"/>
      <c r="AB77" s="3"/>
      <c r="AC77" s="3"/>
      <c r="AD77" s="3"/>
      <c r="AE77" s="3"/>
      <c r="AF77" s="3"/>
      <c r="AG77" s="3"/>
      <c r="AH77" s="3"/>
      <c r="AI77" s="3"/>
      <c r="AJ77" s="3"/>
      <c r="AK77" s="3"/>
      <c r="AL77" s="3"/>
      <c r="AM77" s="3"/>
      <c r="AN77" s="3"/>
      <c r="AO77" s="3"/>
      <c r="AP77" s="3"/>
      <c r="AQ77" s="3"/>
      <c r="AR77" s="3"/>
      <c r="AS77" s="2"/>
      <c r="AT77" s="3"/>
      <c r="AU77" s="3">
        <v>6996</v>
      </c>
      <c r="AV77" s="3">
        <v>8.73</v>
      </c>
      <c r="AW77" s="3"/>
      <c r="AX77" s="4">
        <f t="shared" si="7"/>
        <v>41.876287192360493</v>
      </c>
      <c r="AY77" s="12"/>
      <c r="AZ77" s="12"/>
      <c r="BA77" s="12"/>
      <c r="BB77" s="4">
        <v>45.44</v>
      </c>
      <c r="BC77" s="4">
        <v>48.15</v>
      </c>
      <c r="BD77" s="4">
        <v>46.28</v>
      </c>
      <c r="BE77" s="4"/>
      <c r="BF77" s="4"/>
      <c r="BG77" s="4"/>
      <c r="BH77" s="4"/>
      <c r="BI77" s="4"/>
      <c r="BJ77" s="4"/>
      <c r="BK77" s="12">
        <f>3.65*BB77/100</f>
        <v>1.65856</v>
      </c>
      <c r="BL77" s="12">
        <f>11.33*BC77/100</f>
        <v>5.4553949999999993</v>
      </c>
      <c r="BM77" s="12">
        <f>79.42*BD77/100</f>
        <v>36.755575999999998</v>
      </c>
      <c r="BN77" s="3">
        <f>BK77+BL77+BM77</f>
        <v>43.869530999999995</v>
      </c>
      <c r="BO77" s="3"/>
      <c r="BP77" s="3"/>
      <c r="BQ77" s="3"/>
      <c r="BR77" s="3"/>
      <c r="BS77" s="3"/>
      <c r="BT77" s="3"/>
      <c r="BU77" s="3"/>
      <c r="BV77" s="3"/>
      <c r="BW77" s="3"/>
      <c r="BX77" s="3"/>
      <c r="BY77" s="3"/>
      <c r="BZ77" s="3"/>
      <c r="CA77" s="3"/>
      <c r="CB77" s="3"/>
      <c r="CC77" s="3"/>
      <c r="CD77" s="3"/>
      <c r="CE77" s="3"/>
      <c r="CF77" s="3"/>
      <c r="CG77" s="3"/>
      <c r="CH77" s="3"/>
      <c r="CI77" s="3"/>
      <c r="CJ77" s="3"/>
      <c r="CK77" s="3"/>
      <c r="CL77" s="2" t="s">
        <v>271</v>
      </c>
      <c r="CM77" s="7" t="s">
        <v>35</v>
      </c>
      <c r="CN77" s="8" t="s">
        <v>58</v>
      </c>
      <c r="CO77" s="11" t="s">
        <v>85</v>
      </c>
    </row>
    <row r="78" spans="1:99">
      <c r="A78" s="2" t="s">
        <v>8</v>
      </c>
      <c r="B78" s="2" t="s">
        <v>261</v>
      </c>
      <c r="C78" s="2" t="s">
        <v>70</v>
      </c>
      <c r="D78" s="2" t="s">
        <v>227</v>
      </c>
      <c r="E78" s="2">
        <v>2004</v>
      </c>
      <c r="F78" s="2">
        <v>2007</v>
      </c>
      <c r="G78" s="2">
        <v>1</v>
      </c>
      <c r="H78" s="2">
        <v>1</v>
      </c>
      <c r="I78" s="2">
        <v>1</v>
      </c>
      <c r="J78" s="2">
        <v>1</v>
      </c>
      <c r="K78" s="2">
        <v>0</v>
      </c>
      <c r="L78" s="2">
        <v>0</v>
      </c>
      <c r="M78" s="4">
        <f>(11+22)/2</f>
        <v>16.5</v>
      </c>
      <c r="N78" s="4">
        <f t="shared" si="8"/>
        <v>138</v>
      </c>
      <c r="O78" s="4">
        <f>(1900+2500)/2</f>
        <v>2200</v>
      </c>
      <c r="P78" s="4">
        <v>0</v>
      </c>
      <c r="Q78" s="3">
        <f>(900+1200)/2</f>
        <v>1050</v>
      </c>
      <c r="R78" s="39">
        <v>82.666669999999996</v>
      </c>
      <c r="S78" s="39">
        <v>1561.7</v>
      </c>
      <c r="T78" s="39">
        <v>1.2250000000000001</v>
      </c>
      <c r="U78" s="12"/>
      <c r="V78" s="3"/>
      <c r="W78" s="3"/>
      <c r="X78" s="3"/>
      <c r="Y78" s="3"/>
      <c r="Z78" s="3"/>
      <c r="AA78" s="3"/>
      <c r="AB78" s="3"/>
      <c r="AC78" s="3"/>
      <c r="AD78" s="3"/>
      <c r="AE78" s="3"/>
      <c r="AF78" s="3"/>
      <c r="AG78" s="3"/>
      <c r="AH78" s="3"/>
      <c r="AI78" s="3"/>
      <c r="AJ78" s="3"/>
      <c r="AK78" s="3"/>
      <c r="AL78" s="3"/>
      <c r="AM78" s="3"/>
      <c r="AN78" s="3"/>
      <c r="AO78" s="3"/>
      <c r="AP78" s="3"/>
      <c r="AQ78" s="3"/>
      <c r="AR78" s="3"/>
      <c r="AS78" s="2"/>
      <c r="AT78" s="3"/>
      <c r="AU78" s="3">
        <v>7188</v>
      </c>
      <c r="AV78" s="3">
        <v>8.8699999999999992</v>
      </c>
      <c r="AW78" s="3"/>
      <c r="AX78" s="4">
        <f t="shared" si="7"/>
        <v>44.41658755718521</v>
      </c>
      <c r="AY78" s="12"/>
      <c r="AZ78" s="12"/>
      <c r="BA78" s="12"/>
      <c r="BB78" s="4">
        <v>45.44</v>
      </c>
      <c r="BC78" s="4">
        <v>48.15</v>
      </c>
      <c r="BD78" s="4">
        <v>46.28</v>
      </c>
      <c r="BE78" s="4"/>
      <c r="BF78" s="4"/>
      <c r="BG78" s="4"/>
      <c r="BH78" s="4"/>
      <c r="BI78" s="4"/>
      <c r="BJ78" s="4"/>
      <c r="BK78" s="12">
        <f>2.89*BB78/100</f>
        <v>1.3132159999999999</v>
      </c>
      <c r="BL78" s="12">
        <f>9.91*BC78/100</f>
        <v>4.7716649999999996</v>
      </c>
      <c r="BM78" s="12">
        <f>67.23*BD78/100</f>
        <v>31.114044000000003</v>
      </c>
      <c r="BN78" s="3">
        <f>BK78+BL78+BM78</f>
        <v>37.198925000000003</v>
      </c>
      <c r="BO78" s="3"/>
      <c r="BP78" s="3"/>
      <c r="BQ78" s="3"/>
      <c r="BR78" s="3"/>
      <c r="BS78" s="3"/>
      <c r="BT78" s="3"/>
      <c r="BU78" s="3"/>
      <c r="BV78" s="3"/>
      <c r="BW78" s="3"/>
      <c r="BX78" s="3"/>
      <c r="BY78" s="3"/>
      <c r="BZ78" s="3"/>
      <c r="CA78" s="3"/>
      <c r="CB78" s="3"/>
      <c r="CC78" s="3"/>
      <c r="CD78" s="3"/>
      <c r="CE78" s="3"/>
      <c r="CF78" s="3"/>
      <c r="CG78" s="3"/>
      <c r="CH78" s="3"/>
      <c r="CI78" s="3"/>
      <c r="CJ78" s="3"/>
      <c r="CK78" s="3"/>
      <c r="CL78" s="2" t="s">
        <v>26</v>
      </c>
      <c r="CM78" s="7" t="s">
        <v>35</v>
      </c>
      <c r="CN78" s="8" t="s">
        <v>58</v>
      </c>
      <c r="CO78" s="11" t="s">
        <v>85</v>
      </c>
    </row>
    <row r="79" spans="1:99">
      <c r="A79" s="2" t="s">
        <v>8</v>
      </c>
      <c r="B79" s="2" t="s">
        <v>9</v>
      </c>
      <c r="C79" s="2" t="s">
        <v>119</v>
      </c>
      <c r="D79" s="2" t="s">
        <v>218</v>
      </c>
      <c r="E79" s="2">
        <v>2008</v>
      </c>
      <c r="F79" s="2">
        <v>2009</v>
      </c>
      <c r="G79" s="2">
        <v>1</v>
      </c>
      <c r="H79" s="2">
        <v>1</v>
      </c>
      <c r="I79" s="2">
        <v>0</v>
      </c>
      <c r="J79" s="2">
        <v>1</v>
      </c>
      <c r="K79" s="2">
        <v>0</v>
      </c>
      <c r="L79" s="2">
        <v>0</v>
      </c>
      <c r="M79" s="3">
        <v>23</v>
      </c>
      <c r="N79" s="4">
        <f t="shared" si="8"/>
        <v>216</v>
      </c>
      <c r="O79" s="3">
        <v>2600</v>
      </c>
      <c r="P79" s="4">
        <v>0</v>
      </c>
      <c r="Q79" s="3">
        <v>1135</v>
      </c>
      <c r="R79" s="39">
        <v>81.458330000000004</v>
      </c>
      <c r="S79" s="39">
        <v>1222</v>
      </c>
      <c r="T79" s="39">
        <v>0.65833299999999995</v>
      </c>
      <c r="U79" s="12"/>
      <c r="V79" s="3"/>
      <c r="W79" s="3"/>
      <c r="X79" s="3"/>
      <c r="Y79" s="3"/>
      <c r="Z79" s="3"/>
      <c r="AA79" s="3"/>
      <c r="AB79" s="3"/>
      <c r="AC79" s="3"/>
      <c r="AD79" s="3"/>
      <c r="AE79" s="3"/>
      <c r="AF79" s="3"/>
      <c r="AG79" s="3"/>
      <c r="AH79" s="3"/>
      <c r="AI79" s="3"/>
      <c r="AJ79" s="3"/>
      <c r="AK79" s="3"/>
      <c r="AL79" s="3"/>
      <c r="AM79" s="3"/>
      <c r="AN79" s="3"/>
      <c r="AO79" s="3"/>
      <c r="AP79" s="3"/>
      <c r="AQ79" s="3"/>
      <c r="AR79" s="3"/>
      <c r="AS79" s="2"/>
      <c r="AT79" s="3"/>
      <c r="AU79" s="3">
        <v>5167</v>
      </c>
      <c r="AV79" s="3">
        <v>8.9</v>
      </c>
      <c r="AW79" s="3">
        <v>12.6</v>
      </c>
      <c r="AX79" s="4">
        <f t="shared" si="7"/>
        <v>32.144624449685232</v>
      </c>
      <c r="AY79" s="12"/>
      <c r="AZ79" s="12"/>
      <c r="BA79" s="12"/>
      <c r="BB79" s="3"/>
      <c r="BC79" s="3"/>
      <c r="BD79" s="3"/>
      <c r="BE79" s="3"/>
      <c r="BF79" s="3"/>
      <c r="BG79" s="3"/>
      <c r="BH79" s="3"/>
      <c r="BI79" s="3"/>
      <c r="BJ79" s="3"/>
      <c r="BK79" s="4">
        <f>2.8*0.5</f>
        <v>1.4</v>
      </c>
      <c r="BL79" s="4">
        <f>9.7*0.5</f>
        <v>4.8499999999999996</v>
      </c>
      <c r="BM79" s="4">
        <f>61*0.5</f>
        <v>30.5</v>
      </c>
      <c r="BN79" s="4">
        <f>SUM(BK79:BM79)</f>
        <v>36.75</v>
      </c>
      <c r="BO79" s="3">
        <f>BS79/BN79</f>
        <v>1.2394557823129251</v>
      </c>
      <c r="BP79" s="4">
        <f>6.2*0.5</f>
        <v>3.1</v>
      </c>
      <c r="BQ79" s="4">
        <f>64.5*0.5</f>
        <v>32.25</v>
      </c>
      <c r="BR79" s="4">
        <f>20.4*0.5</f>
        <v>10.199999999999999</v>
      </c>
      <c r="BS79" s="4">
        <f>SUM(BP79:BR79)</f>
        <v>45.55</v>
      </c>
      <c r="BT79" s="4">
        <f>BS79+BN79</f>
        <v>82.3</v>
      </c>
      <c r="BU79" s="4"/>
      <c r="BV79" s="3"/>
      <c r="BW79" s="3"/>
      <c r="BX79" s="3"/>
      <c r="BY79" s="4">
        <f>0.3*0.5</f>
        <v>0.15</v>
      </c>
      <c r="BZ79" s="4">
        <f>1.2*0.5</f>
        <v>0.6</v>
      </c>
      <c r="CA79" s="4">
        <f>7.8*0.5</f>
        <v>3.9</v>
      </c>
      <c r="CB79" s="3"/>
      <c r="CC79" s="4">
        <f>SUM(BY79:CB79)</f>
        <v>4.6500000000000004</v>
      </c>
      <c r="CD79" s="3"/>
      <c r="CE79" s="3"/>
      <c r="CF79" s="3"/>
      <c r="CG79" s="3"/>
      <c r="CH79" s="3"/>
      <c r="CI79" s="3"/>
      <c r="CJ79" s="3"/>
      <c r="CK79" s="3"/>
      <c r="CL79" s="2" t="s">
        <v>128</v>
      </c>
      <c r="CM79" s="7" t="s">
        <v>35</v>
      </c>
      <c r="CN79" s="8" t="s">
        <v>54</v>
      </c>
      <c r="CO79" s="11" t="s">
        <v>85</v>
      </c>
    </row>
    <row r="80" spans="1:99">
      <c r="A80" s="2" t="s">
        <v>8</v>
      </c>
      <c r="B80" s="2" t="s">
        <v>9</v>
      </c>
      <c r="C80" s="2" t="s">
        <v>118</v>
      </c>
      <c r="D80" s="2" t="s">
        <v>219</v>
      </c>
      <c r="E80" s="2">
        <v>2008</v>
      </c>
      <c r="F80" s="2">
        <v>2009</v>
      </c>
      <c r="G80" s="2">
        <v>1</v>
      </c>
      <c r="H80" s="2">
        <v>1</v>
      </c>
      <c r="I80" s="2">
        <v>0</v>
      </c>
      <c r="J80" s="2">
        <v>1</v>
      </c>
      <c r="K80" s="2">
        <v>0</v>
      </c>
      <c r="L80" s="2">
        <v>0</v>
      </c>
      <c r="M80" s="3">
        <v>23</v>
      </c>
      <c r="N80" s="4">
        <f t="shared" si="8"/>
        <v>216</v>
      </c>
      <c r="O80" s="3">
        <v>2600</v>
      </c>
      <c r="P80" s="4">
        <v>0</v>
      </c>
      <c r="Q80" s="3">
        <v>1135</v>
      </c>
      <c r="R80" s="39">
        <v>81.458330000000004</v>
      </c>
      <c r="S80" s="39">
        <v>1222</v>
      </c>
      <c r="T80" s="39">
        <v>0.65833299999999995</v>
      </c>
      <c r="U80" s="12"/>
      <c r="V80" s="3"/>
      <c r="W80" s="3"/>
      <c r="X80" s="3"/>
      <c r="Y80" s="3"/>
      <c r="Z80" s="3"/>
      <c r="AA80" s="3"/>
      <c r="AB80" s="3"/>
      <c r="AC80" s="3"/>
      <c r="AD80" s="3"/>
      <c r="AE80" s="3"/>
      <c r="AF80" s="3"/>
      <c r="AG80" s="3"/>
      <c r="AH80" s="3"/>
      <c r="AI80" s="3"/>
      <c r="AJ80" s="3"/>
      <c r="AK80" s="3"/>
      <c r="AL80" s="3"/>
      <c r="AM80" s="3"/>
      <c r="AN80" s="3"/>
      <c r="AO80" s="3"/>
      <c r="AP80" s="3"/>
      <c r="AQ80" s="3"/>
      <c r="AR80" s="3"/>
      <c r="AS80" s="2"/>
      <c r="AT80" s="3"/>
      <c r="AU80" s="3">
        <v>5733</v>
      </c>
      <c r="AV80" s="3">
        <v>9.1</v>
      </c>
      <c r="AW80" s="3">
        <v>13.2</v>
      </c>
      <c r="AX80" s="4">
        <f t="shared" si="7"/>
        <v>37.286756601543445</v>
      </c>
      <c r="AY80" s="12"/>
      <c r="AZ80" s="12"/>
      <c r="BA80" s="12"/>
      <c r="BB80" s="3"/>
      <c r="BC80" s="3"/>
      <c r="BD80" s="3"/>
      <c r="BE80" s="3"/>
      <c r="BF80" s="3"/>
      <c r="BG80" s="3"/>
      <c r="BH80" s="3"/>
      <c r="BI80" s="3"/>
      <c r="BJ80" s="3"/>
      <c r="BK80" s="4">
        <f>3.2*0.5</f>
        <v>1.6</v>
      </c>
      <c r="BL80" s="4">
        <f>10.8*0.5</f>
        <v>5.4</v>
      </c>
      <c r="BM80" s="4">
        <f>69.9*0.5</f>
        <v>34.950000000000003</v>
      </c>
      <c r="BN80" s="4">
        <f>SUM(BK80:BM80)</f>
        <v>41.95</v>
      </c>
      <c r="BO80" s="3">
        <f>BS80/BN80</f>
        <v>1.1108462455303934</v>
      </c>
      <c r="BP80" s="4">
        <f>6.1*0.5</f>
        <v>3.05</v>
      </c>
      <c r="BQ80" s="4">
        <f>63.4*0.5</f>
        <v>31.7</v>
      </c>
      <c r="BR80" s="4">
        <f>23.7*0.5</f>
        <v>11.85</v>
      </c>
      <c r="BS80" s="4">
        <f>SUM(BP80:BR80)</f>
        <v>46.6</v>
      </c>
      <c r="BT80" s="4">
        <f>BS80+BN80</f>
        <v>88.550000000000011</v>
      </c>
      <c r="BU80" s="4"/>
      <c r="BV80" s="3"/>
      <c r="BW80" s="3"/>
      <c r="BX80" s="3"/>
      <c r="BY80" s="4">
        <f>0.2*0.5</f>
        <v>0.1</v>
      </c>
      <c r="BZ80" s="4">
        <f>0.9*0.5</f>
        <v>0.45</v>
      </c>
      <c r="CA80" s="4">
        <f>5.8*0.5</f>
        <v>2.9</v>
      </c>
      <c r="CB80" s="3"/>
      <c r="CC80" s="4">
        <f>SUM(BY80:CB80)</f>
        <v>3.45</v>
      </c>
      <c r="CD80" s="3"/>
      <c r="CE80" s="3"/>
      <c r="CF80" s="3"/>
      <c r="CG80" s="3"/>
      <c r="CH80" s="3"/>
      <c r="CI80" s="3"/>
      <c r="CJ80" s="3"/>
      <c r="CK80" s="3"/>
      <c r="CL80" s="2" t="s">
        <v>128</v>
      </c>
      <c r="CM80" s="7" t="s">
        <v>35</v>
      </c>
      <c r="CN80" s="8" t="s">
        <v>54</v>
      </c>
      <c r="CO80" s="11" t="s">
        <v>85</v>
      </c>
    </row>
    <row r="81" spans="1:96">
      <c r="A81" s="2" t="s">
        <v>8</v>
      </c>
      <c r="B81" s="2" t="s">
        <v>700</v>
      </c>
      <c r="C81" s="2" t="s">
        <v>704</v>
      </c>
      <c r="D81" s="2" t="s">
        <v>701</v>
      </c>
      <c r="E81" s="2">
        <v>2008</v>
      </c>
      <c r="F81" s="2">
        <v>2008</v>
      </c>
      <c r="G81" s="2">
        <v>1</v>
      </c>
      <c r="H81" s="2">
        <v>1</v>
      </c>
      <c r="I81" s="2">
        <v>0</v>
      </c>
      <c r="J81" s="2">
        <v>1</v>
      </c>
      <c r="K81" s="2">
        <v>0</v>
      </c>
      <c r="L81" s="2">
        <v>0</v>
      </c>
      <c r="M81" s="3">
        <v>15.3</v>
      </c>
      <c r="N81" s="4">
        <f t="shared" si="8"/>
        <v>123.60000000000001</v>
      </c>
      <c r="O81" s="3">
        <v>1558</v>
      </c>
      <c r="P81" s="4">
        <v>0</v>
      </c>
      <c r="Q81" s="3">
        <v>769</v>
      </c>
      <c r="R81" s="39">
        <v>82.666669999999996</v>
      </c>
      <c r="S81" s="39">
        <v>1561.7</v>
      </c>
      <c r="T81" s="39">
        <v>1.2250000000000001</v>
      </c>
      <c r="U81" s="12"/>
      <c r="V81" s="3"/>
      <c r="W81" s="3"/>
      <c r="X81" s="3"/>
      <c r="Y81" s="3"/>
      <c r="Z81" s="3"/>
      <c r="AA81" s="3"/>
      <c r="AB81" s="3"/>
      <c r="AC81" s="3"/>
      <c r="AD81" s="3"/>
      <c r="AE81" s="3"/>
      <c r="AF81" s="3"/>
      <c r="AG81" s="3"/>
      <c r="AH81" s="3"/>
      <c r="AI81" s="3"/>
      <c r="AJ81" s="3"/>
      <c r="AK81" s="3"/>
      <c r="AL81" s="3"/>
      <c r="AM81" s="3"/>
      <c r="AN81" s="3"/>
      <c r="AO81" s="3"/>
      <c r="AP81" s="3"/>
      <c r="AQ81" s="3"/>
      <c r="AR81" s="3"/>
      <c r="AS81" s="2"/>
      <c r="AT81" s="3"/>
      <c r="AU81" s="3">
        <v>5733</v>
      </c>
      <c r="AV81" s="3">
        <v>6.3</v>
      </c>
      <c r="AW81" s="3"/>
      <c r="AX81" s="4">
        <f t="shared" si="7"/>
        <v>17.871167365236797</v>
      </c>
      <c r="AY81" s="12"/>
      <c r="AZ81" s="12"/>
      <c r="BA81" s="12"/>
      <c r="BB81" s="3"/>
      <c r="BC81" s="3"/>
      <c r="BD81" s="3"/>
      <c r="BE81" s="3"/>
      <c r="BF81" s="3"/>
      <c r="BG81" s="3"/>
      <c r="BH81" s="3"/>
      <c r="BI81" s="3"/>
      <c r="BJ81" s="3"/>
      <c r="BK81" s="12"/>
      <c r="BL81" s="12"/>
      <c r="BM81" s="12"/>
      <c r="BN81" s="12">
        <v>38.4</v>
      </c>
      <c r="BO81" s="12"/>
      <c r="BP81" s="12"/>
      <c r="BQ81" s="12"/>
      <c r="BR81" s="12"/>
      <c r="BS81" s="12"/>
      <c r="BT81" s="12"/>
      <c r="BU81" s="12"/>
      <c r="BV81" s="3"/>
      <c r="BW81" s="3"/>
      <c r="BX81" s="12"/>
      <c r="BY81" s="12"/>
      <c r="BZ81" s="12"/>
      <c r="CA81" s="12"/>
      <c r="CB81" s="3"/>
      <c r="CC81" s="12"/>
      <c r="CD81" s="3"/>
      <c r="CE81" s="3"/>
      <c r="CF81" s="3"/>
      <c r="CG81" s="3"/>
      <c r="CH81" s="3"/>
      <c r="CI81" s="3"/>
      <c r="CJ81" s="3"/>
      <c r="CK81" s="3"/>
      <c r="CL81" s="2" t="s">
        <v>699</v>
      </c>
      <c r="CM81" s="7" t="s">
        <v>35</v>
      </c>
      <c r="CN81" s="8" t="s">
        <v>698</v>
      </c>
      <c r="CO81" s="11" t="s">
        <v>697</v>
      </c>
    </row>
    <row r="82" spans="1:96">
      <c r="A82" s="2" t="s">
        <v>8</v>
      </c>
      <c r="B82" s="2" t="s">
        <v>700</v>
      </c>
      <c r="C82" s="2" t="s">
        <v>703</v>
      </c>
      <c r="D82" s="2" t="s">
        <v>702</v>
      </c>
      <c r="E82" s="2">
        <v>2008</v>
      </c>
      <c r="F82" s="2">
        <v>2014</v>
      </c>
      <c r="G82" s="2">
        <v>0</v>
      </c>
      <c r="H82" s="2">
        <v>0</v>
      </c>
      <c r="I82" s="2">
        <v>0</v>
      </c>
      <c r="J82" s="2">
        <v>0</v>
      </c>
      <c r="K82" s="2">
        <v>0</v>
      </c>
      <c r="L82" s="2">
        <v>0</v>
      </c>
      <c r="M82" s="3">
        <v>15.3</v>
      </c>
      <c r="N82" s="4">
        <f t="shared" si="8"/>
        <v>123.60000000000001</v>
      </c>
      <c r="O82" s="3">
        <v>1558</v>
      </c>
      <c r="P82" s="4">
        <v>0</v>
      </c>
      <c r="Q82" s="3">
        <v>769</v>
      </c>
      <c r="R82" s="39">
        <v>82.666669999999996</v>
      </c>
      <c r="S82" s="39">
        <v>1561.7</v>
      </c>
      <c r="T82" s="39">
        <v>1.2250000000000001</v>
      </c>
      <c r="U82" s="12"/>
      <c r="V82" s="3"/>
      <c r="W82" s="3"/>
      <c r="X82" s="3"/>
      <c r="Y82" s="3"/>
      <c r="Z82" s="3"/>
      <c r="AA82" s="3"/>
      <c r="AB82" s="3"/>
      <c r="AC82" s="3"/>
      <c r="AD82" s="3"/>
      <c r="AE82" s="3"/>
      <c r="AF82" s="3"/>
      <c r="AG82" s="3"/>
      <c r="AH82" s="3"/>
      <c r="AI82" s="3"/>
      <c r="AJ82" s="3"/>
      <c r="AK82" s="3"/>
      <c r="AL82" s="3"/>
      <c r="AM82" s="3"/>
      <c r="AN82" s="3"/>
      <c r="AO82" s="3"/>
      <c r="AP82" s="3"/>
      <c r="AQ82" s="3"/>
      <c r="AR82" s="3"/>
      <c r="AS82" s="2"/>
      <c r="AT82" s="3"/>
      <c r="AU82" s="3">
        <v>13067</v>
      </c>
      <c r="AV82" s="3">
        <v>5.5</v>
      </c>
      <c r="AW82" s="3"/>
      <c r="AX82" s="4">
        <f t="shared" si="7"/>
        <v>31.044963348371233</v>
      </c>
      <c r="AY82" s="12"/>
      <c r="AZ82" s="12"/>
      <c r="BA82" s="12"/>
      <c r="BB82" s="3"/>
      <c r="BC82" s="3"/>
      <c r="BD82" s="3"/>
      <c r="BE82" s="3"/>
      <c r="BF82" s="3"/>
      <c r="BG82" s="3"/>
      <c r="BH82" s="3"/>
      <c r="BI82" s="3"/>
      <c r="BJ82" s="3"/>
      <c r="BK82" s="12"/>
      <c r="BL82" s="12"/>
      <c r="BM82" s="12"/>
      <c r="BN82" s="12">
        <v>60.4</v>
      </c>
      <c r="BO82" s="12"/>
      <c r="BP82" s="12"/>
      <c r="BQ82" s="12"/>
      <c r="BR82" s="12"/>
      <c r="BS82" s="12"/>
      <c r="BT82" s="12"/>
      <c r="BU82" s="12"/>
      <c r="BV82" s="3"/>
      <c r="BW82" s="3"/>
      <c r="BX82" s="12"/>
      <c r="BY82" s="12"/>
      <c r="BZ82" s="12"/>
      <c r="CA82" s="12"/>
      <c r="CB82" s="3"/>
      <c r="CC82" s="12">
        <f>((51.7-53.2)+(53.2-60.4)+(60.4-59.2)+(59.2-49.8)+(49.8-46.7)+(46.7-38.4))/6</f>
        <v>2.2166666666666672</v>
      </c>
      <c r="CD82" s="3"/>
      <c r="CE82" s="3"/>
      <c r="CF82" s="3"/>
      <c r="CG82" s="3"/>
      <c r="CH82" s="3"/>
      <c r="CI82" s="3"/>
      <c r="CJ82" s="3"/>
      <c r="CK82" s="3"/>
      <c r="CL82" s="2" t="s">
        <v>699</v>
      </c>
      <c r="CM82" s="7" t="s">
        <v>35</v>
      </c>
      <c r="CN82" s="8" t="s">
        <v>698</v>
      </c>
      <c r="CO82" s="11" t="s">
        <v>697</v>
      </c>
    </row>
    <row r="83" spans="1:96">
      <c r="A83" s="2" t="s">
        <v>8</v>
      </c>
      <c r="B83" s="2" t="s">
        <v>16</v>
      </c>
      <c r="C83" s="2" t="s">
        <v>706</v>
      </c>
      <c r="D83" s="14" t="s">
        <v>708</v>
      </c>
      <c r="E83" s="2">
        <v>2012</v>
      </c>
      <c r="F83" s="2">
        <v>2012</v>
      </c>
      <c r="G83" s="2">
        <v>1</v>
      </c>
      <c r="H83" s="2">
        <v>1</v>
      </c>
      <c r="I83" s="2">
        <v>1</v>
      </c>
      <c r="J83" s="2">
        <v>0</v>
      </c>
      <c r="K83" s="2">
        <v>0</v>
      </c>
      <c r="L83" s="2">
        <v>0</v>
      </c>
      <c r="M83" s="12">
        <v>17.2</v>
      </c>
      <c r="N83" s="39">
        <f t="shared" si="8"/>
        <v>146.39999999999998</v>
      </c>
      <c r="O83" s="3">
        <v>3030</v>
      </c>
      <c r="P83" s="39">
        <v>0</v>
      </c>
      <c r="Q83" s="38">
        <v>1120</v>
      </c>
      <c r="R83" s="39">
        <v>83.666666666666671</v>
      </c>
      <c r="S83" s="39">
        <v>1388.8000000000002</v>
      </c>
      <c r="T83" s="39">
        <v>1.1000000000000003</v>
      </c>
      <c r="U83" s="12"/>
      <c r="V83" s="3"/>
      <c r="W83" s="3">
        <v>4.0999999999999996</v>
      </c>
      <c r="X83" s="3"/>
      <c r="Y83" s="3"/>
      <c r="Z83" s="3"/>
      <c r="AA83" s="3"/>
      <c r="AB83" s="3"/>
      <c r="AC83" s="3"/>
      <c r="AD83" s="3"/>
      <c r="AE83" s="3"/>
      <c r="AF83" s="3"/>
      <c r="AG83" s="3"/>
      <c r="AH83" s="3"/>
      <c r="AI83" s="3"/>
      <c r="AJ83" s="3"/>
      <c r="AK83" s="3"/>
      <c r="AL83" s="3"/>
      <c r="AM83" s="3"/>
      <c r="AN83" s="3"/>
      <c r="AO83" s="3"/>
      <c r="AP83" s="3"/>
      <c r="AQ83" s="3"/>
      <c r="AR83" s="3"/>
      <c r="AS83" s="2"/>
      <c r="AT83" s="3"/>
      <c r="AU83" s="3">
        <v>3954</v>
      </c>
      <c r="AV83" s="3">
        <v>8.4</v>
      </c>
      <c r="AW83" s="3">
        <v>12</v>
      </c>
      <c r="AX83" s="4">
        <f t="shared" si="7"/>
        <v>21.912156369446688</v>
      </c>
      <c r="AY83" s="12"/>
      <c r="AZ83" s="12"/>
      <c r="BA83" s="12"/>
      <c r="BB83" s="3">
        <v>47.6</v>
      </c>
      <c r="BC83" s="3">
        <v>43.5</v>
      </c>
      <c r="BD83" s="3">
        <v>49.5</v>
      </c>
      <c r="BE83" s="3">
        <v>43.4</v>
      </c>
      <c r="BF83" s="3">
        <v>49.4</v>
      </c>
      <c r="BG83" s="3">
        <v>48.4</v>
      </c>
      <c r="BH83" s="39">
        <v>49.5</v>
      </c>
      <c r="BI83" s="3">
        <v>4.05</v>
      </c>
      <c r="BJ83" s="3">
        <f>(2.57+1.93)/2</f>
        <v>2.25</v>
      </c>
      <c r="BK83" s="12">
        <v>2.06</v>
      </c>
      <c r="BL83" s="12">
        <v>3.73</v>
      </c>
      <c r="BM83" s="12">
        <v>21.47</v>
      </c>
      <c r="BN83" s="3">
        <f>SUM(BK83:BM83)</f>
        <v>27.259999999999998</v>
      </c>
      <c r="BO83" s="12"/>
      <c r="BP83" s="12"/>
      <c r="BQ83" s="12"/>
      <c r="BR83" s="12"/>
      <c r="BS83" s="12"/>
      <c r="BT83" s="12"/>
      <c r="BU83" s="12"/>
      <c r="BV83" s="3"/>
      <c r="BW83" s="3"/>
      <c r="BX83" s="12"/>
      <c r="BY83" s="12">
        <v>0.38</v>
      </c>
      <c r="BZ83" s="12">
        <v>0.69</v>
      </c>
      <c r="CA83" s="12">
        <v>4.05</v>
      </c>
      <c r="CB83" s="3">
        <v>1.99</v>
      </c>
      <c r="CC83" s="3">
        <f>SUM(BY83:CB83)</f>
        <v>7.1099999999999994</v>
      </c>
      <c r="CD83" s="3">
        <v>0.8</v>
      </c>
      <c r="CE83" s="3">
        <v>0.59</v>
      </c>
      <c r="CF83" s="3"/>
      <c r="CG83" s="3">
        <f>SUM(CD83:CF83)</f>
        <v>1.3900000000000001</v>
      </c>
      <c r="CH83" s="3">
        <f>CG83+CC83</f>
        <v>8.5</v>
      </c>
      <c r="CI83" s="3">
        <v>11.21</v>
      </c>
      <c r="CJ83" s="3">
        <v>4.4800000000000004</v>
      </c>
      <c r="CK83" s="3">
        <f>CH83-CJ83</f>
        <v>4.0199999999999996</v>
      </c>
      <c r="CL83" s="2" t="s">
        <v>17</v>
      </c>
      <c r="CM83" s="7" t="s">
        <v>35</v>
      </c>
      <c r="CN83" s="8" t="s">
        <v>55</v>
      </c>
      <c r="CO83" s="11" t="s">
        <v>85</v>
      </c>
    </row>
    <row r="84" spans="1:96">
      <c r="A84" s="2" t="s">
        <v>8</v>
      </c>
      <c r="B84" s="2" t="s">
        <v>16</v>
      </c>
      <c r="C84" s="2" t="s">
        <v>705</v>
      </c>
      <c r="D84" s="14" t="s">
        <v>707</v>
      </c>
      <c r="E84" s="2">
        <v>2012</v>
      </c>
      <c r="F84" s="2">
        <v>2015</v>
      </c>
      <c r="G84" s="2">
        <v>0</v>
      </c>
      <c r="H84" s="2">
        <v>0</v>
      </c>
      <c r="I84" s="2">
        <v>0</v>
      </c>
      <c r="J84" s="2">
        <v>0</v>
      </c>
      <c r="K84" s="2">
        <v>0</v>
      </c>
      <c r="L84" s="2">
        <v>0</v>
      </c>
      <c r="M84" s="3">
        <v>18.600000000000001</v>
      </c>
      <c r="N84" s="39">
        <f t="shared" si="8"/>
        <v>163.20000000000002</v>
      </c>
      <c r="O84" s="3">
        <v>2407</v>
      </c>
      <c r="P84" s="39">
        <v>0</v>
      </c>
      <c r="Q84" s="38">
        <v>1120</v>
      </c>
      <c r="R84" s="39">
        <v>83.104169999999996</v>
      </c>
      <c r="S84" s="39">
        <v>1541.15</v>
      </c>
      <c r="T84" s="39">
        <v>1.077083</v>
      </c>
      <c r="U84" s="12"/>
      <c r="V84" s="3"/>
      <c r="W84" s="3">
        <v>4.0999999999999996</v>
      </c>
      <c r="X84" s="3"/>
      <c r="Y84" s="3"/>
      <c r="Z84" s="3"/>
      <c r="AA84" s="3"/>
      <c r="AB84" s="3"/>
      <c r="AC84" s="3"/>
      <c r="AD84" s="3"/>
      <c r="AE84" s="3"/>
      <c r="AF84" s="3"/>
      <c r="AG84" s="3"/>
      <c r="AH84" s="3"/>
      <c r="AI84" s="3"/>
      <c r="AJ84" s="3"/>
      <c r="AK84" s="3"/>
      <c r="AL84" s="3"/>
      <c r="AM84" s="3"/>
      <c r="AN84" s="3"/>
      <c r="AO84" s="3"/>
      <c r="AP84" s="3"/>
      <c r="AQ84" s="3"/>
      <c r="AR84" s="3"/>
      <c r="AS84" s="2"/>
      <c r="AT84" s="3"/>
      <c r="AU84" s="3">
        <v>6000</v>
      </c>
      <c r="AV84" s="3"/>
      <c r="AW84" s="3"/>
      <c r="AX84" s="12"/>
      <c r="AY84" s="12"/>
      <c r="AZ84" s="12"/>
      <c r="BA84" s="12"/>
      <c r="BB84" s="3">
        <v>47.6</v>
      </c>
      <c r="BC84" s="3">
        <v>43.5</v>
      </c>
      <c r="BD84" s="3">
        <v>49.5</v>
      </c>
      <c r="BE84" s="3">
        <v>43.4</v>
      </c>
      <c r="BF84" s="3">
        <v>49.4</v>
      </c>
      <c r="BG84" s="3">
        <v>48.4</v>
      </c>
      <c r="BH84" s="39">
        <v>49.5</v>
      </c>
      <c r="BI84" s="3">
        <v>4.05</v>
      </c>
      <c r="BJ84" s="3">
        <f>(2.57+1.93)/2</f>
        <v>2.25</v>
      </c>
      <c r="BK84" s="12">
        <v>3.13</v>
      </c>
      <c r="BL84" s="12">
        <v>5.65</v>
      </c>
      <c r="BM84" s="12">
        <v>33.26</v>
      </c>
      <c r="BN84" s="3">
        <f>SUM(BK84:BM84)</f>
        <v>42.04</v>
      </c>
      <c r="BO84" s="3">
        <f>BS84/BN84</f>
        <v>0.80137963843958127</v>
      </c>
      <c r="BP84" s="3">
        <v>6.48</v>
      </c>
      <c r="BQ84" s="3">
        <v>27.21</v>
      </c>
      <c r="BR84" s="3"/>
      <c r="BS84" s="3">
        <f>SUM(BP84:BR84)</f>
        <v>33.69</v>
      </c>
      <c r="BT84" s="3">
        <f>BS84+BN84</f>
        <v>75.72999999999999</v>
      </c>
      <c r="BU84" s="3"/>
      <c r="BV84" s="3">
        <v>70.25</v>
      </c>
      <c r="BW84" s="3"/>
      <c r="BX84" s="3">
        <f>BT84+BV84</f>
        <v>145.97999999999999</v>
      </c>
      <c r="BY84" s="3">
        <v>0.41</v>
      </c>
      <c r="BZ84" s="3">
        <v>0.75</v>
      </c>
      <c r="CA84" s="3">
        <v>4.42</v>
      </c>
      <c r="CB84" s="3">
        <v>2.1800000000000002</v>
      </c>
      <c r="CC84" s="3">
        <f>SUM(BY84:CB84)</f>
        <v>7.76</v>
      </c>
      <c r="CD84" s="3">
        <v>0.71</v>
      </c>
      <c r="CE84" s="3">
        <v>0.4</v>
      </c>
      <c r="CF84" s="3"/>
      <c r="CG84" s="3">
        <f>SUM(CD84:CF84)</f>
        <v>1.1099999999999999</v>
      </c>
      <c r="CH84" s="3">
        <f>CG84+CC84</f>
        <v>8.8699999999999992</v>
      </c>
      <c r="CI84" s="3">
        <v>11.41</v>
      </c>
      <c r="CJ84" s="3">
        <v>4.55</v>
      </c>
      <c r="CK84" s="3">
        <f>CH84-CJ84</f>
        <v>4.3199999999999994</v>
      </c>
      <c r="CL84" s="2" t="s">
        <v>17</v>
      </c>
      <c r="CM84" s="7" t="s">
        <v>35</v>
      </c>
      <c r="CN84" s="8" t="s">
        <v>55</v>
      </c>
      <c r="CO84" s="11" t="s">
        <v>85</v>
      </c>
    </row>
    <row r="85" spans="1:96">
      <c r="A85" s="24" t="s">
        <v>293</v>
      </c>
      <c r="B85" s="24"/>
      <c r="C85" s="24"/>
      <c r="D85" s="25"/>
      <c r="E85" s="24">
        <f>COUNT(E4:E84)/80</f>
        <v>1.0125</v>
      </c>
      <c r="F85" s="24">
        <f t="shared" ref="F85:BT85" si="9">COUNT(F4:F84)/80</f>
        <v>1.0125</v>
      </c>
      <c r="G85" s="24">
        <f t="shared" si="9"/>
        <v>1.0125</v>
      </c>
      <c r="H85" s="24">
        <f t="shared" si="9"/>
        <v>1.0125</v>
      </c>
      <c r="I85" s="24">
        <f t="shared" si="9"/>
        <v>1.0125</v>
      </c>
      <c r="J85" s="24">
        <f t="shared" si="9"/>
        <v>1.0125</v>
      </c>
      <c r="K85" s="24">
        <f t="shared" si="9"/>
        <v>1.0125</v>
      </c>
      <c r="L85" s="24">
        <f t="shared" si="9"/>
        <v>1</v>
      </c>
      <c r="M85" s="24">
        <f t="shared" si="9"/>
        <v>1.0125</v>
      </c>
      <c r="N85" s="24">
        <f t="shared" si="9"/>
        <v>1.0125</v>
      </c>
      <c r="O85" s="24">
        <f t="shared" si="9"/>
        <v>1</v>
      </c>
      <c r="P85" s="24">
        <f t="shared" si="9"/>
        <v>0.625</v>
      </c>
      <c r="Q85" s="24">
        <f t="shared" si="9"/>
        <v>0.875</v>
      </c>
      <c r="R85" s="24">
        <f t="shared" si="9"/>
        <v>0.625</v>
      </c>
      <c r="S85" s="24">
        <f t="shared" si="9"/>
        <v>0.71250000000000002</v>
      </c>
      <c r="T85" s="24">
        <f t="shared" si="9"/>
        <v>0.63749999999999996</v>
      </c>
      <c r="U85" s="24">
        <f t="shared" si="9"/>
        <v>3.7499999999999999E-2</v>
      </c>
      <c r="V85" s="24">
        <f t="shared" si="9"/>
        <v>3.7499999999999999E-2</v>
      </c>
      <c r="W85" s="24">
        <f t="shared" si="9"/>
        <v>0.15</v>
      </c>
      <c r="X85" s="24">
        <f t="shared" si="9"/>
        <v>0.1125</v>
      </c>
      <c r="Y85" s="24">
        <f t="shared" si="9"/>
        <v>0.05</v>
      </c>
      <c r="Z85" s="24">
        <f t="shared" si="9"/>
        <v>0.05</v>
      </c>
      <c r="AA85" s="24">
        <f t="shared" si="9"/>
        <v>7.4999999999999997E-2</v>
      </c>
      <c r="AB85" s="24">
        <f t="shared" si="9"/>
        <v>3.7499999999999999E-2</v>
      </c>
      <c r="AC85" s="24">
        <f t="shared" si="9"/>
        <v>0.05</v>
      </c>
      <c r="AD85" s="24">
        <f t="shared" si="9"/>
        <v>6.25E-2</v>
      </c>
      <c r="AE85" s="24">
        <f t="shared" si="9"/>
        <v>6.25E-2</v>
      </c>
      <c r="AF85" s="24">
        <f t="shared" si="9"/>
        <v>6.25E-2</v>
      </c>
      <c r="AG85" s="24"/>
      <c r="AH85" s="24"/>
      <c r="AI85" s="24"/>
      <c r="AJ85" s="24">
        <f t="shared" si="9"/>
        <v>2.5000000000000001E-2</v>
      </c>
      <c r="AK85" s="24">
        <f t="shared" si="9"/>
        <v>2.5000000000000001E-2</v>
      </c>
      <c r="AL85" s="24">
        <f t="shared" si="9"/>
        <v>2.5000000000000001E-2</v>
      </c>
      <c r="AM85" s="24">
        <f t="shared" si="9"/>
        <v>2.5000000000000001E-2</v>
      </c>
      <c r="AN85" s="24">
        <f t="shared" si="9"/>
        <v>2.5000000000000001E-2</v>
      </c>
      <c r="AO85" s="24">
        <f t="shared" si="9"/>
        <v>6.25E-2</v>
      </c>
      <c r="AP85" s="24">
        <f t="shared" si="9"/>
        <v>3.7499999999999999E-2</v>
      </c>
      <c r="AQ85" s="24">
        <f t="shared" si="9"/>
        <v>1.2500000000000001E-2</v>
      </c>
      <c r="AR85" s="24">
        <f t="shared" si="9"/>
        <v>2.5000000000000001E-2</v>
      </c>
      <c r="AS85" s="24">
        <f t="shared" si="9"/>
        <v>2.5000000000000001E-2</v>
      </c>
      <c r="AT85" s="24">
        <f t="shared" si="9"/>
        <v>6.25E-2</v>
      </c>
      <c r="AU85" s="24">
        <f t="shared" si="9"/>
        <v>0.82499999999999996</v>
      </c>
      <c r="AV85" s="24">
        <f t="shared" si="9"/>
        <v>0.75</v>
      </c>
      <c r="AW85" s="24">
        <f t="shared" si="9"/>
        <v>0.36249999999999999</v>
      </c>
      <c r="AX85" s="24">
        <f t="shared" si="9"/>
        <v>0.71250000000000002</v>
      </c>
      <c r="AY85" s="24">
        <f t="shared" si="9"/>
        <v>3.7499999999999999E-2</v>
      </c>
      <c r="AZ85" s="24">
        <f t="shared" si="9"/>
        <v>6.25E-2</v>
      </c>
      <c r="BA85" s="24">
        <f t="shared" si="9"/>
        <v>6.25E-2</v>
      </c>
      <c r="BB85" s="24">
        <f t="shared" si="9"/>
        <v>0.1875</v>
      </c>
      <c r="BC85" s="24">
        <f t="shared" si="9"/>
        <v>0.1875</v>
      </c>
      <c r="BD85" s="24">
        <f t="shared" si="9"/>
        <v>0.1875</v>
      </c>
      <c r="BE85" s="24">
        <f t="shared" si="9"/>
        <v>0.1</v>
      </c>
      <c r="BF85" s="24">
        <f t="shared" si="9"/>
        <v>3.7499999999999999E-2</v>
      </c>
      <c r="BG85" s="24">
        <f t="shared" si="9"/>
        <v>0.1</v>
      </c>
      <c r="BH85" s="24">
        <f t="shared" si="9"/>
        <v>2.5000000000000001E-2</v>
      </c>
      <c r="BI85" s="24">
        <f t="shared" si="9"/>
        <v>0.1</v>
      </c>
      <c r="BJ85" s="24">
        <f t="shared" si="9"/>
        <v>0.1</v>
      </c>
      <c r="BK85" s="24">
        <f t="shared" si="9"/>
        <v>0.46250000000000002</v>
      </c>
      <c r="BL85" s="24">
        <f t="shared" si="9"/>
        <v>0.58750000000000002</v>
      </c>
      <c r="BM85" s="24">
        <f t="shared" si="9"/>
        <v>0.625</v>
      </c>
      <c r="BN85" s="24">
        <f t="shared" si="9"/>
        <v>0.96250000000000002</v>
      </c>
      <c r="BO85" s="24">
        <f t="shared" si="9"/>
        <v>0.4375</v>
      </c>
      <c r="BP85" s="24">
        <f t="shared" si="9"/>
        <v>0.4</v>
      </c>
      <c r="BQ85" s="24">
        <f t="shared" si="9"/>
        <v>0.32500000000000001</v>
      </c>
      <c r="BR85" s="24">
        <f t="shared" si="9"/>
        <v>0.22500000000000001</v>
      </c>
      <c r="BS85" s="24">
        <f t="shared" si="9"/>
        <v>0.48749999999999999</v>
      </c>
      <c r="BT85" s="24">
        <f t="shared" si="9"/>
        <v>0.5</v>
      </c>
      <c r="BU85" s="24">
        <f t="shared" ref="BU85:CK85" si="10">COUNT(BU4:BU84)/80</f>
        <v>1.2500000000000001E-2</v>
      </c>
      <c r="BV85" s="24">
        <f t="shared" si="10"/>
        <v>0.25</v>
      </c>
      <c r="BW85" s="24">
        <f t="shared" si="10"/>
        <v>1.2500000000000001E-2</v>
      </c>
      <c r="BX85" s="24">
        <f t="shared" si="10"/>
        <v>0.23749999999999999</v>
      </c>
      <c r="BY85" s="24">
        <f t="shared" si="10"/>
        <v>0.21249999999999999</v>
      </c>
      <c r="BZ85" s="24">
        <f t="shared" si="10"/>
        <v>0.25</v>
      </c>
      <c r="CA85" s="24">
        <f t="shared" si="10"/>
        <v>0.27500000000000002</v>
      </c>
      <c r="CB85" s="24">
        <f t="shared" si="10"/>
        <v>0.3125</v>
      </c>
      <c r="CC85" s="24">
        <f t="shared" si="10"/>
        <v>0.41249999999999998</v>
      </c>
      <c r="CD85" s="24">
        <f t="shared" si="10"/>
        <v>8.7499999999999994E-2</v>
      </c>
      <c r="CE85" s="24">
        <f t="shared" si="10"/>
        <v>6.25E-2</v>
      </c>
      <c r="CF85" s="24">
        <f t="shared" si="10"/>
        <v>1.2500000000000001E-2</v>
      </c>
      <c r="CG85" s="24">
        <f t="shared" si="10"/>
        <v>0.13750000000000001</v>
      </c>
      <c r="CH85" s="24">
        <f t="shared" si="10"/>
        <v>0.13750000000000001</v>
      </c>
      <c r="CI85" s="24">
        <f t="shared" si="10"/>
        <v>0.05</v>
      </c>
      <c r="CJ85" s="24">
        <f t="shared" si="10"/>
        <v>0.1</v>
      </c>
      <c r="CK85" s="24">
        <f t="shared" si="10"/>
        <v>0.1</v>
      </c>
      <c r="CL85" s="24"/>
      <c r="CM85" s="26"/>
      <c r="CN85" s="27"/>
      <c r="CO85" s="28"/>
      <c r="CP85" s="29"/>
      <c r="CQ85" s="29"/>
      <c r="CR85" s="29"/>
    </row>
    <row r="86" spans="1:96">
      <c r="A86" s="1" t="s">
        <v>294</v>
      </c>
      <c r="E86" s="30">
        <f>1-E85</f>
        <v>-1.2499999999999956E-2</v>
      </c>
      <c r="F86" s="30">
        <f t="shared" ref="F86:R86" si="11">1-F85</f>
        <v>-1.2499999999999956E-2</v>
      </c>
      <c r="G86" s="30">
        <f t="shared" si="11"/>
        <v>-1.2499999999999956E-2</v>
      </c>
      <c r="H86" s="30">
        <f t="shared" si="11"/>
        <v>-1.2499999999999956E-2</v>
      </c>
      <c r="I86" s="30">
        <f t="shared" si="11"/>
        <v>-1.2499999999999956E-2</v>
      </c>
      <c r="J86" s="30">
        <f t="shared" si="11"/>
        <v>-1.2499999999999956E-2</v>
      </c>
      <c r="K86" s="30">
        <f t="shared" si="11"/>
        <v>-1.2499999999999956E-2</v>
      </c>
      <c r="L86" s="30">
        <f t="shared" si="11"/>
        <v>0</v>
      </c>
      <c r="M86" s="30">
        <f t="shared" si="11"/>
        <v>-1.2499999999999956E-2</v>
      </c>
      <c r="N86" s="30">
        <f t="shared" si="11"/>
        <v>-1.2499999999999956E-2</v>
      </c>
      <c r="O86" s="30">
        <f t="shared" si="11"/>
        <v>0</v>
      </c>
      <c r="P86" s="31">
        <f t="shared" si="11"/>
        <v>0.375</v>
      </c>
      <c r="Q86" s="30">
        <f t="shared" si="11"/>
        <v>0.125</v>
      </c>
      <c r="R86" s="31">
        <f t="shared" si="11"/>
        <v>0.375</v>
      </c>
      <c r="S86" s="31">
        <f t="shared" ref="S86" si="12">1-S85</f>
        <v>0.28749999999999998</v>
      </c>
      <c r="T86" s="31">
        <f t="shared" ref="T86" si="13">1-T85</f>
        <v>0.36250000000000004</v>
      </c>
      <c r="U86" s="31">
        <f t="shared" ref="U86" si="14">1-U85</f>
        <v>0.96250000000000002</v>
      </c>
      <c r="V86" s="31">
        <f t="shared" ref="V86" si="15">1-V85</f>
        <v>0.96250000000000002</v>
      </c>
      <c r="W86" s="31">
        <f t="shared" ref="W86" si="16">1-W85</f>
        <v>0.85</v>
      </c>
      <c r="X86" s="31">
        <f t="shared" ref="X86" si="17">1-X85</f>
        <v>0.88749999999999996</v>
      </c>
      <c r="Y86" s="31">
        <f t="shared" ref="Y86" si="18">1-Y85</f>
        <v>0.95</v>
      </c>
      <c r="Z86" s="31">
        <f t="shared" ref="Z86" si="19">1-Z85</f>
        <v>0.95</v>
      </c>
      <c r="AA86" s="31">
        <f t="shared" ref="AA86" si="20">1-AA85</f>
        <v>0.92500000000000004</v>
      </c>
      <c r="AB86" s="31">
        <f t="shared" ref="AB86" si="21">1-AB85</f>
        <v>0.96250000000000002</v>
      </c>
      <c r="AC86" s="31">
        <f t="shared" ref="AC86" si="22">1-AC85</f>
        <v>0.95</v>
      </c>
      <c r="AD86" s="31">
        <f t="shared" ref="AD86" si="23">1-AD85</f>
        <v>0.9375</v>
      </c>
      <c r="AE86" s="31">
        <f t="shared" ref="AE86" si="24">1-AE85</f>
        <v>0.9375</v>
      </c>
      <c r="AF86" s="31">
        <f t="shared" ref="AF86" si="25">1-AF85</f>
        <v>0.9375</v>
      </c>
      <c r="AG86" s="31"/>
      <c r="AH86" s="31"/>
      <c r="AI86" s="31"/>
      <c r="AJ86" s="31">
        <f t="shared" ref="AJ86" si="26">1-AJ85</f>
        <v>0.97499999999999998</v>
      </c>
      <c r="AK86" s="31">
        <f t="shared" ref="AK86" si="27">1-AK85</f>
        <v>0.97499999999999998</v>
      </c>
      <c r="AL86" s="31">
        <f t="shared" ref="AL86" si="28">1-AL85</f>
        <v>0.97499999999999998</v>
      </c>
      <c r="AM86" s="31">
        <f t="shared" ref="AM86" si="29">1-AM85</f>
        <v>0.97499999999999998</v>
      </c>
      <c r="AN86" s="31">
        <f t="shared" ref="AN86" si="30">1-AN85</f>
        <v>0.97499999999999998</v>
      </c>
      <c r="AO86" s="31">
        <f t="shared" ref="AO86" si="31">1-AO85</f>
        <v>0.9375</v>
      </c>
      <c r="AP86" s="31">
        <f t="shared" ref="AP86" si="32">1-AP85</f>
        <v>0.96250000000000002</v>
      </c>
      <c r="AQ86" s="31">
        <f t="shared" ref="AQ86" si="33">1-AQ85</f>
        <v>0.98750000000000004</v>
      </c>
      <c r="AR86" s="31">
        <f t="shared" ref="AR86" si="34">1-AR85</f>
        <v>0.97499999999999998</v>
      </c>
      <c r="AS86" s="31">
        <f t="shared" ref="AS86" si="35">1-AS85</f>
        <v>0.97499999999999998</v>
      </c>
      <c r="AT86" s="31">
        <f t="shared" ref="AT86" si="36">1-AT85</f>
        <v>0.9375</v>
      </c>
      <c r="AU86" s="30">
        <f t="shared" ref="AU86" si="37">1-AU85</f>
        <v>0.17500000000000004</v>
      </c>
      <c r="AV86" s="30">
        <f t="shared" ref="AV86" si="38">1-AV85</f>
        <v>0.25</v>
      </c>
      <c r="AW86" s="31">
        <f t="shared" ref="AW86" si="39">1-AW85</f>
        <v>0.63749999999999996</v>
      </c>
      <c r="AX86" s="30">
        <f t="shared" ref="AX86" si="40">1-AX85</f>
        <v>0.28749999999999998</v>
      </c>
      <c r="AY86" s="31">
        <f t="shared" ref="AY86" si="41">1-AY85</f>
        <v>0.96250000000000002</v>
      </c>
      <c r="AZ86" s="31">
        <f t="shared" ref="AZ86" si="42">1-AZ85</f>
        <v>0.9375</v>
      </c>
      <c r="BA86" s="31">
        <f t="shared" ref="BA86" si="43">1-BA85</f>
        <v>0.9375</v>
      </c>
      <c r="BB86" s="31">
        <f t="shared" ref="BB86" si="44">1-BB85</f>
        <v>0.8125</v>
      </c>
      <c r="BC86" s="31">
        <f t="shared" ref="BC86" si="45">1-BC85</f>
        <v>0.8125</v>
      </c>
      <c r="BD86" s="31">
        <f t="shared" ref="BD86" si="46">1-BD85</f>
        <v>0.8125</v>
      </c>
      <c r="BE86" s="31">
        <f t="shared" ref="BE86" si="47">1-BE85</f>
        <v>0.9</v>
      </c>
      <c r="BF86" s="31">
        <f t="shared" ref="BF86" si="48">1-BF85</f>
        <v>0.96250000000000002</v>
      </c>
      <c r="BG86" s="31">
        <f t="shared" ref="BG86" si="49">1-BG85</f>
        <v>0.9</v>
      </c>
      <c r="BH86" s="31">
        <f t="shared" ref="BH86" si="50">1-BH85</f>
        <v>0.97499999999999998</v>
      </c>
      <c r="BI86" s="31">
        <f t="shared" ref="BI86" si="51">1-BI85</f>
        <v>0.9</v>
      </c>
      <c r="BJ86" s="31">
        <f t="shared" ref="BJ86" si="52">1-BJ85</f>
        <v>0.9</v>
      </c>
      <c r="BK86" s="32">
        <f t="shared" ref="BK86" si="53">1-BK85</f>
        <v>0.53749999999999998</v>
      </c>
      <c r="BL86" s="32">
        <f t="shared" ref="BL86" si="54">1-BL85</f>
        <v>0.41249999999999998</v>
      </c>
      <c r="BM86" s="32">
        <f t="shared" ref="BM86" si="55">1-BM85</f>
        <v>0.375</v>
      </c>
      <c r="BN86" s="30">
        <f t="shared" ref="BN86" si="56">1-BN85</f>
        <v>3.7499999999999978E-2</v>
      </c>
      <c r="BO86" s="32">
        <f t="shared" ref="BO86" si="57">1-BO85</f>
        <v>0.5625</v>
      </c>
      <c r="BP86" s="32">
        <f t="shared" ref="BP86" si="58">1-BP85</f>
        <v>0.6</v>
      </c>
      <c r="BQ86" s="32">
        <f t="shared" ref="BQ86" si="59">1-BQ85</f>
        <v>0.67500000000000004</v>
      </c>
      <c r="BR86" s="32">
        <f t="shared" ref="BR86" si="60">1-BR85</f>
        <v>0.77500000000000002</v>
      </c>
      <c r="BS86" s="30">
        <f t="shared" ref="BS86" si="61">1-BS85</f>
        <v>0.51249999999999996</v>
      </c>
      <c r="BT86" s="30">
        <f t="shared" ref="BT86" si="62">1-BT85</f>
        <v>0.5</v>
      </c>
      <c r="BU86" s="31">
        <f t="shared" ref="BU86" si="63">1-BU85</f>
        <v>0.98750000000000004</v>
      </c>
      <c r="BV86" s="32">
        <f t="shared" ref="BV86" si="64">1-BV85</f>
        <v>0.75</v>
      </c>
      <c r="BW86" s="31">
        <f t="shared" ref="BW86" si="65">1-BW85</f>
        <v>0.98750000000000004</v>
      </c>
      <c r="BX86" s="32">
        <f t="shared" ref="BX86" si="66">1-BX85</f>
        <v>0.76249999999999996</v>
      </c>
      <c r="BY86" s="31">
        <f t="shared" ref="BY86" si="67">1-BY85</f>
        <v>0.78749999999999998</v>
      </c>
      <c r="BZ86" s="31">
        <f t="shared" ref="BZ86" si="68">1-BZ85</f>
        <v>0.75</v>
      </c>
      <c r="CA86" s="31">
        <f t="shared" ref="CA86" si="69">1-CA85</f>
        <v>0.72499999999999998</v>
      </c>
      <c r="CB86" s="32">
        <f t="shared" ref="CB86" si="70">1-CB85</f>
        <v>0.6875</v>
      </c>
      <c r="CC86" s="30">
        <f t="shared" ref="CC86" si="71">1-CC85</f>
        <v>0.58750000000000002</v>
      </c>
      <c r="CD86" s="31">
        <f t="shared" ref="CD86" si="72">1-CD85</f>
        <v>0.91249999999999998</v>
      </c>
      <c r="CE86" s="31">
        <f t="shared" ref="CE86" si="73">1-CE85</f>
        <v>0.9375</v>
      </c>
      <c r="CF86" s="31">
        <f t="shared" ref="CF86" si="74">1-CF85</f>
        <v>0.98750000000000004</v>
      </c>
      <c r="CG86" s="31">
        <f t="shared" ref="CG86" si="75">1-CG85</f>
        <v>0.86250000000000004</v>
      </c>
      <c r="CH86" s="31">
        <f t="shared" ref="CH86" si="76">1-CH85</f>
        <v>0.86250000000000004</v>
      </c>
      <c r="CI86" s="31">
        <f t="shared" ref="CI86" si="77">1-CI85</f>
        <v>0.95</v>
      </c>
      <c r="CJ86" s="31">
        <f t="shared" ref="CJ86" si="78">1-CJ85</f>
        <v>0.9</v>
      </c>
      <c r="CK86" s="31">
        <f t="shared" ref="CK86" si="79">1-CK85</f>
        <v>0.9</v>
      </c>
    </row>
    <row r="87" spans="1:96">
      <c r="A87" s="1" t="s">
        <v>76</v>
      </c>
      <c r="BN87" s="13"/>
      <c r="BO87" s="13"/>
      <c r="BS87" s="13"/>
    </row>
    <row r="88" spans="1:96">
      <c r="A88" s="1" t="s">
        <v>75</v>
      </c>
      <c r="BN88" s="13"/>
      <c r="BO88" s="13"/>
      <c r="BS88" s="13"/>
    </row>
    <row r="89" spans="1:96">
      <c r="A89" s="1" t="s">
        <v>74</v>
      </c>
      <c r="BN89" s="13"/>
      <c r="BO89" s="13"/>
      <c r="BS89" s="13"/>
    </row>
    <row r="90" spans="1:96">
      <c r="A90" s="1" t="s">
        <v>77</v>
      </c>
    </row>
    <row r="91" spans="1:96">
      <c r="A91" s="1" t="s">
        <v>123</v>
      </c>
    </row>
    <row r="92" spans="1:96">
      <c r="A92" s="1" t="s">
        <v>131</v>
      </c>
      <c r="CP92" s="1"/>
      <c r="CQ92" s="1"/>
      <c r="CR92" s="1"/>
    </row>
    <row r="93" spans="1:96">
      <c r="A93" s="1" t="s">
        <v>164</v>
      </c>
      <c r="CP93" s="1"/>
      <c r="CQ93" s="1"/>
      <c r="CR93" s="1"/>
    </row>
    <row r="94" spans="1:96">
      <c r="A94" s="1" t="s">
        <v>165</v>
      </c>
      <c r="CP94" s="1"/>
      <c r="CQ94" s="1"/>
      <c r="CR94" s="1"/>
    </row>
    <row r="95" spans="1:96">
      <c r="A95" s="1" t="s">
        <v>166</v>
      </c>
      <c r="CP95" s="1"/>
      <c r="CQ95" s="1"/>
      <c r="CR95" s="1"/>
    </row>
    <row r="96" spans="1:96">
      <c r="A96" s="1" t="s">
        <v>407</v>
      </c>
      <c r="CP96" s="1"/>
      <c r="CQ96" s="1"/>
      <c r="CR96" s="1"/>
    </row>
    <row r="97" spans="1:96">
      <c r="A97" s="1" t="s">
        <v>31</v>
      </c>
      <c r="CP97" s="1"/>
      <c r="CQ97" s="1"/>
      <c r="CR97" s="1"/>
    </row>
    <row r="98" spans="1:96">
      <c r="A98" s="19" t="s">
        <v>273</v>
      </c>
      <c r="B98" s="19"/>
      <c r="C98" s="19"/>
      <c r="CP98" s="1"/>
      <c r="CQ98" s="1"/>
      <c r="CR98" s="1"/>
    </row>
    <row r="99" spans="1:96">
      <c r="A99" s="20" t="s">
        <v>272</v>
      </c>
      <c r="B99" s="20"/>
      <c r="C99" s="20"/>
      <c r="CP99" s="1"/>
      <c r="CQ99" s="1"/>
      <c r="CR99" s="1"/>
    </row>
  </sheetData>
  <sortState ref="A4:CU84">
    <sortCondition ref="D4:D84"/>
  </sortState>
  <phoneticPr fontId="1" type="noConversion"/>
  <hyperlinks>
    <hyperlink ref="CN11" r:id="rId1" xr:uid="{00000000-0004-0000-0100-000000000000}"/>
    <hyperlink ref="CN9" r:id="rId2" xr:uid="{00000000-0004-0000-0100-000001000000}"/>
    <hyperlink ref="CN25" r:id="rId3" location="1" xr:uid="{00000000-0004-0000-0100-000002000000}"/>
    <hyperlink ref="CN21" r:id="rId4" xr:uid="{00000000-0004-0000-0100-000003000000}"/>
    <hyperlink ref="CN23" r:id="rId5" xr:uid="{00000000-0004-0000-0100-000004000000}"/>
    <hyperlink ref="CN6" r:id="rId6" xr:uid="{00000000-0004-0000-0100-000005000000}"/>
    <hyperlink ref="CN14" r:id="rId7" xr:uid="{00000000-0004-0000-0100-000006000000}"/>
    <hyperlink ref="CN18" r:id="rId8" location="page_scan_tab_contents" display="https://www.jstor.org/stable/43595383?read-now=1&amp;seq=1 - page_scan_tab_contents" xr:uid="{00000000-0004-0000-0100-000007000000}"/>
    <hyperlink ref="CN17" r:id="rId9" location="page_scan_tab_contents" display="https://www.jstor.org/stable/43595383?read-now=1&amp;seq=1 - page_scan_tab_contents" xr:uid="{00000000-0004-0000-0100-000008000000}"/>
    <hyperlink ref="CN20" r:id="rId10" location="page_scan_tab_contents" display="https://www.jstor.org/stable/43595383?read-now=1&amp;seq=1 - page_scan_tab_contents" xr:uid="{00000000-0004-0000-0100-000009000000}"/>
    <hyperlink ref="CN66" r:id="rId11" xr:uid="{00000000-0004-0000-0100-00000A000000}"/>
    <hyperlink ref="CN65" r:id="rId12" xr:uid="{00000000-0004-0000-0100-00000B000000}"/>
    <hyperlink ref="CN67" r:id="rId13" xr:uid="{00000000-0004-0000-0100-00000C000000}"/>
    <hyperlink ref="CN19" r:id="rId14" location="page_scan_tab_contents" display="https://www.jstor.org/stable/43595383?read-now=1&amp;seq=1 - page_scan_tab_contents" xr:uid="{00000000-0004-0000-0100-00000D000000}"/>
    <hyperlink ref="CN12" r:id="rId15" xr:uid="{00000000-0004-0000-0100-00000E000000}"/>
    <hyperlink ref="CN13" r:id="rId16" xr:uid="{00000000-0004-0000-0100-00000F000000}"/>
    <hyperlink ref="CN24" r:id="rId17" xr:uid="{00000000-0004-0000-0100-000010000000}"/>
    <hyperlink ref="CN22" r:id="rId18" xr:uid="{00000000-0004-0000-0100-000011000000}"/>
    <hyperlink ref="CN10" r:id="rId19" xr:uid="{00000000-0004-0000-0100-000012000000}"/>
    <hyperlink ref="CN8" r:id="rId20" xr:uid="{00000000-0004-0000-0100-000013000000}"/>
    <hyperlink ref="CN16" r:id="rId21" xr:uid="{00000000-0004-0000-0100-000014000000}"/>
    <hyperlink ref="CN30" r:id="rId22" xr:uid="{00000000-0004-0000-0100-000015000000}"/>
    <hyperlink ref="CN31" r:id="rId23" xr:uid="{00000000-0004-0000-0100-000016000000}"/>
    <hyperlink ref="CN15" r:id="rId24" xr:uid="{00000000-0004-0000-0100-000017000000}"/>
    <hyperlink ref="CN37" r:id="rId25" xr:uid="{00000000-0004-0000-0100-000018000000}"/>
    <hyperlink ref="CN58" r:id="rId26" xr:uid="{00000000-0004-0000-0100-000019000000}"/>
    <hyperlink ref="CN39" r:id="rId27" xr:uid="{00000000-0004-0000-0100-00001A000000}"/>
    <hyperlink ref="CN62" r:id="rId28" xr:uid="{00000000-0004-0000-0100-00001B000000}"/>
    <hyperlink ref="CN35" r:id="rId29" xr:uid="{00000000-0004-0000-0100-00001C000000}"/>
    <hyperlink ref="CN36" r:id="rId30" xr:uid="{00000000-0004-0000-0100-00001D000000}"/>
    <hyperlink ref="CN64" r:id="rId31" display="https://www.jstage.jst.go.jp/article/jjfe/57/1/57_KJ00009983906/_pdf/-char/ja" xr:uid="{00000000-0004-0000-0100-00001E000000}"/>
    <hyperlink ref="CN48" r:id="rId32" xr:uid="{00000000-0004-0000-0100-00001F000000}"/>
    <hyperlink ref="CN53" r:id="rId33" xr:uid="{00000000-0004-0000-0100-000020000000}"/>
    <hyperlink ref="CN57" r:id="rId34" xr:uid="{00000000-0004-0000-0100-000021000000}"/>
    <hyperlink ref="CN55" r:id="rId35" xr:uid="{00000000-0004-0000-0100-000022000000}"/>
    <hyperlink ref="CN49" r:id="rId36" xr:uid="{00000000-0004-0000-0100-000023000000}"/>
    <hyperlink ref="CN56" r:id="rId37" xr:uid="{00000000-0004-0000-0100-000024000000}"/>
    <hyperlink ref="CN54" r:id="rId38" xr:uid="{00000000-0004-0000-0100-000025000000}"/>
    <hyperlink ref="CN61" r:id="rId39" xr:uid="{00000000-0004-0000-0100-000026000000}"/>
    <hyperlink ref="CN60" r:id="rId40" xr:uid="{00000000-0004-0000-0100-000027000000}"/>
    <hyperlink ref="CN59" r:id="rId41" xr:uid="{00000000-0004-0000-0100-000028000000}"/>
    <hyperlink ref="CN47" r:id="rId42" xr:uid="{00000000-0004-0000-0100-000029000000}"/>
    <hyperlink ref="CN45" r:id="rId43" xr:uid="{00000000-0004-0000-0100-00002A000000}"/>
    <hyperlink ref="CN43" r:id="rId44" xr:uid="{00000000-0004-0000-0100-00002B000000}"/>
    <hyperlink ref="CN44" r:id="rId45" xr:uid="{00000000-0004-0000-0100-00002C000000}"/>
    <hyperlink ref="CN46" r:id="rId46" xr:uid="{00000000-0004-0000-0100-00002D000000}"/>
    <hyperlink ref="CN40" r:id="rId47" xr:uid="{00000000-0004-0000-0100-00002E000000}"/>
    <hyperlink ref="CN32" r:id="rId48" xr:uid="{00000000-0004-0000-0100-00002F000000}"/>
    <hyperlink ref="CN34" r:id="rId49" xr:uid="{00000000-0004-0000-0100-000030000000}"/>
    <hyperlink ref="CN33" r:id="rId50" xr:uid="{00000000-0004-0000-0100-000031000000}"/>
    <hyperlink ref="CN50" r:id="rId51" xr:uid="{00000000-0004-0000-0100-000032000000}"/>
    <hyperlink ref="CN41" r:id="rId52" xr:uid="{00000000-0004-0000-0100-000033000000}"/>
    <hyperlink ref="CN42" r:id="rId53" xr:uid="{00000000-0004-0000-0100-000034000000}"/>
    <hyperlink ref="CN70" r:id="rId54" xr:uid="{00000000-0004-0000-0100-000035000000}"/>
    <hyperlink ref="CN71" r:id="rId55" xr:uid="{00000000-0004-0000-0100-000036000000}"/>
    <hyperlink ref="CN69" r:id="rId56" xr:uid="{00000000-0004-0000-0100-000037000000}"/>
    <hyperlink ref="CN80" r:id="rId57" xr:uid="{00000000-0004-0000-0100-000038000000}"/>
    <hyperlink ref="CN75" r:id="rId58" xr:uid="{00000000-0004-0000-0100-000039000000}"/>
    <hyperlink ref="CN76" r:id="rId59" xr:uid="{00000000-0004-0000-0100-00003A000000}"/>
    <hyperlink ref="CN77" r:id="rId60" xr:uid="{00000000-0004-0000-0100-00003B000000}"/>
    <hyperlink ref="CN72" r:id="rId61" xr:uid="{00000000-0004-0000-0100-00003C000000}"/>
    <hyperlink ref="CN78" r:id="rId62" xr:uid="{00000000-0004-0000-0100-00003D000000}"/>
    <hyperlink ref="CN74" r:id="rId63" xr:uid="{00000000-0004-0000-0100-00003E000000}"/>
    <hyperlink ref="CN68" r:id="rId64" xr:uid="{00000000-0004-0000-0100-00003F000000}"/>
    <hyperlink ref="CN73" r:id="rId65" xr:uid="{00000000-0004-0000-0100-000040000000}"/>
    <hyperlink ref="CN84" r:id="rId66" xr:uid="{00000000-0004-0000-0100-000041000000}"/>
    <hyperlink ref="CN79" r:id="rId67" xr:uid="{00000000-0004-0000-0100-000042000000}"/>
    <hyperlink ref="CN26" r:id="rId68" xr:uid="{00000000-0004-0000-0100-000043000000}"/>
    <hyperlink ref="CN28" r:id="rId69" display="https://advances.sciencemag.org/content/6/12/eaaw5790" xr:uid="{00000000-0004-0000-0100-000044000000}"/>
    <hyperlink ref="CN29" r:id="rId70" display="https://advances.sciencemag.org/content/6/12/eaaw5790" xr:uid="{00000000-0004-0000-0100-000045000000}"/>
    <hyperlink ref="CN27" r:id="rId71" display="https://advances.sciencemag.org/content/6/12/eaaw5790" xr:uid="{00000000-0004-0000-0100-000046000000}"/>
    <hyperlink ref="CN81" r:id="rId72" xr:uid="{00000000-0004-0000-0100-000047000000}"/>
    <hyperlink ref="CN82" r:id="rId73" xr:uid="{00000000-0004-0000-0100-000048000000}"/>
    <hyperlink ref="CN83" r:id="rId74" xr:uid="{00000000-0004-0000-0100-000049000000}"/>
  </hyperlinks>
  <pageMargins left="0.7" right="0.7" top="0.75" bottom="0.75" header="0.3" footer="0.3"/>
  <pageSetup paperSize="9" orientation="portrait" r:id="rId75"/>
  <drawing r:id="rId7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Q53"/>
  <sheetViews>
    <sheetView topLeftCell="CJ4" workbookViewId="0">
      <selection activeCell="CO38" sqref="CO38"/>
    </sheetView>
  </sheetViews>
  <sheetFormatPr defaultRowHeight="15.75"/>
  <cols>
    <col min="2" max="2" width="29.75" customWidth="1"/>
    <col min="3" max="3" width="86.75" customWidth="1"/>
    <col min="4" max="4" width="13.875" customWidth="1"/>
    <col min="12" max="12" width="9.875" customWidth="1"/>
    <col min="17" max="17" width="9.5" customWidth="1"/>
    <col min="87" max="87" width="54.5" customWidth="1"/>
    <col min="88" max="88" width="12" style="1" customWidth="1"/>
    <col min="89" max="93" width="9" style="1"/>
  </cols>
  <sheetData>
    <row r="1" spans="1:95">
      <c r="A1" s="2" t="s">
        <v>199</v>
      </c>
      <c r="B1" s="2" t="s">
        <v>0</v>
      </c>
      <c r="C1" s="2" t="s">
        <v>1</v>
      </c>
      <c r="D1" s="2" t="s">
        <v>252</v>
      </c>
      <c r="E1" s="2" t="s">
        <v>68</v>
      </c>
      <c r="F1" s="2" t="s">
        <v>69</v>
      </c>
      <c r="G1" s="2" t="s">
        <v>70</v>
      </c>
      <c r="H1" s="2" t="s">
        <v>153</v>
      </c>
      <c r="I1" s="2" t="s">
        <v>161</v>
      </c>
      <c r="J1" s="2" t="s">
        <v>162</v>
      </c>
      <c r="K1" s="2" t="s">
        <v>160</v>
      </c>
      <c r="L1" s="2" t="s">
        <v>163</v>
      </c>
      <c r="M1" s="3" t="s">
        <v>2</v>
      </c>
      <c r="N1" s="3" t="s">
        <v>28</v>
      </c>
      <c r="O1" s="3" t="s">
        <v>150</v>
      </c>
      <c r="P1" s="3" t="s">
        <v>275</v>
      </c>
      <c r="Q1" s="3" t="s">
        <v>40</v>
      </c>
      <c r="R1" s="3" t="s">
        <v>111</v>
      </c>
      <c r="S1" s="3" t="s">
        <v>124</v>
      </c>
      <c r="T1" s="3" t="s">
        <v>126</v>
      </c>
      <c r="U1" s="12" t="s">
        <v>282</v>
      </c>
      <c r="V1" s="3" t="s">
        <v>94</v>
      </c>
      <c r="W1" s="3" t="s">
        <v>94</v>
      </c>
      <c r="X1" s="3" t="s">
        <v>93</v>
      </c>
      <c r="Y1" s="3" t="s">
        <v>142</v>
      </c>
      <c r="Z1" s="3" t="s">
        <v>143</v>
      </c>
      <c r="AA1" s="3" t="s">
        <v>92</v>
      </c>
      <c r="AB1" s="3" t="s">
        <v>281</v>
      </c>
      <c r="AC1" s="3" t="s">
        <v>97</v>
      </c>
      <c r="AD1" s="3" t="s">
        <v>91</v>
      </c>
      <c r="AE1" s="3" t="s">
        <v>90</v>
      </c>
      <c r="AF1" s="3" t="s">
        <v>95</v>
      </c>
      <c r="AG1" s="3" t="s">
        <v>80</v>
      </c>
      <c r="AH1" s="3" t="s">
        <v>81</v>
      </c>
      <c r="AI1" s="3" t="s">
        <v>82</v>
      </c>
      <c r="AJ1" s="3" t="s">
        <v>83</v>
      </c>
      <c r="AK1" s="3" t="s">
        <v>84</v>
      </c>
      <c r="AL1" s="3" t="s">
        <v>285</v>
      </c>
      <c r="AM1" s="3" t="s">
        <v>286</v>
      </c>
      <c r="AN1" s="3" t="s">
        <v>291</v>
      </c>
      <c r="AO1" s="3" t="s">
        <v>284</v>
      </c>
      <c r="AP1" s="3" t="s">
        <v>191</v>
      </c>
      <c r="AQ1" s="3" t="s">
        <v>192</v>
      </c>
      <c r="AR1" s="3" t="s">
        <v>78</v>
      </c>
      <c r="AS1" s="3" t="s">
        <v>72</v>
      </c>
      <c r="AT1" s="3" t="s">
        <v>73</v>
      </c>
      <c r="AU1" s="3" t="s">
        <v>41</v>
      </c>
      <c r="AV1" s="12" t="s">
        <v>122</v>
      </c>
      <c r="AW1" s="12" t="s">
        <v>295</v>
      </c>
      <c r="AX1" s="12" t="s">
        <v>121</v>
      </c>
      <c r="AY1" s="12" t="s">
        <v>296</v>
      </c>
      <c r="AZ1" s="12" t="s">
        <v>297</v>
      </c>
      <c r="BA1" s="12" t="s">
        <v>298</v>
      </c>
      <c r="BB1" s="12" t="s">
        <v>299</v>
      </c>
      <c r="BC1" s="12" t="s">
        <v>300</v>
      </c>
      <c r="BD1" s="12" t="s">
        <v>301</v>
      </c>
      <c r="BE1" s="12" t="s">
        <v>302</v>
      </c>
      <c r="BF1" s="12" t="s">
        <v>303</v>
      </c>
      <c r="BG1" s="12" t="s">
        <v>304</v>
      </c>
      <c r="BH1" s="12" t="s">
        <v>305</v>
      </c>
      <c r="BI1" s="12" t="s">
        <v>306</v>
      </c>
      <c r="BJ1" s="12" t="s">
        <v>101</v>
      </c>
      <c r="BK1" s="3" t="s">
        <v>307</v>
      </c>
      <c r="BL1" s="3" t="s">
        <v>308</v>
      </c>
      <c r="BM1" s="3" t="s">
        <v>309</v>
      </c>
      <c r="BN1" s="3" t="s">
        <v>102</v>
      </c>
      <c r="BO1" s="3" t="s">
        <v>103</v>
      </c>
      <c r="BP1" s="3" t="s">
        <v>59</v>
      </c>
      <c r="BQ1" s="3" t="s">
        <v>310</v>
      </c>
      <c r="BR1" s="3" t="s">
        <v>311</v>
      </c>
      <c r="BS1" s="3" t="s">
        <v>312</v>
      </c>
      <c r="BT1" s="3" t="s">
        <v>313</v>
      </c>
      <c r="BU1" s="3" t="s">
        <v>314</v>
      </c>
      <c r="BV1" s="3" t="s">
        <v>315</v>
      </c>
      <c r="BW1" s="3" t="s">
        <v>316</v>
      </c>
      <c r="BX1" s="3" t="s">
        <v>317</v>
      </c>
      <c r="BY1" s="3" t="s">
        <v>318</v>
      </c>
      <c r="BZ1" s="3" t="s">
        <v>319</v>
      </c>
      <c r="CA1" s="3" t="s">
        <v>320</v>
      </c>
      <c r="CB1" s="3" t="s">
        <v>104</v>
      </c>
      <c r="CC1" s="3" t="s">
        <v>105</v>
      </c>
      <c r="CD1" s="3" t="s">
        <v>113</v>
      </c>
      <c r="CE1" s="3" t="s">
        <v>323</v>
      </c>
      <c r="CF1" s="3" t="s">
        <v>114</v>
      </c>
      <c r="CG1" s="3" t="s">
        <v>115</v>
      </c>
      <c r="CH1" s="3" t="s">
        <v>325</v>
      </c>
      <c r="CI1" s="2" t="s">
        <v>106</v>
      </c>
      <c r="CJ1" s="6" t="s">
        <v>34</v>
      </c>
      <c r="CK1" s="6" t="s">
        <v>32</v>
      </c>
      <c r="CL1" s="10" t="s">
        <v>36</v>
      </c>
      <c r="CM1" s="6" t="s">
        <v>369</v>
      </c>
      <c r="CN1" s="6" t="s">
        <v>431</v>
      </c>
      <c r="CO1" s="6" t="s">
        <v>374</v>
      </c>
      <c r="CP1" s="59" t="s">
        <v>410</v>
      </c>
      <c r="CQ1" s="59" t="s">
        <v>411</v>
      </c>
    </row>
    <row r="2" spans="1:95">
      <c r="A2" s="2"/>
      <c r="B2" s="2"/>
      <c r="C2" s="2"/>
      <c r="D2" s="2"/>
      <c r="E2" s="2"/>
      <c r="F2" s="2"/>
      <c r="G2" s="2"/>
      <c r="H2" s="2"/>
      <c r="I2" s="2"/>
      <c r="J2" s="2"/>
      <c r="K2" s="2"/>
      <c r="L2" s="2"/>
      <c r="M2" s="3" t="s">
        <v>327</v>
      </c>
      <c r="N2" s="3"/>
      <c r="O2" s="3" t="s">
        <v>5</v>
      </c>
      <c r="P2" s="3" t="s">
        <v>414</v>
      </c>
      <c r="Q2" s="3" t="s">
        <v>4</v>
      </c>
      <c r="R2" s="3" t="s">
        <v>89</v>
      </c>
      <c r="S2" s="3" t="s">
        <v>125</v>
      </c>
      <c r="T2" s="3" t="s">
        <v>127</v>
      </c>
      <c r="U2" s="12" t="s">
        <v>283</v>
      </c>
      <c r="V2" s="3" t="s">
        <v>112</v>
      </c>
      <c r="W2" s="3" t="s">
        <v>88</v>
      </c>
      <c r="X2" s="3" t="s">
        <v>99</v>
      </c>
      <c r="Y2" s="3" t="s">
        <v>99</v>
      </c>
      <c r="Z2" s="3" t="s">
        <v>99</v>
      </c>
      <c r="AA2" s="3" t="s">
        <v>100</v>
      </c>
      <c r="AB2" s="3" t="s">
        <v>100</v>
      </c>
      <c r="AC2" s="3" t="s">
        <v>98</v>
      </c>
      <c r="AD2" s="3" t="s">
        <v>96</v>
      </c>
      <c r="AE2" s="3" t="s">
        <v>96</v>
      </c>
      <c r="AF2" s="3" t="s">
        <v>96</v>
      </c>
      <c r="AG2" s="3" t="s">
        <v>79</v>
      </c>
      <c r="AH2" s="3" t="s">
        <v>79</v>
      </c>
      <c r="AI2" s="3" t="s">
        <v>79</v>
      </c>
      <c r="AJ2" s="3" t="s">
        <v>79</v>
      </c>
      <c r="AK2" s="3" t="s">
        <v>79</v>
      </c>
      <c r="AL2" s="3" t="s">
        <v>79</v>
      </c>
      <c r="AM2" s="3" t="s">
        <v>79</v>
      </c>
      <c r="AN2" s="3" t="s">
        <v>79</v>
      </c>
      <c r="AO2" s="3" t="s">
        <v>190</v>
      </c>
      <c r="AP2" s="3" t="s">
        <v>190</v>
      </c>
      <c r="AQ2" s="3" t="s">
        <v>190</v>
      </c>
      <c r="AR2" s="3" t="s">
        <v>64</v>
      </c>
      <c r="AS2" s="3" t="s">
        <v>3</v>
      </c>
      <c r="AT2" s="3" t="s">
        <v>4</v>
      </c>
      <c r="AU2" s="3" t="s">
        <v>63</v>
      </c>
      <c r="AV2" s="12" t="s">
        <v>89</v>
      </c>
      <c r="AW2" s="12" t="s">
        <v>120</v>
      </c>
      <c r="AX2" s="12" t="s">
        <v>120</v>
      </c>
      <c r="AY2" s="3" t="s">
        <v>89</v>
      </c>
      <c r="AZ2" s="3" t="s">
        <v>89</v>
      </c>
      <c r="BA2" s="3" t="s">
        <v>89</v>
      </c>
      <c r="BB2" s="3" t="s">
        <v>89</v>
      </c>
      <c r="BC2" s="3" t="s">
        <v>89</v>
      </c>
      <c r="BD2" s="3" t="s">
        <v>89</v>
      </c>
      <c r="BE2" s="3" t="s">
        <v>89</v>
      </c>
      <c r="BF2" s="3" t="s">
        <v>89</v>
      </c>
      <c r="BG2" s="3" t="s">
        <v>89</v>
      </c>
      <c r="BH2" s="3" t="s">
        <v>60</v>
      </c>
      <c r="BI2" s="3" t="s">
        <v>60</v>
      </c>
      <c r="BJ2" s="3" t="s">
        <v>60</v>
      </c>
      <c r="BK2" s="3" t="s">
        <v>60</v>
      </c>
      <c r="BL2" s="3"/>
      <c r="BM2" s="3" t="s">
        <v>60</v>
      </c>
      <c r="BN2" s="3" t="s">
        <v>60</v>
      </c>
      <c r="BO2" s="3" t="s">
        <v>60</v>
      </c>
      <c r="BP2" s="3" t="s">
        <v>60</v>
      </c>
      <c r="BQ2" s="3" t="s">
        <v>60</v>
      </c>
      <c r="BR2" s="3" t="s">
        <v>60</v>
      </c>
      <c r="BS2" s="3" t="s">
        <v>60</v>
      </c>
      <c r="BT2" s="3" t="s">
        <v>60</v>
      </c>
      <c r="BU2" s="3" t="s">
        <v>60</v>
      </c>
      <c r="BV2" s="3" t="s">
        <v>86</v>
      </c>
      <c r="BW2" s="3" t="s">
        <v>86</v>
      </c>
      <c r="BX2" s="3" t="s">
        <v>86</v>
      </c>
      <c r="BY2" s="3" t="s">
        <v>86</v>
      </c>
      <c r="BZ2" s="3" t="s">
        <v>86</v>
      </c>
      <c r="CA2" s="3" t="s">
        <v>86</v>
      </c>
      <c r="CB2" s="3" t="s">
        <v>86</v>
      </c>
      <c r="CC2" s="3" t="s">
        <v>86</v>
      </c>
      <c r="CD2" s="3" t="s">
        <v>86</v>
      </c>
      <c r="CE2" s="3" t="s">
        <v>86</v>
      </c>
      <c r="CF2" s="3" t="s">
        <v>86</v>
      </c>
      <c r="CG2" s="3" t="s">
        <v>86</v>
      </c>
      <c r="CH2" s="3" t="s">
        <v>86</v>
      </c>
      <c r="CI2" s="2"/>
      <c r="CJ2" s="2"/>
      <c r="CK2" s="2"/>
      <c r="CL2" s="47"/>
      <c r="CM2" s="47"/>
      <c r="CN2" s="47"/>
      <c r="CO2" s="2"/>
    </row>
    <row r="3" spans="1:95">
      <c r="A3" s="2" t="s">
        <v>12</v>
      </c>
      <c r="B3" s="2" t="s">
        <v>186</v>
      </c>
      <c r="C3" s="2" t="s">
        <v>376</v>
      </c>
      <c r="D3" s="2" t="s">
        <v>380</v>
      </c>
      <c r="E3" s="2">
        <v>1982</v>
      </c>
      <c r="F3" s="2">
        <v>1991</v>
      </c>
      <c r="G3" s="2">
        <v>0</v>
      </c>
      <c r="H3" s="2">
        <v>0</v>
      </c>
      <c r="I3" s="2">
        <v>0</v>
      </c>
      <c r="J3" s="2">
        <v>0</v>
      </c>
      <c r="K3" s="2">
        <v>0</v>
      </c>
      <c r="L3" s="2">
        <v>0</v>
      </c>
      <c r="M3" s="3">
        <v>15.3</v>
      </c>
      <c r="N3" s="4">
        <f>(M3-5)*12</f>
        <v>123.60000000000001</v>
      </c>
      <c r="O3" s="3">
        <v>1581</v>
      </c>
      <c r="P3" s="39">
        <v>20.5</v>
      </c>
      <c r="Q3" s="12">
        <v>65</v>
      </c>
      <c r="R3" s="4">
        <v>67.00833333333334</v>
      </c>
      <c r="S3" s="4">
        <v>1872.7599999999998</v>
      </c>
      <c r="T3" s="4">
        <v>1.6700000000000008</v>
      </c>
      <c r="U3" s="12"/>
      <c r="V3" s="3"/>
      <c r="W3" s="3"/>
      <c r="X3" s="3"/>
      <c r="Y3" s="3"/>
      <c r="Z3" s="3"/>
      <c r="AA3" s="3"/>
      <c r="AB3" s="3"/>
      <c r="AC3" s="3"/>
      <c r="AD3" s="3"/>
      <c r="AE3" s="3"/>
      <c r="AF3" s="3"/>
      <c r="AG3" s="3"/>
      <c r="AH3" s="3"/>
      <c r="AI3" s="3"/>
      <c r="AJ3" s="3"/>
      <c r="AK3" s="3"/>
      <c r="AL3" s="3"/>
      <c r="AM3" s="3"/>
      <c r="AN3" s="3"/>
      <c r="AO3" s="3"/>
      <c r="AP3" s="2"/>
      <c r="AQ3" s="3"/>
      <c r="AR3" s="3">
        <v>7100</v>
      </c>
      <c r="AS3" s="3">
        <v>11.3</v>
      </c>
      <c r="AT3" s="3"/>
      <c r="AU3" s="3">
        <f>(AS3/2)^2*PI()*AR3/10000</f>
        <v>71.204118953796325</v>
      </c>
      <c r="AV3" s="12"/>
      <c r="AW3" s="12"/>
      <c r="AX3" s="12"/>
      <c r="AY3" s="3">
        <v>46.2</v>
      </c>
      <c r="AZ3" s="3">
        <v>48.4</v>
      </c>
      <c r="BA3" s="3">
        <v>47.6</v>
      </c>
      <c r="BB3" s="3">
        <v>40.1</v>
      </c>
      <c r="BC3" s="3"/>
      <c r="BD3" s="3">
        <v>44.8</v>
      </c>
      <c r="BE3" s="3"/>
      <c r="BF3" s="3"/>
      <c r="BG3" s="3"/>
      <c r="BH3" s="12">
        <f>5.9*AY3/100</f>
        <v>2.7258000000000004</v>
      </c>
      <c r="BI3" s="12">
        <f>15.5*AZ3/100</f>
        <v>7.5019999999999989</v>
      </c>
      <c r="BJ3" s="12">
        <f>116.5*BA3/100</f>
        <v>55.454000000000008</v>
      </c>
      <c r="BK3" s="3">
        <f>SUM(BH3:BJ3)</f>
        <v>65.68180000000001</v>
      </c>
      <c r="BL3" s="3">
        <f>BP3/BK3</f>
        <v>0.2842416011741456</v>
      </c>
      <c r="BM3" s="3">
        <f>27.9*BB3/100</f>
        <v>11.187899999999999</v>
      </c>
      <c r="BN3" s="3">
        <f>16.7*BD3/100</f>
        <v>7.4815999999999994</v>
      </c>
      <c r="BO3" s="3"/>
      <c r="BP3" s="3">
        <f>SUM(BM3:BO3)</f>
        <v>18.669499999999999</v>
      </c>
      <c r="BQ3" s="3">
        <f>BP3+BK3</f>
        <v>84.351300000000009</v>
      </c>
      <c r="BR3" s="3"/>
      <c r="BS3" s="3">
        <f>7+94.2</f>
        <v>101.2</v>
      </c>
      <c r="BT3" s="3"/>
      <c r="BU3" s="3">
        <f>BQ3+BS3</f>
        <v>185.55130000000003</v>
      </c>
      <c r="BV3" s="3">
        <f>2.06+0.99</f>
        <v>3.05</v>
      </c>
      <c r="BW3" s="3">
        <v>0.79</v>
      </c>
      <c r="BX3" s="3">
        <v>4.66</v>
      </c>
      <c r="BY3" s="3">
        <f>2+0.3+1</f>
        <v>3.3</v>
      </c>
      <c r="BZ3" s="3">
        <f>SUM(BV3:BY3)</f>
        <v>11.8</v>
      </c>
      <c r="CA3" s="3">
        <v>11</v>
      </c>
      <c r="CB3" s="3"/>
      <c r="CC3" s="3"/>
      <c r="CD3" s="3">
        <f>SUM(CA3:CC3)</f>
        <v>11</v>
      </c>
      <c r="CE3" s="3">
        <f>CD3+BZ3</f>
        <v>22.8</v>
      </c>
      <c r="CF3" s="3">
        <f>52.3*12/44</f>
        <v>14.263636363636362</v>
      </c>
      <c r="CG3" s="3">
        <f>10.7+2.6</f>
        <v>13.299999999999999</v>
      </c>
      <c r="CH3" s="3">
        <f>CE3-CG3</f>
        <v>9.5000000000000018</v>
      </c>
      <c r="CI3" s="2" t="s">
        <v>15</v>
      </c>
      <c r="CJ3" s="2" t="s">
        <v>35</v>
      </c>
      <c r="CK3" s="46" t="s">
        <v>49</v>
      </c>
      <c r="CL3" s="47" t="s">
        <v>85</v>
      </c>
      <c r="CM3" s="47" t="s">
        <v>85</v>
      </c>
      <c r="CN3" s="47" t="s">
        <v>432</v>
      </c>
      <c r="CO3" s="2"/>
    </row>
    <row r="4" spans="1:95" s="49" customFormat="1">
      <c r="A4" s="6" t="s">
        <v>12</v>
      </c>
      <c r="B4" s="6" t="s">
        <v>332</v>
      </c>
      <c r="C4" s="2" t="s">
        <v>335</v>
      </c>
      <c r="D4" s="2" t="s">
        <v>381</v>
      </c>
      <c r="E4" s="2">
        <v>1971</v>
      </c>
      <c r="F4" s="2">
        <v>1971</v>
      </c>
      <c r="G4" s="2">
        <v>1</v>
      </c>
      <c r="H4" s="2">
        <v>0</v>
      </c>
      <c r="I4" s="2">
        <v>1</v>
      </c>
      <c r="J4" s="2">
        <v>0</v>
      </c>
      <c r="K4" s="2">
        <v>0</v>
      </c>
      <c r="L4" s="2">
        <v>0</v>
      </c>
      <c r="M4" s="3">
        <v>15</v>
      </c>
      <c r="N4" s="4">
        <v>124.5</v>
      </c>
      <c r="O4" s="3">
        <v>1600</v>
      </c>
      <c r="P4" s="39">
        <v>17</v>
      </c>
      <c r="Q4" s="4">
        <v>65</v>
      </c>
      <c r="R4" s="4">
        <v>65.75</v>
      </c>
      <c r="S4" s="4">
        <v>1810</v>
      </c>
      <c r="T4" s="4">
        <v>1.858333</v>
      </c>
      <c r="U4" s="12"/>
      <c r="V4" s="3"/>
      <c r="W4" s="3"/>
      <c r="X4" s="3"/>
      <c r="Y4" s="3"/>
      <c r="Z4" s="3"/>
      <c r="AA4" s="3"/>
      <c r="AB4" s="3"/>
      <c r="AC4" s="3"/>
      <c r="AD4" s="3"/>
      <c r="AE4" s="3"/>
      <c r="AF4" s="3"/>
      <c r="AG4" s="3"/>
      <c r="AH4" s="3"/>
      <c r="AI4" s="3"/>
      <c r="AJ4" s="3"/>
      <c r="AK4" s="3"/>
      <c r="AL4" s="3"/>
      <c r="AM4" s="3"/>
      <c r="AN4" s="3"/>
      <c r="AO4" s="3"/>
      <c r="AP4" s="2"/>
      <c r="AQ4" s="3"/>
      <c r="AR4" s="3">
        <f>(4500+5100+8800)/3</f>
        <v>6133.333333333333</v>
      </c>
      <c r="AS4" s="3">
        <f>(8.3+9.3+9.2)/3</f>
        <v>8.9333333333333336</v>
      </c>
      <c r="AT4" s="3">
        <f>(12+13.2+13.3)/3</f>
        <v>12.833333333333334</v>
      </c>
      <c r="AU4" s="4">
        <f>(AS4/2)^2*PI()*AR4/10000</f>
        <v>38.442668646540483</v>
      </c>
      <c r="AV4" s="12"/>
      <c r="AW4" s="12"/>
      <c r="AX4" s="12"/>
      <c r="AY4" s="3"/>
      <c r="AZ4" s="3"/>
      <c r="BA4" s="3"/>
      <c r="BB4" s="3"/>
      <c r="BC4" s="3"/>
      <c r="BD4" s="3"/>
      <c r="BE4" s="3"/>
      <c r="BF4" s="3"/>
      <c r="BG4" s="3"/>
      <c r="BH4" s="12">
        <f>3.1*50%</f>
        <v>1.55</v>
      </c>
      <c r="BI4" s="12">
        <f>7.3*50%</f>
        <v>3.65</v>
      </c>
      <c r="BJ4" s="12">
        <f>40.6*50%</f>
        <v>20.3</v>
      </c>
      <c r="BK4" s="12">
        <f>SUM(BH4:BJ4)</f>
        <v>25.5</v>
      </c>
      <c r="BL4" s="3"/>
      <c r="BM4" s="3"/>
      <c r="BN4" s="3"/>
      <c r="BO4" s="3"/>
      <c r="BP4" s="3"/>
      <c r="BQ4" s="3"/>
      <c r="BR4" s="3"/>
      <c r="BS4" s="3"/>
      <c r="BT4" s="3"/>
      <c r="BU4" s="3"/>
      <c r="BV4" s="12">
        <f>3.1*50%</f>
        <v>1.55</v>
      </c>
      <c r="BW4" s="12">
        <f>7.3*50%</f>
        <v>3.65</v>
      </c>
      <c r="BX4" s="12">
        <f>40.6*50%</f>
        <v>20.3</v>
      </c>
      <c r="BY4" s="12">
        <f>SUM(BU4:BW4)</f>
        <v>5.2</v>
      </c>
      <c r="BZ4" s="12">
        <f>SUM(BV4:BX4)</f>
        <v>25.5</v>
      </c>
      <c r="CA4" s="3">
        <f>(2.2+4.1+1.5)/3*50%</f>
        <v>1.3</v>
      </c>
      <c r="CB4" s="3">
        <f>(3.4+6.4+2.4)/3*50%</f>
        <v>2.0333333333333337</v>
      </c>
      <c r="CC4" s="3"/>
      <c r="CD4" s="3">
        <f>SUM(CA4:CC4)</f>
        <v>3.3333333333333339</v>
      </c>
      <c r="CE4" s="3">
        <f>BZ4+CD4</f>
        <v>28.833333333333336</v>
      </c>
      <c r="CF4" s="3"/>
      <c r="CG4" s="3"/>
      <c r="CH4" s="3"/>
      <c r="CI4" s="2" t="s">
        <v>429</v>
      </c>
      <c r="CJ4" s="2" t="s">
        <v>330</v>
      </c>
      <c r="CK4" s="53"/>
      <c r="CL4" s="47" t="s">
        <v>85</v>
      </c>
      <c r="CM4" s="57" t="s">
        <v>370</v>
      </c>
      <c r="CN4" s="57" t="s">
        <v>433</v>
      </c>
      <c r="CO4" s="2" t="s">
        <v>461</v>
      </c>
    </row>
    <row r="5" spans="1:95" s="41" customFormat="1">
      <c r="A5" s="6" t="s">
        <v>12</v>
      </c>
      <c r="B5" s="6" t="s">
        <v>332</v>
      </c>
      <c r="C5" s="2" t="s">
        <v>375</v>
      </c>
      <c r="D5" s="6" t="s">
        <v>377</v>
      </c>
      <c r="E5" s="2">
        <v>1984</v>
      </c>
      <c r="F5" s="2">
        <v>1985</v>
      </c>
      <c r="G5" s="2">
        <v>0</v>
      </c>
      <c r="H5" s="2">
        <v>0</v>
      </c>
      <c r="I5" s="2">
        <v>0</v>
      </c>
      <c r="J5" s="2">
        <v>0</v>
      </c>
      <c r="K5" s="2">
        <v>0</v>
      </c>
      <c r="L5" s="2">
        <v>0</v>
      </c>
      <c r="M5" s="4">
        <v>15.304169999999999</v>
      </c>
      <c r="N5" s="4">
        <v>127.35</v>
      </c>
      <c r="O5" s="4">
        <v>1380.5</v>
      </c>
      <c r="P5" s="39">
        <v>42.5</v>
      </c>
      <c r="Q5" s="4">
        <v>65</v>
      </c>
      <c r="R5" s="4">
        <v>66.166669999999996</v>
      </c>
      <c r="S5" s="4">
        <v>1959.95</v>
      </c>
      <c r="T5" s="4">
        <v>1.745833</v>
      </c>
      <c r="U5" s="37"/>
      <c r="V5" s="38"/>
      <c r="W5" s="38"/>
      <c r="X5" s="38"/>
      <c r="Y5" s="38"/>
      <c r="Z5" s="38"/>
      <c r="AA5" s="38"/>
      <c r="AB5" s="38"/>
      <c r="AC5" s="38"/>
      <c r="AD5" s="38"/>
      <c r="AE5" s="38"/>
      <c r="AF5" s="38"/>
      <c r="AG5" s="38"/>
      <c r="AH5" s="38"/>
      <c r="AI5" s="38"/>
      <c r="AJ5" s="38"/>
      <c r="AK5" s="38"/>
      <c r="AL5" s="38"/>
      <c r="AM5" s="38"/>
      <c r="AN5" s="38"/>
      <c r="AO5" s="38"/>
      <c r="AP5" s="36"/>
      <c r="AQ5" s="38"/>
      <c r="AR5" s="3">
        <f>(6045+6014+5488+6611+5751)/5</f>
        <v>5981.8</v>
      </c>
      <c r="AS5" s="3">
        <f>(13.5+11.5+13.2+12.8+12.3)/5</f>
        <v>12.66</v>
      </c>
      <c r="AT5" s="38"/>
      <c r="AU5" s="3">
        <f>(71.9+53.7+60.9+77.7+66.2)/5</f>
        <v>66.08</v>
      </c>
      <c r="AV5" s="37"/>
      <c r="AW5" s="37"/>
      <c r="AX5" s="37"/>
      <c r="AY5" s="38"/>
      <c r="AZ5" s="38"/>
      <c r="BA5" s="38"/>
      <c r="BB5" s="38"/>
      <c r="BC5" s="38"/>
      <c r="BD5" s="38"/>
      <c r="BE5" s="38"/>
      <c r="BF5" s="38"/>
      <c r="BG5" s="38"/>
      <c r="BH5" s="37"/>
      <c r="BI5" s="37"/>
      <c r="BJ5" s="4">
        <f>(161.7+113+139.6+118.3+132.7)/5*50%</f>
        <v>66.53</v>
      </c>
      <c r="BK5" s="37"/>
      <c r="BL5" s="38"/>
      <c r="BM5" s="38"/>
      <c r="BN5" s="38"/>
      <c r="BO5" s="38"/>
      <c r="BP5" s="38"/>
      <c r="BQ5" s="38"/>
      <c r="BR5" s="38"/>
      <c r="BS5" s="38"/>
      <c r="BT5" s="38"/>
      <c r="BU5" s="37"/>
      <c r="BV5" s="37"/>
      <c r="BW5" s="37"/>
      <c r="BX5" s="37"/>
      <c r="BY5" s="37"/>
      <c r="BZ5" s="37"/>
      <c r="CA5" s="37"/>
      <c r="CB5" s="37"/>
      <c r="CC5" s="37"/>
      <c r="CD5" s="37"/>
      <c r="CE5" s="38"/>
      <c r="CF5" s="38"/>
      <c r="CG5" s="38"/>
      <c r="CH5" s="38"/>
      <c r="CI5" s="2" t="s">
        <v>347</v>
      </c>
      <c r="CJ5" s="2" t="s">
        <v>384</v>
      </c>
      <c r="CK5" s="53" t="s">
        <v>336</v>
      </c>
      <c r="CL5" s="47" t="s">
        <v>85</v>
      </c>
      <c r="CM5" s="47" t="s">
        <v>85</v>
      </c>
      <c r="CN5" s="47" t="s">
        <v>424</v>
      </c>
      <c r="CO5" s="2" t="s">
        <v>385</v>
      </c>
    </row>
    <row r="6" spans="1:95" s="41" customFormat="1">
      <c r="A6" s="6" t="s">
        <v>12</v>
      </c>
      <c r="B6" s="6" t="s">
        <v>332</v>
      </c>
      <c r="C6" s="2" t="s">
        <v>355</v>
      </c>
      <c r="D6" s="6" t="s">
        <v>378</v>
      </c>
      <c r="E6" s="2">
        <v>1984</v>
      </c>
      <c r="F6" s="2">
        <v>1985</v>
      </c>
      <c r="G6" s="2">
        <v>0</v>
      </c>
      <c r="H6" s="2">
        <v>0</v>
      </c>
      <c r="I6" s="2">
        <v>0</v>
      </c>
      <c r="J6" s="2">
        <v>0</v>
      </c>
      <c r="K6" s="2">
        <v>0</v>
      </c>
      <c r="L6" s="2">
        <v>0</v>
      </c>
      <c r="M6" s="4">
        <v>15.304169999999999</v>
      </c>
      <c r="N6" s="4">
        <v>127.35</v>
      </c>
      <c r="O6" s="4">
        <v>1380.5</v>
      </c>
      <c r="P6" s="39">
        <v>42.5</v>
      </c>
      <c r="Q6" s="4">
        <v>65</v>
      </c>
      <c r="R6" s="4">
        <v>66.166669999999996</v>
      </c>
      <c r="S6" s="4">
        <v>1959.95</v>
      </c>
      <c r="T6" s="4">
        <v>1.745833</v>
      </c>
      <c r="U6" s="37"/>
      <c r="V6" s="38"/>
      <c r="W6" s="38"/>
      <c r="X6" s="38"/>
      <c r="Y6" s="38"/>
      <c r="Z6" s="38"/>
      <c r="AA6" s="38"/>
      <c r="AB6" s="38"/>
      <c r="AC6" s="38"/>
      <c r="AD6" s="38"/>
      <c r="AE6" s="38"/>
      <c r="AF6" s="38"/>
      <c r="AG6" s="38"/>
      <c r="AH6" s="38"/>
      <c r="AI6" s="38"/>
      <c r="AJ6" s="38"/>
      <c r="AK6" s="38"/>
      <c r="AL6" s="38"/>
      <c r="AM6" s="38"/>
      <c r="AN6" s="38"/>
      <c r="AO6" s="38"/>
      <c r="AP6" s="36"/>
      <c r="AQ6" s="38"/>
      <c r="AR6" s="3">
        <f>(8536+8617+4803)/3</f>
        <v>7318.666666666667</v>
      </c>
      <c r="AS6" s="3">
        <f>(8.3+12.9+10)/3</f>
        <v>10.4</v>
      </c>
      <c r="AT6" s="38"/>
      <c r="AU6" s="3">
        <f>(31.9+108+42.1)/3</f>
        <v>60.666666666666664</v>
      </c>
      <c r="AV6" s="37"/>
      <c r="AW6" s="37"/>
      <c r="AX6" s="37"/>
      <c r="AY6" s="38"/>
      <c r="AZ6" s="38"/>
      <c r="BA6" s="38"/>
      <c r="BB6" s="38"/>
      <c r="BC6" s="38"/>
      <c r="BD6" s="38"/>
      <c r="BE6" s="38"/>
      <c r="BF6" s="38"/>
      <c r="BG6" s="38"/>
      <c r="BH6" s="37"/>
      <c r="BI6" s="37"/>
      <c r="BJ6" s="4">
        <f>(80.1+218+67.1)/3*50%</f>
        <v>60.866666666666674</v>
      </c>
      <c r="BK6" s="37"/>
      <c r="BL6" s="38"/>
      <c r="BM6" s="38"/>
      <c r="BN6" s="38"/>
      <c r="BO6" s="38"/>
      <c r="BP6" s="38"/>
      <c r="BQ6" s="38"/>
      <c r="BR6" s="38"/>
      <c r="BS6" s="38"/>
      <c r="BT6" s="38"/>
      <c r="BU6" s="37"/>
      <c r="BV6" s="37"/>
      <c r="BW6" s="37"/>
      <c r="BX6" s="37"/>
      <c r="BY6" s="37"/>
      <c r="BZ6" s="37"/>
      <c r="CA6" s="37"/>
      <c r="CB6" s="37"/>
      <c r="CC6" s="37"/>
      <c r="CD6" s="37"/>
      <c r="CE6" s="38"/>
      <c r="CF6" s="38"/>
      <c r="CG6" s="38"/>
      <c r="CH6" s="38"/>
      <c r="CI6" s="2" t="s">
        <v>347</v>
      </c>
      <c r="CJ6" s="2" t="s">
        <v>330</v>
      </c>
      <c r="CK6" s="53" t="s">
        <v>336</v>
      </c>
      <c r="CL6" s="47" t="s">
        <v>85</v>
      </c>
      <c r="CM6" s="47" t="s">
        <v>85</v>
      </c>
      <c r="CN6" s="47" t="s">
        <v>424</v>
      </c>
      <c r="CO6" s="2" t="s">
        <v>385</v>
      </c>
    </row>
    <row r="7" spans="1:95" s="41" customFormat="1">
      <c r="A7" s="6" t="s">
        <v>12</v>
      </c>
      <c r="B7" s="6" t="s">
        <v>332</v>
      </c>
      <c r="C7" s="2" t="s">
        <v>371</v>
      </c>
      <c r="D7" s="6" t="s">
        <v>379</v>
      </c>
      <c r="E7" s="2">
        <v>1984</v>
      </c>
      <c r="F7" s="2">
        <v>1985</v>
      </c>
      <c r="G7" s="2">
        <v>0</v>
      </c>
      <c r="H7" s="2">
        <v>0</v>
      </c>
      <c r="I7" s="2">
        <v>0</v>
      </c>
      <c r="J7" s="2">
        <v>0</v>
      </c>
      <c r="K7" s="2">
        <v>0</v>
      </c>
      <c r="L7" s="2">
        <v>0</v>
      </c>
      <c r="M7" s="4">
        <v>15.304169999999999</v>
      </c>
      <c r="N7" s="4">
        <v>127.35</v>
      </c>
      <c r="O7" s="4">
        <v>1380.5</v>
      </c>
      <c r="P7" s="39">
        <v>42.5</v>
      </c>
      <c r="Q7" s="4">
        <v>65</v>
      </c>
      <c r="R7" s="4">
        <v>66.166669999999996</v>
      </c>
      <c r="S7" s="4">
        <v>1959.95</v>
      </c>
      <c r="T7" s="4">
        <v>1.745833</v>
      </c>
      <c r="U7" s="37"/>
      <c r="V7" s="38"/>
      <c r="W7" s="38"/>
      <c r="X7" s="38"/>
      <c r="Y7" s="38"/>
      <c r="Z7" s="38"/>
      <c r="AA7" s="38"/>
      <c r="AB7" s="38"/>
      <c r="AC7" s="38"/>
      <c r="AD7" s="38"/>
      <c r="AE7" s="38"/>
      <c r="AF7" s="38"/>
      <c r="AG7" s="38"/>
      <c r="AH7" s="38"/>
      <c r="AI7" s="38"/>
      <c r="AJ7" s="38"/>
      <c r="AK7" s="38"/>
      <c r="AL7" s="38"/>
      <c r="AM7" s="38"/>
      <c r="AN7" s="38"/>
      <c r="AO7" s="38"/>
      <c r="AP7" s="36"/>
      <c r="AQ7" s="38"/>
      <c r="AR7" s="3">
        <f>5181</f>
        <v>5181</v>
      </c>
      <c r="AS7" s="3">
        <f>12.7</f>
        <v>12.7</v>
      </c>
      <c r="AT7" s="38"/>
      <c r="AU7" s="3">
        <v>57.6</v>
      </c>
      <c r="AV7" s="37"/>
      <c r="AW7" s="37"/>
      <c r="AX7" s="37"/>
      <c r="AY7" s="38"/>
      <c r="AZ7" s="38"/>
      <c r="BA7" s="38"/>
      <c r="BB7" s="38"/>
      <c r="BC7" s="38"/>
      <c r="BD7" s="38"/>
      <c r="BE7" s="38"/>
      <c r="BF7" s="38"/>
      <c r="BG7" s="38"/>
      <c r="BH7" s="37"/>
      <c r="BI7" s="37"/>
      <c r="BJ7" s="4">
        <f>136.5*50%</f>
        <v>68.25</v>
      </c>
      <c r="BK7" s="37"/>
      <c r="BL7" s="38"/>
      <c r="BM7" s="38"/>
      <c r="BN7" s="38"/>
      <c r="BO7" s="38"/>
      <c r="BP7" s="38"/>
      <c r="BQ7" s="38"/>
      <c r="BR7" s="38"/>
      <c r="BS7" s="38"/>
      <c r="BT7" s="38"/>
      <c r="BU7" s="37"/>
      <c r="BV7" s="37"/>
      <c r="BW7" s="37"/>
      <c r="BX7" s="37"/>
      <c r="BY7" s="37"/>
      <c r="BZ7" s="37"/>
      <c r="CA7" s="37"/>
      <c r="CB7" s="37"/>
      <c r="CC7" s="37"/>
      <c r="CD7" s="37"/>
      <c r="CE7" s="38"/>
      <c r="CF7" s="38"/>
      <c r="CG7" s="38"/>
      <c r="CH7" s="38"/>
      <c r="CI7" s="2" t="s">
        <v>347</v>
      </c>
      <c r="CJ7" s="2" t="s">
        <v>330</v>
      </c>
      <c r="CK7" s="53" t="s">
        <v>336</v>
      </c>
      <c r="CL7" s="47" t="s">
        <v>85</v>
      </c>
      <c r="CM7" s="47" t="s">
        <v>85</v>
      </c>
      <c r="CN7" s="47" t="s">
        <v>424</v>
      </c>
      <c r="CO7" s="2" t="s">
        <v>385</v>
      </c>
    </row>
    <row r="8" spans="1:95">
      <c r="A8" s="6" t="s">
        <v>12</v>
      </c>
      <c r="B8" s="6" t="s">
        <v>332</v>
      </c>
      <c r="C8" s="2" t="s">
        <v>386</v>
      </c>
      <c r="D8" s="6" t="s">
        <v>383</v>
      </c>
      <c r="E8" s="36">
        <v>1983</v>
      </c>
      <c r="F8" s="36">
        <v>1987</v>
      </c>
      <c r="G8" s="2">
        <v>1</v>
      </c>
      <c r="H8" s="2">
        <v>0</v>
      </c>
      <c r="I8" s="2">
        <v>0</v>
      </c>
      <c r="J8" s="2">
        <v>0</v>
      </c>
      <c r="K8" s="2">
        <v>1</v>
      </c>
      <c r="L8" s="2">
        <v>0</v>
      </c>
      <c r="M8" s="4">
        <v>15.375</v>
      </c>
      <c r="N8" s="4">
        <v>127.08</v>
      </c>
      <c r="O8" s="4">
        <v>1487.6</v>
      </c>
      <c r="P8" s="39">
        <v>27.2</v>
      </c>
      <c r="Q8" s="4">
        <v>65</v>
      </c>
      <c r="R8" s="4">
        <v>65.75</v>
      </c>
      <c r="S8" s="4">
        <v>1989.38</v>
      </c>
      <c r="T8" s="4">
        <v>1.691667</v>
      </c>
      <c r="U8" s="38"/>
      <c r="V8" s="38"/>
      <c r="W8" s="38"/>
      <c r="X8" s="38"/>
      <c r="Y8" s="38"/>
      <c r="Z8" s="38"/>
      <c r="AA8" s="38"/>
      <c r="AB8" s="38"/>
      <c r="AC8" s="38"/>
      <c r="AD8" s="38"/>
      <c r="AE8" s="38"/>
      <c r="AF8" s="38"/>
      <c r="AG8" s="38"/>
      <c r="AH8" s="38"/>
      <c r="AI8" s="38"/>
      <c r="AJ8" s="38"/>
      <c r="AK8" s="38"/>
      <c r="AL8" s="38"/>
      <c r="AM8" s="38"/>
      <c r="AN8" s="38"/>
      <c r="AO8" s="38"/>
      <c r="AP8" s="36"/>
      <c r="AQ8" s="38"/>
      <c r="AR8" s="39">
        <v>3000</v>
      </c>
      <c r="AS8" s="38"/>
      <c r="AT8" s="38"/>
      <c r="AU8" s="38"/>
      <c r="AV8" s="37"/>
      <c r="AW8" s="37"/>
      <c r="AX8" s="37"/>
      <c r="AY8" s="38"/>
      <c r="AZ8" s="38"/>
      <c r="BA8" s="38"/>
      <c r="BB8" s="38"/>
      <c r="BC8" s="38"/>
      <c r="BD8" s="38"/>
      <c r="BE8" s="38"/>
      <c r="BF8" s="38"/>
      <c r="BG8" s="38"/>
      <c r="BH8" s="39">
        <f>22.8*50%</f>
        <v>11.4</v>
      </c>
      <c r="BI8" s="39">
        <f>15.5*50%</f>
        <v>7.75</v>
      </c>
      <c r="BJ8" s="39">
        <f>30.2*50%</f>
        <v>15.1</v>
      </c>
      <c r="BK8" s="39">
        <f>80.3*50%</f>
        <v>40.15</v>
      </c>
      <c r="BL8" s="38"/>
      <c r="BM8" s="38"/>
      <c r="BN8" s="38"/>
      <c r="BO8" s="38"/>
      <c r="BP8" s="38"/>
      <c r="BQ8" s="38"/>
      <c r="BR8" s="38"/>
      <c r="BS8" s="38"/>
      <c r="BT8" s="38"/>
      <c r="BU8" s="38"/>
      <c r="BV8" s="37">
        <f>22.8/5*50%</f>
        <v>2.2800000000000002</v>
      </c>
      <c r="BW8" s="37">
        <f>15.5/5*50%</f>
        <v>1.55</v>
      </c>
      <c r="BX8" s="37">
        <f>30.2/5*50%</f>
        <v>3.02</v>
      </c>
      <c r="BY8" s="37">
        <f>(589.9+652.3)/2*100*100/1000/1000*50%</f>
        <v>3.1054999999999997</v>
      </c>
      <c r="BZ8" s="37">
        <f>80.3/5*50%</f>
        <v>8.0299999999999994</v>
      </c>
      <c r="CA8" s="38"/>
      <c r="CB8" s="38"/>
      <c r="CC8" s="38"/>
      <c r="CD8" s="38"/>
      <c r="CE8" s="38"/>
      <c r="CF8" s="38"/>
      <c r="CG8" s="38"/>
      <c r="CH8" s="38"/>
      <c r="CI8" s="2" t="s">
        <v>346</v>
      </c>
      <c r="CJ8" s="2" t="s">
        <v>330</v>
      </c>
      <c r="CK8" s="46" t="s">
        <v>333</v>
      </c>
      <c r="CL8" s="47" t="s">
        <v>392</v>
      </c>
      <c r="CM8" s="47" t="s">
        <v>85</v>
      </c>
      <c r="CN8" s="47" t="s">
        <v>434</v>
      </c>
      <c r="CO8" s="2" t="s">
        <v>399</v>
      </c>
    </row>
    <row r="9" spans="1:95">
      <c r="A9" s="6" t="s">
        <v>12</v>
      </c>
      <c r="B9" s="6" t="s">
        <v>332</v>
      </c>
      <c r="C9" s="2" t="s">
        <v>334</v>
      </c>
      <c r="D9" s="2" t="s">
        <v>382</v>
      </c>
      <c r="E9" s="36">
        <v>1983</v>
      </c>
      <c r="F9" s="36">
        <v>1987</v>
      </c>
      <c r="G9" s="2">
        <v>1</v>
      </c>
      <c r="H9" s="2">
        <v>0</v>
      </c>
      <c r="I9" s="2">
        <v>1</v>
      </c>
      <c r="J9" s="2">
        <v>0</v>
      </c>
      <c r="K9" s="2">
        <v>0</v>
      </c>
      <c r="L9" s="2">
        <v>0</v>
      </c>
      <c r="M9" s="4">
        <v>15.375</v>
      </c>
      <c r="N9" s="4">
        <v>127.08</v>
      </c>
      <c r="O9" s="4">
        <v>1487.6</v>
      </c>
      <c r="P9" s="39">
        <v>27.2</v>
      </c>
      <c r="Q9" s="4">
        <v>65</v>
      </c>
      <c r="R9" s="4">
        <v>65.75</v>
      </c>
      <c r="S9" s="4">
        <v>1989.38</v>
      </c>
      <c r="T9" s="4">
        <v>1.691667</v>
      </c>
      <c r="U9" s="38"/>
      <c r="V9" s="38"/>
      <c r="W9" s="38"/>
      <c r="X9" s="38"/>
      <c r="Y9" s="38"/>
      <c r="Z9" s="38"/>
      <c r="AA9" s="38"/>
      <c r="AB9" s="38"/>
      <c r="AC9" s="38"/>
      <c r="AD9" s="38"/>
      <c r="AE9" s="38"/>
      <c r="AF9" s="38"/>
      <c r="AG9" s="38"/>
      <c r="AH9" s="38"/>
      <c r="AI9" s="38"/>
      <c r="AJ9" s="38"/>
      <c r="AK9" s="38"/>
      <c r="AL9" s="38"/>
      <c r="AM9" s="38"/>
      <c r="AN9" s="38"/>
      <c r="AO9" s="38"/>
      <c r="AP9" s="36"/>
      <c r="AQ9" s="38"/>
      <c r="AR9" s="39">
        <v>7200</v>
      </c>
      <c r="AS9" s="38"/>
      <c r="AT9" s="38"/>
      <c r="AU9" s="38"/>
      <c r="AV9" s="37"/>
      <c r="AW9" s="37"/>
      <c r="AX9" s="37"/>
      <c r="AY9" s="38"/>
      <c r="AZ9" s="38"/>
      <c r="BA9" s="38"/>
      <c r="BB9" s="38"/>
      <c r="BC9" s="38"/>
      <c r="BD9" s="38"/>
      <c r="BE9" s="38"/>
      <c r="BF9" s="38"/>
      <c r="BG9" s="38"/>
      <c r="BH9" s="39">
        <f>28.4*50%+BH11*40%</f>
        <v>15.26</v>
      </c>
      <c r="BI9" s="39">
        <f>13.1*50%+BI11*40%</f>
        <v>9.19</v>
      </c>
      <c r="BJ9" s="39">
        <f>25.4*50%+BJ11*40%</f>
        <v>28.02</v>
      </c>
      <c r="BK9" s="39">
        <f>SUM(BH9:BJ9)</f>
        <v>52.47</v>
      </c>
      <c r="BL9" s="38"/>
      <c r="BM9" s="38"/>
      <c r="BN9" s="38"/>
      <c r="BO9" s="38"/>
      <c r="BP9" s="38"/>
      <c r="BQ9" s="38"/>
      <c r="BR9" s="38"/>
      <c r="BS9" s="38"/>
      <c r="BT9" s="38"/>
      <c r="BU9" s="38"/>
      <c r="BV9" s="37">
        <f>28.4/5*50%</f>
        <v>2.84</v>
      </c>
      <c r="BW9" s="37">
        <f>13.1/5*50%</f>
        <v>1.31</v>
      </c>
      <c r="BX9" s="37">
        <f>25.4/5*50%</f>
        <v>2.54</v>
      </c>
      <c r="BY9" s="37">
        <f>(628.8+657.9)/2*100*100/1000/1000*50%</f>
        <v>3.2167499999999993</v>
      </c>
      <c r="BZ9" s="37">
        <f>78.6/5*50%</f>
        <v>7.8599999999999994</v>
      </c>
      <c r="CA9" s="38"/>
      <c r="CB9" s="38"/>
      <c r="CC9" s="38"/>
      <c r="CD9" s="38"/>
      <c r="CE9" s="38"/>
      <c r="CF9" s="38"/>
      <c r="CG9" s="38"/>
      <c r="CH9" s="38"/>
      <c r="CI9" s="2" t="s">
        <v>346</v>
      </c>
      <c r="CJ9" s="2" t="s">
        <v>330</v>
      </c>
      <c r="CK9" s="46" t="s">
        <v>333</v>
      </c>
      <c r="CL9" s="47" t="s">
        <v>393</v>
      </c>
      <c r="CM9" s="47" t="s">
        <v>396</v>
      </c>
      <c r="CN9" s="47" t="s">
        <v>434</v>
      </c>
      <c r="CO9" s="2" t="s">
        <v>398</v>
      </c>
    </row>
    <row r="10" spans="1:95" s="50" customFormat="1">
      <c r="A10" s="6" t="s">
        <v>12</v>
      </c>
      <c r="B10" s="6" t="s">
        <v>332</v>
      </c>
      <c r="C10" s="2" t="s">
        <v>388</v>
      </c>
      <c r="D10" s="2" t="s">
        <v>390</v>
      </c>
      <c r="E10" s="36">
        <v>1983</v>
      </c>
      <c r="F10" s="36">
        <v>1987</v>
      </c>
      <c r="G10" s="2">
        <v>0</v>
      </c>
      <c r="H10" s="2">
        <v>0</v>
      </c>
      <c r="I10" s="2">
        <v>0</v>
      </c>
      <c r="J10" s="2">
        <v>0</v>
      </c>
      <c r="K10" s="2">
        <v>0</v>
      </c>
      <c r="L10" s="2">
        <v>0</v>
      </c>
      <c r="M10" s="4">
        <v>15.375</v>
      </c>
      <c r="N10" s="4">
        <v>127.08</v>
      </c>
      <c r="O10" s="4">
        <v>1487.6</v>
      </c>
      <c r="P10" s="39">
        <v>27.2</v>
      </c>
      <c r="Q10" s="4">
        <v>65</v>
      </c>
      <c r="R10" s="4">
        <v>65.75</v>
      </c>
      <c r="S10" s="4">
        <v>1989.38</v>
      </c>
      <c r="T10" s="4">
        <v>1.691667</v>
      </c>
      <c r="U10" s="12"/>
      <c r="V10" s="3"/>
      <c r="W10" s="3"/>
      <c r="X10" s="3"/>
      <c r="Y10" s="3"/>
      <c r="Z10" s="3"/>
      <c r="AA10" s="3"/>
      <c r="AB10" s="3"/>
      <c r="AC10" s="3"/>
      <c r="AD10" s="3"/>
      <c r="AE10" s="3"/>
      <c r="AF10" s="3"/>
      <c r="AG10" s="3"/>
      <c r="AH10" s="3"/>
      <c r="AI10" s="3"/>
      <c r="AJ10" s="3"/>
      <c r="AK10" s="3"/>
      <c r="AL10" s="3"/>
      <c r="AM10" s="3"/>
      <c r="AN10" s="3"/>
      <c r="AO10" s="3"/>
      <c r="AP10" s="2"/>
      <c r="AQ10" s="3"/>
      <c r="AR10" s="39">
        <v>8000</v>
      </c>
      <c r="AS10" s="38"/>
      <c r="AT10" s="38"/>
      <c r="AU10" s="38"/>
      <c r="AV10" s="12"/>
      <c r="AW10" s="12"/>
      <c r="AX10" s="12"/>
      <c r="AY10" s="3"/>
      <c r="AZ10" s="3"/>
      <c r="BA10" s="3"/>
      <c r="BB10" s="3"/>
      <c r="BC10" s="3"/>
      <c r="BD10" s="3"/>
      <c r="BE10" s="3"/>
      <c r="BF10" s="3"/>
      <c r="BG10" s="3"/>
      <c r="BH10" s="37">
        <f>37.6*50%+BH11</f>
        <v>21.45</v>
      </c>
      <c r="BI10" s="37">
        <f>14.3*50%+BI11</f>
        <v>13.75</v>
      </c>
      <c r="BJ10" s="37">
        <f>27.4*50%+BJ11</f>
        <v>52</v>
      </c>
      <c r="BK10" s="37">
        <f>SUM(BH10:BJ10)</f>
        <v>87.2</v>
      </c>
      <c r="BL10" s="3"/>
      <c r="BM10" s="3"/>
      <c r="BN10" s="3"/>
      <c r="BO10" s="3"/>
      <c r="BP10" s="3"/>
      <c r="BQ10" s="3"/>
      <c r="BR10" s="3"/>
      <c r="BS10" s="3"/>
      <c r="BT10" s="3"/>
      <c r="BU10" s="3"/>
      <c r="BV10" s="37">
        <f>37.6/5*50%</f>
        <v>3.7600000000000002</v>
      </c>
      <c r="BW10" s="37">
        <f>14.3/5*50%</f>
        <v>1.4300000000000002</v>
      </c>
      <c r="BX10" s="37">
        <f>27.4/5*50%</f>
        <v>2.7399999999999998</v>
      </c>
      <c r="BY10" s="37">
        <f>(753+717)*100*100/1000/1000*50%</f>
        <v>7.35</v>
      </c>
      <c r="BZ10" s="37">
        <f>91.1/5*50%</f>
        <v>9.11</v>
      </c>
      <c r="CA10" s="3"/>
      <c r="CB10" s="3"/>
      <c r="CC10" s="3"/>
      <c r="CD10" s="3"/>
      <c r="CE10" s="3"/>
      <c r="CF10" s="3"/>
      <c r="CG10" s="3"/>
      <c r="CH10" s="3"/>
      <c r="CI10" s="2" t="s">
        <v>346</v>
      </c>
      <c r="CJ10" s="2" t="s">
        <v>330</v>
      </c>
      <c r="CK10" s="46" t="s">
        <v>333</v>
      </c>
      <c r="CL10" s="51" t="s">
        <v>394</v>
      </c>
      <c r="CM10" s="52" t="s">
        <v>85</v>
      </c>
      <c r="CN10" s="52" t="s">
        <v>434</v>
      </c>
      <c r="CO10" s="2" t="s">
        <v>397</v>
      </c>
    </row>
    <row r="11" spans="1:95">
      <c r="A11" s="6" t="s">
        <v>12</v>
      </c>
      <c r="B11" s="6" t="s">
        <v>332</v>
      </c>
      <c r="C11" s="2" t="s">
        <v>389</v>
      </c>
      <c r="D11" s="2" t="s">
        <v>391</v>
      </c>
      <c r="E11" s="2">
        <v>1983</v>
      </c>
      <c r="F11" s="2">
        <v>1983</v>
      </c>
      <c r="G11" s="2">
        <v>0</v>
      </c>
      <c r="H11" s="2">
        <v>0</v>
      </c>
      <c r="I11" s="2">
        <v>0</v>
      </c>
      <c r="J11" s="2">
        <v>0</v>
      </c>
      <c r="K11" s="2">
        <v>0</v>
      </c>
      <c r="L11" s="2">
        <v>0</v>
      </c>
      <c r="M11" s="4">
        <v>15.39167</v>
      </c>
      <c r="N11" s="4">
        <v>125.4</v>
      </c>
      <c r="O11" s="4">
        <v>1928</v>
      </c>
      <c r="P11" s="39">
        <v>12</v>
      </c>
      <c r="Q11" s="4">
        <v>65</v>
      </c>
      <c r="R11" s="4">
        <v>65.75</v>
      </c>
      <c r="S11" s="4">
        <v>2046.8</v>
      </c>
      <c r="T11" s="4">
        <v>1.558333</v>
      </c>
      <c r="U11" s="3"/>
      <c r="V11" s="3"/>
      <c r="W11" s="3"/>
      <c r="X11" s="3"/>
      <c r="Y11" s="3"/>
      <c r="Z11" s="3"/>
      <c r="AA11" s="3"/>
      <c r="AB11" s="3"/>
      <c r="AC11" s="3"/>
      <c r="AD11" s="3"/>
      <c r="AE11" s="3"/>
      <c r="AF11" s="3"/>
      <c r="AG11" s="3"/>
      <c r="AH11" s="3"/>
      <c r="AI11" s="3"/>
      <c r="AJ11" s="3"/>
      <c r="AK11" s="3"/>
      <c r="AL11" s="3"/>
      <c r="AM11" s="3"/>
      <c r="AN11" s="3"/>
      <c r="AO11" s="3"/>
      <c r="AP11" s="2"/>
      <c r="AQ11" s="3"/>
      <c r="AR11" s="3">
        <v>7200</v>
      </c>
      <c r="AS11" s="3">
        <v>9.6</v>
      </c>
      <c r="AT11" s="3">
        <v>13.6</v>
      </c>
      <c r="AU11" s="3">
        <v>53.9</v>
      </c>
      <c r="AV11" s="12"/>
      <c r="AW11" s="12">
        <v>11.9</v>
      </c>
      <c r="AX11" s="12"/>
      <c r="AY11" s="3"/>
      <c r="AZ11" s="3"/>
      <c r="BA11" s="3"/>
      <c r="BB11" s="3"/>
      <c r="BC11" s="3"/>
      <c r="BD11" s="3"/>
      <c r="BE11" s="3"/>
      <c r="BF11" s="3"/>
      <c r="BG11" s="3"/>
      <c r="BH11" s="58">
        <f>5.3*50%</f>
        <v>2.65</v>
      </c>
      <c r="BI11" s="58">
        <f>13.2*50%</f>
        <v>6.6</v>
      </c>
      <c r="BJ11" s="58">
        <f>76.6*50%</f>
        <v>38.299999999999997</v>
      </c>
      <c r="BK11" s="58">
        <f>SUM(BH11:BJ11)</f>
        <v>47.55</v>
      </c>
      <c r="BL11" s="3"/>
      <c r="BM11" s="3"/>
      <c r="BN11" s="3"/>
      <c r="BO11" s="3"/>
      <c r="BP11" s="3"/>
      <c r="BQ11" s="3"/>
      <c r="BR11" s="3"/>
      <c r="BS11" s="3"/>
      <c r="BT11" s="3"/>
      <c r="BU11" s="3"/>
      <c r="BV11" s="48"/>
      <c r="BW11" s="48"/>
      <c r="BX11" s="48"/>
      <c r="BY11" s="48"/>
      <c r="BZ11" s="48"/>
      <c r="CA11" s="38"/>
      <c r="CB11" s="38"/>
      <c r="CC11" s="38"/>
      <c r="CD11" s="38"/>
      <c r="CE11" s="38"/>
      <c r="CF11" s="38"/>
      <c r="CG11" s="38"/>
      <c r="CH11" s="38"/>
      <c r="CI11" s="2" t="s">
        <v>346</v>
      </c>
      <c r="CJ11" s="2" t="s">
        <v>330</v>
      </c>
      <c r="CK11" s="46" t="s">
        <v>333</v>
      </c>
      <c r="CL11" s="47" t="s">
        <v>395</v>
      </c>
      <c r="CM11" s="47" t="s">
        <v>85</v>
      </c>
      <c r="CN11" s="47" t="s">
        <v>424</v>
      </c>
      <c r="CO11" s="2" t="s">
        <v>387</v>
      </c>
    </row>
    <row r="12" spans="1:95">
      <c r="A12" s="6" t="s">
        <v>12</v>
      </c>
      <c r="B12" s="2" t="s">
        <v>188</v>
      </c>
      <c r="C12" s="2" t="s">
        <v>400</v>
      </c>
      <c r="D12" s="2" t="s">
        <v>373</v>
      </c>
      <c r="E12" s="2">
        <v>2002</v>
      </c>
      <c r="F12" s="2">
        <v>2003</v>
      </c>
      <c r="G12" s="2">
        <v>0</v>
      </c>
      <c r="H12" s="2">
        <v>0</v>
      </c>
      <c r="I12" s="2">
        <v>0</v>
      </c>
      <c r="J12" s="2">
        <v>0</v>
      </c>
      <c r="K12" s="2">
        <v>0</v>
      </c>
      <c r="L12" s="2">
        <v>0</v>
      </c>
      <c r="M12" s="4">
        <v>16.087499999999999</v>
      </c>
      <c r="N12" s="4">
        <v>133.5</v>
      </c>
      <c r="O12" s="4">
        <v>1556.5</v>
      </c>
      <c r="P12" s="39">
        <v>0</v>
      </c>
      <c r="Q12" s="4">
        <f>(50+92)/2</f>
        <v>71</v>
      </c>
      <c r="R12" s="22"/>
      <c r="S12" s="66">
        <v>1659.6</v>
      </c>
      <c r="T12" s="4">
        <v>2.329167</v>
      </c>
      <c r="U12" s="12"/>
      <c r="V12" s="3"/>
      <c r="W12" s="3"/>
      <c r="X12" s="3"/>
      <c r="Y12" s="3"/>
      <c r="Z12" s="3"/>
      <c r="AA12" s="3"/>
      <c r="AB12" s="3"/>
      <c r="AC12" s="3"/>
      <c r="AD12" s="3"/>
      <c r="AE12" s="3"/>
      <c r="AF12" s="3"/>
      <c r="AG12" s="3"/>
      <c r="AH12" s="3"/>
      <c r="AI12" s="3"/>
      <c r="AJ12" s="3"/>
      <c r="AK12" s="3"/>
      <c r="AL12" s="3"/>
      <c r="AM12" s="3"/>
      <c r="AN12" s="3"/>
      <c r="AO12" s="3"/>
      <c r="AP12" s="2"/>
      <c r="AQ12" s="3"/>
      <c r="AR12" s="3">
        <f>(8000+8791+5263)/3</f>
        <v>7351.333333333333</v>
      </c>
      <c r="AS12" s="3">
        <f>(8000*12.3+8791*9.8+5263*11.4)/(AR12*3)</f>
        <v>11.088691393851455</v>
      </c>
      <c r="AT12" s="3">
        <f>(8000*17+8791*14.2+5263*15.9)/(AR12*3)</f>
        <v>15.621379341616034</v>
      </c>
      <c r="AU12" s="4">
        <f>(AS12/2)^2*PI()*AR12/10000</f>
        <v>70.993173583070003</v>
      </c>
      <c r="AV12" s="12"/>
      <c r="AW12" s="12"/>
      <c r="AX12" s="12"/>
      <c r="AY12" s="3"/>
      <c r="AZ12" s="3"/>
      <c r="BA12" s="3"/>
      <c r="BB12" s="3"/>
      <c r="BC12" s="3"/>
      <c r="BD12" s="3"/>
      <c r="BE12" s="3"/>
      <c r="BF12" s="3"/>
      <c r="BG12" s="3"/>
      <c r="BH12" s="12"/>
      <c r="BI12" s="12"/>
      <c r="BJ12" s="12"/>
      <c r="BK12" s="3">
        <f>((233.1+151.1+138.3)/3)*50%</f>
        <v>87.083333333333329</v>
      </c>
      <c r="BL12" s="3"/>
      <c r="BM12" s="3"/>
      <c r="BN12" s="3"/>
      <c r="BO12" s="3"/>
      <c r="BP12" s="3"/>
      <c r="BQ12" s="3"/>
      <c r="BR12" s="3"/>
      <c r="BS12" s="3"/>
      <c r="BT12" s="3"/>
      <c r="BU12" s="3"/>
      <c r="BV12" s="3"/>
      <c r="BW12" s="3"/>
      <c r="BX12" s="3"/>
      <c r="BY12" s="3"/>
      <c r="BZ12" s="3"/>
      <c r="CA12" s="3"/>
      <c r="CB12" s="3"/>
      <c r="CC12" s="3"/>
      <c r="CD12" s="3"/>
      <c r="CE12" s="3"/>
      <c r="CF12" s="3"/>
      <c r="CG12" s="3"/>
      <c r="CH12" s="3"/>
      <c r="CI12" s="6" t="s">
        <v>367</v>
      </c>
      <c r="CJ12" s="2" t="s">
        <v>35</v>
      </c>
      <c r="CK12" s="46" t="s">
        <v>339</v>
      </c>
      <c r="CL12" s="47" t="s">
        <v>85</v>
      </c>
      <c r="CM12" s="47" t="s">
        <v>85</v>
      </c>
      <c r="CN12" s="47" t="s">
        <v>424</v>
      </c>
      <c r="CO12" s="2"/>
    </row>
    <row r="13" spans="1:95">
      <c r="A13" s="2" t="s">
        <v>12</v>
      </c>
      <c r="B13" s="2" t="s">
        <v>189</v>
      </c>
      <c r="C13" s="2" t="s">
        <v>401</v>
      </c>
      <c r="D13" s="2" t="s">
        <v>231</v>
      </c>
      <c r="E13" s="2">
        <v>2002</v>
      </c>
      <c r="F13" s="2">
        <v>2005</v>
      </c>
      <c r="G13" s="2">
        <v>1</v>
      </c>
      <c r="H13" s="2">
        <v>0</v>
      </c>
      <c r="I13" s="2">
        <v>1</v>
      </c>
      <c r="J13" s="16">
        <v>0</v>
      </c>
      <c r="K13" s="16">
        <v>0</v>
      </c>
      <c r="L13" s="16">
        <v>0</v>
      </c>
      <c r="M13" s="4">
        <v>16.177083333333332</v>
      </c>
      <c r="N13" s="4">
        <v>135.35</v>
      </c>
      <c r="O13" s="4">
        <v>1759.125</v>
      </c>
      <c r="P13" s="39">
        <v>56.75</v>
      </c>
      <c r="Q13" s="3">
        <v>70</v>
      </c>
      <c r="R13" s="4">
        <v>64.9375</v>
      </c>
      <c r="S13" s="4">
        <v>2042.8500000000001</v>
      </c>
      <c r="T13" s="4">
        <v>2.5979166666666664</v>
      </c>
      <c r="U13" s="12"/>
      <c r="V13" s="3"/>
      <c r="W13" s="3"/>
      <c r="X13" s="3"/>
      <c r="Y13" s="3"/>
      <c r="Z13" s="3"/>
      <c r="AA13" s="3"/>
      <c r="AB13" s="3"/>
      <c r="AC13" s="3"/>
      <c r="AD13" s="3"/>
      <c r="AE13" s="3"/>
      <c r="AF13" s="3"/>
      <c r="AG13" s="3"/>
      <c r="AH13" s="3"/>
      <c r="AI13" s="3"/>
      <c r="AJ13" s="3"/>
      <c r="AK13" s="3"/>
      <c r="AL13" s="3"/>
      <c r="AM13" s="3"/>
      <c r="AN13" s="3"/>
      <c r="AO13" s="3"/>
      <c r="AP13" s="2"/>
      <c r="AQ13" s="3"/>
      <c r="AR13" s="3">
        <v>3240</v>
      </c>
      <c r="AS13" s="3">
        <v>8.1999999999999993</v>
      </c>
      <c r="AT13" s="3"/>
      <c r="AU13" s="4">
        <f>(AS13/2)^2*PI()*AR13/10000</f>
        <v>17.110495892217592</v>
      </c>
      <c r="AV13" s="12"/>
      <c r="AW13" s="12"/>
      <c r="AX13" s="12"/>
      <c r="AY13" s="3">
        <v>45.2</v>
      </c>
      <c r="AZ13" s="3">
        <v>48.2</v>
      </c>
      <c r="BA13" s="3">
        <v>48.9</v>
      </c>
      <c r="BB13" s="3">
        <v>44.8</v>
      </c>
      <c r="BC13" s="3"/>
      <c r="BD13" s="3">
        <v>45.6</v>
      </c>
      <c r="BE13" s="3"/>
      <c r="BF13" s="3"/>
      <c r="BG13" s="3"/>
      <c r="BH13" s="12"/>
      <c r="BI13" s="12">
        <v>4.5999999999999996</v>
      </c>
      <c r="BJ13" s="12">
        <v>18</v>
      </c>
      <c r="BK13" s="3">
        <f>SUM(BH13:BJ13)</f>
        <v>22.6</v>
      </c>
      <c r="BL13" s="3">
        <f>BP13/BK13</f>
        <v>1.5088495575221239</v>
      </c>
      <c r="BM13" s="3">
        <v>11.8</v>
      </c>
      <c r="BN13" s="3">
        <v>14</v>
      </c>
      <c r="BO13" s="3">
        <v>8.3000000000000007</v>
      </c>
      <c r="BP13" s="3">
        <f>SUM(BM13:BO13)</f>
        <v>34.1</v>
      </c>
      <c r="BQ13" s="3">
        <f>BP13+BK13</f>
        <v>56.7</v>
      </c>
      <c r="BR13" s="3"/>
      <c r="BS13" s="3">
        <v>84.3</v>
      </c>
      <c r="BT13" s="3"/>
      <c r="BU13" s="3">
        <f>BQ13+BS13</f>
        <v>141</v>
      </c>
      <c r="BV13" s="3"/>
      <c r="BW13" s="3"/>
      <c r="BX13" s="3"/>
      <c r="BY13" s="3">
        <v>2.8</v>
      </c>
      <c r="BZ13" s="3"/>
      <c r="CA13" s="3"/>
      <c r="CB13" s="3"/>
      <c r="CC13" s="3"/>
      <c r="CD13" s="3"/>
      <c r="CE13" s="3"/>
      <c r="CF13" s="3"/>
      <c r="CG13" s="3"/>
      <c r="CH13" s="3"/>
      <c r="CI13" s="2" t="s">
        <v>344</v>
      </c>
      <c r="CJ13" s="2" t="s">
        <v>35</v>
      </c>
      <c r="CK13" s="46" t="s">
        <v>51</v>
      </c>
      <c r="CL13" s="47" t="s">
        <v>85</v>
      </c>
      <c r="CM13" s="47" t="s">
        <v>85</v>
      </c>
      <c r="CN13" s="47" t="s">
        <v>424</v>
      </c>
      <c r="CO13" s="2"/>
    </row>
    <row r="14" spans="1:95">
      <c r="A14" s="2" t="s">
        <v>12</v>
      </c>
      <c r="B14" s="2" t="s">
        <v>189</v>
      </c>
      <c r="C14" s="2" t="s">
        <v>402</v>
      </c>
      <c r="D14" s="2" t="s">
        <v>235</v>
      </c>
      <c r="E14" s="2">
        <v>2002</v>
      </c>
      <c r="F14" s="2">
        <v>2005</v>
      </c>
      <c r="G14" s="2">
        <v>0</v>
      </c>
      <c r="H14" s="2">
        <v>0</v>
      </c>
      <c r="I14" s="2">
        <v>0</v>
      </c>
      <c r="J14" s="2">
        <v>0</v>
      </c>
      <c r="K14" s="2">
        <v>0</v>
      </c>
      <c r="L14" s="2">
        <v>0</v>
      </c>
      <c r="M14" s="4">
        <v>16.177083333333332</v>
      </c>
      <c r="N14" s="4">
        <v>135.35</v>
      </c>
      <c r="O14" s="4">
        <v>1759.125</v>
      </c>
      <c r="P14" s="39">
        <v>56.75</v>
      </c>
      <c r="Q14" s="3">
        <v>70</v>
      </c>
      <c r="R14" s="4">
        <v>64.9375</v>
      </c>
      <c r="S14" s="4">
        <v>2042.8500000000001</v>
      </c>
      <c r="T14" s="4">
        <v>2.5979166666666664</v>
      </c>
      <c r="U14" s="12"/>
      <c r="V14" s="3"/>
      <c r="W14" s="3"/>
      <c r="X14" s="3"/>
      <c r="Y14" s="3"/>
      <c r="Z14" s="3"/>
      <c r="AA14" s="3"/>
      <c r="AB14" s="3"/>
      <c r="AC14" s="3"/>
      <c r="AD14" s="3"/>
      <c r="AE14" s="3"/>
      <c r="AF14" s="3"/>
      <c r="AG14" s="3"/>
      <c r="AH14" s="3"/>
      <c r="AI14" s="3"/>
      <c r="AJ14" s="3"/>
      <c r="AK14" s="3"/>
      <c r="AL14" s="3"/>
      <c r="AM14" s="3"/>
      <c r="AN14" s="3"/>
      <c r="AO14" s="3"/>
      <c r="AP14" s="2"/>
      <c r="AQ14" s="3"/>
      <c r="AR14" s="3">
        <v>8200</v>
      </c>
      <c r="AS14" s="3">
        <v>7.5</v>
      </c>
      <c r="AT14" s="3"/>
      <c r="AU14" s="4">
        <f>(AS14/2)^2*PI()*AR14/10000</f>
        <v>36.226490286707303</v>
      </c>
      <c r="AV14" s="12"/>
      <c r="AW14" s="12"/>
      <c r="AX14" s="12"/>
      <c r="AY14" s="3">
        <v>45.2</v>
      </c>
      <c r="AZ14" s="3">
        <v>48.2</v>
      </c>
      <c r="BA14" s="3">
        <v>48.9</v>
      </c>
      <c r="BB14" s="3">
        <v>44.8</v>
      </c>
      <c r="BC14" s="3"/>
      <c r="BD14" s="3">
        <v>45.6</v>
      </c>
      <c r="BE14" s="3"/>
      <c r="BF14" s="3"/>
      <c r="BG14" s="3"/>
      <c r="BH14" s="12"/>
      <c r="BI14" s="12">
        <v>8.1</v>
      </c>
      <c r="BJ14" s="12">
        <v>31.6</v>
      </c>
      <c r="BK14" s="3">
        <f>SUM(BH14:BJ14)</f>
        <v>39.700000000000003</v>
      </c>
      <c r="BL14" s="3">
        <f>BP14/BK14</f>
        <v>1.1435768261964734</v>
      </c>
      <c r="BM14" s="3">
        <v>19.8</v>
      </c>
      <c r="BN14" s="3">
        <v>13</v>
      </c>
      <c r="BO14" s="3">
        <v>12.6</v>
      </c>
      <c r="BP14" s="3">
        <f>SUM(BM14:BO14)</f>
        <v>45.4</v>
      </c>
      <c r="BQ14" s="3">
        <f>BP14+BK14</f>
        <v>85.1</v>
      </c>
      <c r="BR14" s="3"/>
      <c r="BS14" s="3">
        <v>61.3</v>
      </c>
      <c r="BT14" s="3"/>
      <c r="BU14" s="3">
        <f>BQ14+BS14</f>
        <v>146.39999999999998</v>
      </c>
      <c r="BV14" s="3"/>
      <c r="BW14" s="3"/>
      <c r="BX14" s="3"/>
      <c r="BY14" s="3">
        <v>4.7</v>
      </c>
      <c r="BZ14" s="3"/>
      <c r="CA14" s="3"/>
      <c r="CB14" s="3"/>
      <c r="CC14" s="3"/>
      <c r="CD14" s="3"/>
      <c r="CE14" s="3"/>
      <c r="CF14" s="3"/>
      <c r="CG14" s="3"/>
      <c r="CH14" s="3"/>
      <c r="CI14" s="2" t="s">
        <v>344</v>
      </c>
      <c r="CJ14" s="2" t="s">
        <v>35</v>
      </c>
      <c r="CK14" s="46" t="s">
        <v>51</v>
      </c>
      <c r="CL14" s="47" t="s">
        <v>85</v>
      </c>
      <c r="CM14" s="47" t="s">
        <v>393</v>
      </c>
      <c r="CN14" s="47" t="s">
        <v>424</v>
      </c>
      <c r="CO14" s="2"/>
    </row>
    <row r="15" spans="1:95">
      <c r="A15" s="2" t="s">
        <v>12</v>
      </c>
      <c r="B15" s="2" t="s">
        <v>189</v>
      </c>
      <c r="C15" s="2" t="s">
        <v>343</v>
      </c>
      <c r="D15" s="2" t="s">
        <v>372</v>
      </c>
      <c r="E15" s="2">
        <v>2002</v>
      </c>
      <c r="F15" s="2">
        <v>2005</v>
      </c>
      <c r="G15" s="2">
        <v>0</v>
      </c>
      <c r="H15" s="2">
        <v>0</v>
      </c>
      <c r="I15" s="2">
        <v>0</v>
      </c>
      <c r="J15" s="2">
        <v>0</v>
      </c>
      <c r="K15" s="2">
        <v>0</v>
      </c>
      <c r="L15" s="36">
        <v>1</v>
      </c>
      <c r="M15" s="4">
        <v>13.062499999999995</v>
      </c>
      <c r="N15" s="4">
        <v>105.32499999999999</v>
      </c>
      <c r="O15" s="4">
        <v>3462.5</v>
      </c>
      <c r="P15" s="39">
        <v>437.75</v>
      </c>
      <c r="Q15" s="3">
        <v>330</v>
      </c>
      <c r="R15" s="3"/>
      <c r="S15" s="4">
        <v>1223.2</v>
      </c>
      <c r="T15" s="4">
        <v>0.89166666666666672</v>
      </c>
      <c r="U15" s="12"/>
      <c r="V15" s="3"/>
      <c r="W15" s="3"/>
      <c r="X15" s="3"/>
      <c r="Y15" s="3"/>
      <c r="Z15" s="3"/>
      <c r="AA15" s="3"/>
      <c r="AB15" s="3"/>
      <c r="AC15" s="3"/>
      <c r="AD15" s="3"/>
      <c r="AE15" s="3"/>
      <c r="AF15" s="3"/>
      <c r="AG15" s="3"/>
      <c r="AH15" s="3"/>
      <c r="AI15" s="3"/>
      <c r="AJ15" s="3"/>
      <c r="AK15" s="3"/>
      <c r="AL15" s="3"/>
      <c r="AM15" s="3"/>
      <c r="AN15" s="3"/>
      <c r="AO15" s="3"/>
      <c r="AP15" s="2"/>
      <c r="AQ15" s="3"/>
      <c r="AR15" s="3">
        <v>8125</v>
      </c>
      <c r="AS15" s="3">
        <v>5.0999999999999996</v>
      </c>
      <c r="AT15" s="3"/>
      <c r="AU15" s="4">
        <f>(AS15/2)^2*PI()*AR15/10000</f>
        <v>16.597917561848696</v>
      </c>
      <c r="AV15" s="12"/>
      <c r="AW15" s="12"/>
      <c r="AX15" s="12"/>
      <c r="AY15" s="3">
        <v>45.2</v>
      </c>
      <c r="AZ15" s="3">
        <v>48.2</v>
      </c>
      <c r="BA15" s="3">
        <v>48.9</v>
      </c>
      <c r="BB15" s="3">
        <v>44.8</v>
      </c>
      <c r="BC15" s="3"/>
      <c r="BD15" s="3">
        <v>45.6</v>
      </c>
      <c r="BE15" s="3"/>
      <c r="BF15" s="3"/>
      <c r="BG15" s="3"/>
      <c r="BH15" s="12"/>
      <c r="BI15" s="12">
        <v>3.3</v>
      </c>
      <c r="BJ15" s="12">
        <v>17.2</v>
      </c>
      <c r="BK15" s="3">
        <f>SUM(BH15:BJ15)</f>
        <v>20.5</v>
      </c>
      <c r="BL15" s="3">
        <f>BP15/BK15</f>
        <v>2.1804878048780485</v>
      </c>
      <c r="BM15" s="3">
        <v>23.9</v>
      </c>
      <c r="BN15" s="3">
        <v>15.7</v>
      </c>
      <c r="BO15" s="3">
        <v>5.0999999999999996</v>
      </c>
      <c r="BP15" s="3">
        <f>SUM(BM15:BO15)</f>
        <v>44.699999999999996</v>
      </c>
      <c r="BQ15" s="3">
        <f>BP15+BK15</f>
        <v>65.199999999999989</v>
      </c>
      <c r="BR15" s="3"/>
      <c r="BS15" s="3">
        <v>113.8</v>
      </c>
      <c r="BT15" s="3"/>
      <c r="BU15" s="3">
        <f>BQ15+BS15</f>
        <v>179</v>
      </c>
      <c r="BV15" s="3"/>
      <c r="BW15" s="3"/>
      <c r="BX15" s="3"/>
      <c r="BY15" s="3">
        <v>10.5</v>
      </c>
      <c r="BZ15" s="3"/>
      <c r="CA15" s="3"/>
      <c r="CB15" s="3"/>
      <c r="CC15" s="3"/>
      <c r="CD15" s="3"/>
      <c r="CE15" s="3"/>
      <c r="CF15" s="3"/>
      <c r="CG15" s="3"/>
      <c r="CH15" s="3"/>
      <c r="CI15" s="2" t="s">
        <v>344</v>
      </c>
      <c r="CJ15" s="2" t="s">
        <v>35</v>
      </c>
      <c r="CK15" s="46" t="s">
        <v>51</v>
      </c>
      <c r="CL15" s="47" t="s">
        <v>85</v>
      </c>
      <c r="CM15" s="47" t="s">
        <v>395</v>
      </c>
      <c r="CN15" s="47" t="s">
        <v>424</v>
      </c>
      <c r="CO15" s="2"/>
    </row>
    <row r="16" spans="1:95" s="22" customFormat="1">
      <c r="A16" s="2" t="s">
        <v>185</v>
      </c>
      <c r="B16" s="2" t="s">
        <v>406</v>
      </c>
      <c r="C16" s="6" t="s">
        <v>403</v>
      </c>
      <c r="D16" s="6" t="s">
        <v>404</v>
      </c>
      <c r="E16" s="6">
        <v>2004</v>
      </c>
      <c r="F16" s="6">
        <v>2005</v>
      </c>
      <c r="G16" s="6">
        <v>0</v>
      </c>
      <c r="H16" s="6">
        <v>0</v>
      </c>
      <c r="I16" s="6">
        <v>0</v>
      </c>
      <c r="J16" s="6">
        <v>0</v>
      </c>
      <c r="K16" s="6">
        <v>0</v>
      </c>
      <c r="L16" s="40">
        <v>1</v>
      </c>
      <c r="M16" s="39">
        <v>15.446149999999999</v>
      </c>
      <c r="N16" s="39">
        <v>127.8</v>
      </c>
      <c r="O16" s="37">
        <v>2075</v>
      </c>
      <c r="P16" s="39">
        <v>66</v>
      </c>
      <c r="Q16" s="39">
        <v>30</v>
      </c>
      <c r="R16" s="39">
        <v>73</v>
      </c>
      <c r="S16" s="39">
        <v>1949.9</v>
      </c>
      <c r="T16" s="39">
        <v>3.4461539999999999</v>
      </c>
      <c r="U16" s="12"/>
      <c r="V16" s="37">
        <v>3.5</v>
      </c>
      <c r="W16" s="37">
        <v>4.7</v>
      </c>
      <c r="X16" s="12"/>
      <c r="Y16" s="12"/>
      <c r="Z16" s="12"/>
      <c r="AA16" s="12"/>
      <c r="AB16" s="12"/>
      <c r="AC16" s="12"/>
      <c r="AD16" s="12"/>
      <c r="AE16" s="12"/>
      <c r="AF16" s="12"/>
      <c r="AG16" s="12"/>
      <c r="AH16" s="12"/>
      <c r="AI16" s="12"/>
      <c r="AJ16" s="12"/>
      <c r="AK16" s="12"/>
      <c r="AL16" s="37">
        <v>534</v>
      </c>
      <c r="AM16" s="12"/>
      <c r="AN16" s="12">
        <v>91.3</v>
      </c>
      <c r="AO16" s="12">
        <v>432</v>
      </c>
      <c r="AP16" s="12">
        <f>AO16-AQ16</f>
        <v>50</v>
      </c>
      <c r="AQ16" s="12">
        <v>382</v>
      </c>
      <c r="AR16" s="12">
        <v>14867</v>
      </c>
      <c r="AS16" s="12">
        <v>5.9</v>
      </c>
      <c r="AT16" s="12">
        <v>9.5</v>
      </c>
      <c r="AU16" s="12">
        <v>46.4</v>
      </c>
      <c r="AV16" s="12"/>
      <c r="AW16" s="12"/>
      <c r="AX16" s="12"/>
      <c r="AY16" s="12"/>
      <c r="AZ16" s="12"/>
      <c r="BA16" s="12"/>
      <c r="BB16" s="12"/>
      <c r="BC16" s="12"/>
      <c r="BD16" s="12"/>
      <c r="BE16" s="12"/>
      <c r="BF16" s="12"/>
      <c r="BG16" s="12"/>
      <c r="BH16" s="4">
        <f>4.56*50%</f>
        <v>2.2799999999999998</v>
      </c>
      <c r="BI16" s="4">
        <f>11.9*50%</f>
        <v>5.95</v>
      </c>
      <c r="BJ16" s="4">
        <f>71.4*50%</f>
        <v>35.700000000000003</v>
      </c>
      <c r="BK16" s="4">
        <f>SUM(BH16:BJ16)</f>
        <v>43.930000000000007</v>
      </c>
      <c r="BL16" s="3"/>
      <c r="BM16" s="3"/>
      <c r="BN16" s="3"/>
      <c r="BO16" s="3"/>
      <c r="BP16" s="3"/>
      <c r="BQ16" s="3"/>
      <c r="BR16" s="3"/>
      <c r="BS16" s="3"/>
      <c r="BT16" s="12"/>
      <c r="BU16" s="12"/>
      <c r="BV16" s="4">
        <f>(4.8+0.87)*50%</f>
        <v>2.835</v>
      </c>
      <c r="BW16" s="4">
        <f>3.07*50%</f>
        <v>1.5349999999999999</v>
      </c>
      <c r="BX16" s="4">
        <f>10*50%</f>
        <v>5</v>
      </c>
      <c r="BY16" s="39">
        <f>7.45*50%</f>
        <v>3.7250000000000001</v>
      </c>
      <c r="BZ16" s="4">
        <f>SUM(BV16:BX16)</f>
        <v>9.370000000000001</v>
      </c>
      <c r="CA16" s="12"/>
      <c r="CB16" s="12"/>
      <c r="CC16" s="12"/>
      <c r="CD16" s="12"/>
      <c r="CE16" s="12"/>
      <c r="CF16" s="12"/>
      <c r="CG16" s="12"/>
      <c r="CH16" s="18"/>
      <c r="CI16" s="6" t="s">
        <v>405</v>
      </c>
      <c r="CJ16" s="2" t="s">
        <v>35</v>
      </c>
      <c r="CK16" s="53" t="s">
        <v>342</v>
      </c>
      <c r="CL16" s="47" t="s">
        <v>85</v>
      </c>
      <c r="CM16" s="10" t="s">
        <v>85</v>
      </c>
      <c r="CN16" s="10" t="s">
        <v>424</v>
      </c>
      <c r="CO16" s="6" t="s">
        <v>408</v>
      </c>
      <c r="CP16" s="22">
        <v>35.491667</v>
      </c>
      <c r="CQ16" s="22">
        <v>133.09472199999999</v>
      </c>
    </row>
    <row r="17" spans="1:95" s="22" customFormat="1">
      <c r="A17" s="2" t="s">
        <v>12</v>
      </c>
      <c r="B17" s="2" t="s">
        <v>189</v>
      </c>
      <c r="C17" s="6" t="s">
        <v>474</v>
      </c>
      <c r="D17" s="6" t="s">
        <v>277</v>
      </c>
      <c r="E17" s="6">
        <v>2005</v>
      </c>
      <c r="F17" s="6">
        <v>2005</v>
      </c>
      <c r="G17" s="6">
        <v>0</v>
      </c>
      <c r="H17" s="6">
        <v>0</v>
      </c>
      <c r="I17" s="6">
        <v>0</v>
      </c>
      <c r="J17" s="6">
        <v>0</v>
      </c>
      <c r="K17" s="6">
        <v>0</v>
      </c>
      <c r="L17" s="23">
        <v>1</v>
      </c>
      <c r="M17" s="12">
        <v>11.3</v>
      </c>
      <c r="N17" s="4">
        <f>(M17-5)*12</f>
        <v>75.600000000000009</v>
      </c>
      <c r="O17" s="12">
        <v>3244</v>
      </c>
      <c r="P17" s="39">
        <v>425</v>
      </c>
      <c r="Q17" s="12">
        <v>330</v>
      </c>
      <c r="R17" s="12"/>
      <c r="S17" s="39">
        <v>1085.9000000000001</v>
      </c>
      <c r="T17" s="39">
        <v>0.74166699999999997</v>
      </c>
      <c r="U17" s="12"/>
      <c r="V17" s="12"/>
      <c r="W17" s="12"/>
      <c r="X17" s="12"/>
      <c r="Y17" s="12"/>
      <c r="Z17" s="12"/>
      <c r="AA17" s="12"/>
      <c r="AB17" s="12"/>
      <c r="AC17" s="12"/>
      <c r="AD17" s="12"/>
      <c r="AE17" s="12"/>
      <c r="AF17" s="12"/>
      <c r="AG17" s="12"/>
      <c r="AH17" s="12"/>
      <c r="AI17" s="12"/>
      <c r="AJ17" s="12"/>
      <c r="AK17" s="12"/>
      <c r="AL17" s="12"/>
      <c r="AM17" s="12"/>
      <c r="AN17" s="12"/>
      <c r="AO17" s="12"/>
      <c r="AP17" s="6"/>
      <c r="AQ17" s="12"/>
      <c r="AR17" s="12">
        <v>12500</v>
      </c>
      <c r="AS17" s="39">
        <f>(4.63*70+1.78*55)/125</f>
        <v>3.3759999999999999</v>
      </c>
      <c r="AT17" s="12"/>
      <c r="AU17" s="39">
        <f>(AS17/2)^2*PI()*AR17/10000</f>
        <v>11.189347722437693</v>
      </c>
      <c r="AV17" s="12"/>
      <c r="AW17" s="12"/>
      <c r="AX17" s="12"/>
      <c r="AY17" s="12"/>
      <c r="AZ17" s="12"/>
      <c r="BA17" s="12"/>
      <c r="BB17" s="12"/>
      <c r="BC17" s="12"/>
      <c r="BD17" s="12"/>
      <c r="BE17" s="12"/>
      <c r="BF17" s="12"/>
      <c r="BG17" s="12"/>
      <c r="BH17" s="37"/>
      <c r="BI17" s="12"/>
      <c r="BJ17" s="12"/>
      <c r="BK17" s="12">
        <f>23.31*50%</f>
        <v>11.654999999999999</v>
      </c>
      <c r="BL17" s="12">
        <f>BP17/BK17</f>
        <v>1.5096525096525097</v>
      </c>
      <c r="BM17" s="12">
        <f>9.51*50%</f>
        <v>4.7549999999999999</v>
      </c>
      <c r="BN17" s="12">
        <f>15.67*50%</f>
        <v>7.835</v>
      </c>
      <c r="BO17" s="12">
        <f>(7.56+2.45)*50%</f>
        <v>5.0049999999999999</v>
      </c>
      <c r="BP17" s="12">
        <f>SUM(BM17:BO17)</f>
        <v>17.594999999999999</v>
      </c>
      <c r="BQ17" s="12">
        <f>BP17+BK17</f>
        <v>29.25</v>
      </c>
      <c r="BR17" s="12"/>
      <c r="BS17" s="12"/>
      <c r="BT17" s="12"/>
      <c r="BU17" s="12"/>
      <c r="BW17" s="12"/>
      <c r="BX17" s="12"/>
      <c r="BY17" s="12"/>
      <c r="BZ17" s="12"/>
      <c r="CA17" s="12"/>
      <c r="CB17" s="12"/>
      <c r="CC17" s="12"/>
      <c r="CD17" s="12"/>
      <c r="CE17" s="12"/>
      <c r="CF17" s="12"/>
      <c r="CG17" s="12"/>
      <c r="CH17" s="18"/>
      <c r="CI17" s="6" t="s">
        <v>413</v>
      </c>
      <c r="CJ17" s="2" t="s">
        <v>35</v>
      </c>
      <c r="CK17" s="21" t="s">
        <v>274</v>
      </c>
      <c r="CL17" s="47" t="s">
        <v>85</v>
      </c>
      <c r="CM17" s="10" t="s">
        <v>409</v>
      </c>
      <c r="CN17" s="10" t="s">
        <v>424</v>
      </c>
      <c r="CO17" s="6" t="s">
        <v>412</v>
      </c>
      <c r="CP17">
        <v>35.683332999999998</v>
      </c>
      <c r="CQ17">
        <v>136.466667</v>
      </c>
    </row>
    <row r="18" spans="1:95" s="22" customFormat="1">
      <c r="A18" s="36" t="s">
        <v>12</v>
      </c>
      <c r="B18" s="36" t="s">
        <v>341</v>
      </c>
      <c r="C18" s="36" t="s">
        <v>419</v>
      </c>
      <c r="D18" s="36" t="s">
        <v>416</v>
      </c>
      <c r="E18" s="35">
        <v>2005</v>
      </c>
      <c r="F18" s="35">
        <v>2005</v>
      </c>
      <c r="G18" s="35">
        <v>0</v>
      </c>
      <c r="H18" s="35">
        <v>0</v>
      </c>
      <c r="I18" s="35">
        <v>0</v>
      </c>
      <c r="J18" s="35">
        <v>0</v>
      </c>
      <c r="K18" s="35">
        <v>0</v>
      </c>
      <c r="L18" s="35">
        <v>0</v>
      </c>
      <c r="M18" s="39">
        <v>16.058330000000002</v>
      </c>
      <c r="N18" s="39">
        <v>133.30000000000001</v>
      </c>
      <c r="O18" s="39">
        <v>953</v>
      </c>
      <c r="P18" s="39">
        <v>21</v>
      </c>
      <c r="Q18" s="12">
        <v>270</v>
      </c>
      <c r="R18" s="39">
        <v>62</v>
      </c>
      <c r="S18" s="39">
        <v>1667.3</v>
      </c>
      <c r="T18" s="39">
        <v>1.433333</v>
      </c>
      <c r="U18" s="12"/>
      <c r="V18" s="12"/>
      <c r="W18" s="12"/>
      <c r="X18" s="12"/>
      <c r="Y18" s="12"/>
      <c r="Z18" s="12"/>
      <c r="AA18" s="12"/>
      <c r="AB18" s="12"/>
      <c r="AC18" s="12"/>
      <c r="AD18" s="12"/>
      <c r="AE18" s="12"/>
      <c r="AF18" s="12"/>
      <c r="AG18" s="12"/>
      <c r="AH18" s="12"/>
      <c r="AI18" s="12"/>
      <c r="AJ18" s="12"/>
      <c r="AK18" s="12"/>
      <c r="AL18" s="12"/>
      <c r="AM18" s="12"/>
      <c r="AN18" s="12"/>
      <c r="AO18" s="12"/>
      <c r="AP18" s="6"/>
      <c r="AQ18" s="12"/>
      <c r="AR18" s="37">
        <v>8133</v>
      </c>
      <c r="AS18" s="37">
        <f>(12.2*1033+12.8*7100)/8133</f>
        <v>12.723791958686832</v>
      </c>
      <c r="AT18" s="37">
        <f>(18*1033+18.5*7100)/8133</f>
        <v>18.436493298905692</v>
      </c>
      <c r="AU18" s="39">
        <f t="shared" ref="AU18:AU20" si="0">(AS18/2)^2*PI()*AR18/10000</f>
        <v>103.41267510803563</v>
      </c>
      <c r="AV18" s="12"/>
      <c r="AW18" s="12"/>
      <c r="AX18" s="12"/>
      <c r="AY18" s="12"/>
      <c r="AZ18" s="12"/>
      <c r="BA18" s="12"/>
      <c r="BB18" s="12"/>
      <c r="BC18" s="12"/>
      <c r="BD18" s="12"/>
      <c r="BE18" s="12"/>
      <c r="BF18" s="12"/>
      <c r="BG18" s="12"/>
      <c r="BH18" s="39">
        <f>5.8*50%</f>
        <v>2.9</v>
      </c>
      <c r="BI18" s="39">
        <f>16.6*50%</f>
        <v>8.3000000000000007</v>
      </c>
      <c r="BJ18" s="39">
        <f>194.8*50%</f>
        <v>97.4</v>
      </c>
      <c r="BK18" s="39">
        <f>SUM(BH18:BJ18)</f>
        <v>108.60000000000001</v>
      </c>
      <c r="BL18" s="12"/>
      <c r="BM18" s="12"/>
      <c r="BN18" s="12"/>
      <c r="BO18" s="12"/>
      <c r="BP18" s="12"/>
      <c r="BQ18" s="12"/>
      <c r="BR18" s="12"/>
      <c r="BS18" s="12"/>
      <c r="BT18" s="12"/>
      <c r="BU18" s="12"/>
      <c r="BV18" s="12"/>
      <c r="BW18" s="12"/>
      <c r="BX18" s="12"/>
      <c r="BY18" s="12"/>
      <c r="BZ18" s="12"/>
      <c r="CA18" s="12"/>
      <c r="CB18" s="12"/>
      <c r="CC18" s="12"/>
      <c r="CD18" s="12"/>
      <c r="CE18" s="12"/>
      <c r="CF18" s="12"/>
      <c r="CG18" s="12"/>
      <c r="CH18" s="18"/>
      <c r="CI18" s="36" t="s">
        <v>25</v>
      </c>
      <c r="CJ18" s="36" t="s">
        <v>35</v>
      </c>
      <c r="CK18" s="60" t="s">
        <v>167</v>
      </c>
      <c r="CL18" s="57" t="s">
        <v>85</v>
      </c>
      <c r="CM18" s="56" t="s">
        <v>409</v>
      </c>
      <c r="CN18" s="56" t="s">
        <v>435</v>
      </c>
      <c r="CO18" s="6" t="s">
        <v>423</v>
      </c>
      <c r="CP18">
        <v>34.9</v>
      </c>
      <c r="CQ18">
        <v>135.66666699999999</v>
      </c>
    </row>
    <row r="19" spans="1:95" s="22" customFormat="1">
      <c r="A19" s="36" t="s">
        <v>12</v>
      </c>
      <c r="B19" s="36" t="s">
        <v>341</v>
      </c>
      <c r="C19" s="36" t="s">
        <v>420</v>
      </c>
      <c r="D19" s="36" t="s">
        <v>417</v>
      </c>
      <c r="E19" s="35">
        <v>2006</v>
      </c>
      <c r="F19" s="35">
        <v>2006</v>
      </c>
      <c r="G19" s="35">
        <v>1</v>
      </c>
      <c r="H19" s="35">
        <v>0</v>
      </c>
      <c r="I19" s="35">
        <v>0</v>
      </c>
      <c r="J19" s="35">
        <v>0</v>
      </c>
      <c r="K19" s="35">
        <v>0</v>
      </c>
      <c r="L19" s="35">
        <v>0</v>
      </c>
      <c r="M19" s="39">
        <v>16.175000000000001</v>
      </c>
      <c r="N19" s="39">
        <v>134.80000000000001</v>
      </c>
      <c r="O19" s="39">
        <v>1568</v>
      </c>
      <c r="P19" s="39">
        <v>6</v>
      </c>
      <c r="Q19" s="12">
        <v>270</v>
      </c>
      <c r="R19" s="39">
        <v>64.083330000000004</v>
      </c>
      <c r="S19" s="39">
        <v>1480.5</v>
      </c>
      <c r="T19" s="39">
        <v>1.5833330000000001</v>
      </c>
      <c r="U19" s="12"/>
      <c r="V19" s="12"/>
      <c r="W19" s="12"/>
      <c r="X19" s="12"/>
      <c r="Y19" s="12"/>
      <c r="Z19" s="12"/>
      <c r="AA19" s="12"/>
      <c r="AB19" s="12"/>
      <c r="AC19" s="12"/>
      <c r="AD19" s="12"/>
      <c r="AE19" s="12"/>
      <c r="AF19" s="12"/>
      <c r="AG19" s="12"/>
      <c r="AH19" s="12"/>
      <c r="AI19" s="12"/>
      <c r="AJ19" s="12"/>
      <c r="AK19" s="12"/>
      <c r="AL19" s="12"/>
      <c r="AM19" s="12"/>
      <c r="AN19" s="12"/>
      <c r="AO19" s="12"/>
      <c r="AP19" s="6"/>
      <c r="AQ19" s="12"/>
      <c r="AR19" s="37">
        <v>7967</v>
      </c>
      <c r="AS19" s="37">
        <f>(12.9*167+12.7*7800)/7967</f>
        <v>12.70419229320949</v>
      </c>
      <c r="AT19" s="37">
        <f>(18.6*167+18.4*7800)/7967</f>
        <v>18.404192293209491</v>
      </c>
      <c r="AU19" s="39">
        <f t="shared" si="0"/>
        <v>100.99010318518286</v>
      </c>
      <c r="AV19" s="12"/>
      <c r="AW19" s="12"/>
      <c r="AX19" s="12"/>
      <c r="AY19" s="12"/>
      <c r="AZ19" s="12"/>
      <c r="BA19" s="12"/>
      <c r="BB19" s="12"/>
      <c r="BC19" s="12"/>
      <c r="BD19" s="12"/>
      <c r="BE19" s="12"/>
      <c r="BF19" s="12"/>
      <c r="BG19" s="12"/>
      <c r="BH19" s="39">
        <f>5.9*50%</f>
        <v>2.95</v>
      </c>
      <c r="BI19" s="39">
        <f>16.2*50%</f>
        <v>8.1</v>
      </c>
      <c r="BJ19" s="39">
        <f>50%*195.2</f>
        <v>97.6</v>
      </c>
      <c r="BK19" s="39">
        <f>SUM(BH19:BJ19)</f>
        <v>108.64999999999999</v>
      </c>
      <c r="BL19" s="12"/>
      <c r="BM19" s="12"/>
      <c r="BN19" s="12"/>
      <c r="BO19" s="12"/>
      <c r="BP19" s="12"/>
      <c r="BQ19" s="12"/>
      <c r="BR19" s="12"/>
      <c r="BS19" s="12"/>
      <c r="BT19" s="12"/>
      <c r="BU19" s="12"/>
      <c r="BV19" s="12"/>
      <c r="BW19" s="12"/>
      <c r="BX19" s="12"/>
      <c r="BY19" s="12"/>
      <c r="BZ19" s="12"/>
      <c r="CA19" s="12"/>
      <c r="CB19" s="12"/>
      <c r="CC19" s="12"/>
      <c r="CD19" s="12"/>
      <c r="CE19" s="12"/>
      <c r="CF19" s="12"/>
      <c r="CG19" s="12"/>
      <c r="CH19" s="18"/>
      <c r="CI19" s="36" t="s">
        <v>25</v>
      </c>
      <c r="CJ19" s="36" t="s">
        <v>35</v>
      </c>
      <c r="CK19" s="60" t="s">
        <v>167</v>
      </c>
      <c r="CL19" s="57" t="s">
        <v>85</v>
      </c>
      <c r="CM19" s="56" t="s">
        <v>409</v>
      </c>
      <c r="CN19" s="56" t="s">
        <v>424</v>
      </c>
      <c r="CO19" s="6"/>
      <c r="CP19">
        <v>34.9</v>
      </c>
      <c r="CQ19">
        <v>135.66666699999999</v>
      </c>
    </row>
    <row r="20" spans="1:95" s="22" customFormat="1">
      <c r="A20" s="36" t="s">
        <v>12</v>
      </c>
      <c r="B20" s="36" t="s">
        <v>341</v>
      </c>
      <c r="C20" s="36" t="s">
        <v>421</v>
      </c>
      <c r="D20" s="36" t="s">
        <v>418</v>
      </c>
      <c r="E20" s="35">
        <v>2007</v>
      </c>
      <c r="F20" s="35">
        <v>2007</v>
      </c>
      <c r="G20" s="35">
        <v>0</v>
      </c>
      <c r="H20" s="35">
        <v>0</v>
      </c>
      <c r="I20" s="35">
        <v>0</v>
      </c>
      <c r="J20" s="35">
        <v>0</v>
      </c>
      <c r="K20" s="35">
        <v>0</v>
      </c>
      <c r="L20" s="35">
        <v>0</v>
      </c>
      <c r="M20" s="39">
        <v>16.516670000000001</v>
      </c>
      <c r="N20" s="39">
        <v>138.19999999999999</v>
      </c>
      <c r="O20" s="39">
        <v>1234</v>
      </c>
      <c r="P20" s="39">
        <v>0</v>
      </c>
      <c r="Q20" s="12">
        <v>270</v>
      </c>
      <c r="R20" s="39">
        <v>61.833329999999997</v>
      </c>
      <c r="S20" s="39">
        <v>1997</v>
      </c>
      <c r="T20" s="39">
        <v>1.4583330000000001</v>
      </c>
      <c r="U20" s="12"/>
      <c r="V20" s="12"/>
      <c r="W20" s="12"/>
      <c r="X20" s="12"/>
      <c r="Y20" s="12"/>
      <c r="Z20" s="12"/>
      <c r="AA20" s="12"/>
      <c r="AB20" s="12"/>
      <c r="AC20" s="12"/>
      <c r="AD20" s="12"/>
      <c r="AE20" s="12"/>
      <c r="AF20" s="12"/>
      <c r="AG20" s="12"/>
      <c r="AH20" s="12"/>
      <c r="AI20" s="12"/>
      <c r="AJ20" s="12"/>
      <c r="AK20" s="12"/>
      <c r="AL20" s="12"/>
      <c r="AM20" s="12"/>
      <c r="AN20" s="12"/>
      <c r="AO20" s="12"/>
      <c r="AP20" s="6"/>
      <c r="AQ20" s="12"/>
      <c r="AR20" s="37">
        <v>8133</v>
      </c>
      <c r="AS20" s="37">
        <f>(12.7*333+12.7*7800)/8133</f>
        <v>12.700000000000001</v>
      </c>
      <c r="AT20" s="37">
        <f>(18.5*333+18.4*7800)/8133</f>
        <v>18.404094430099594</v>
      </c>
      <c r="AU20" s="39">
        <f t="shared" si="0"/>
        <v>103.02629818749874</v>
      </c>
      <c r="AV20" s="12"/>
      <c r="AW20" s="12"/>
      <c r="AX20" s="12"/>
      <c r="AY20" s="12"/>
      <c r="AZ20" s="12"/>
      <c r="BA20" s="12"/>
      <c r="BB20" s="12"/>
      <c r="BC20" s="12"/>
      <c r="BD20" s="12"/>
      <c r="BE20" s="12"/>
      <c r="BF20" s="12"/>
      <c r="BG20" s="12"/>
      <c r="BH20" s="39">
        <f>5.9*50%</f>
        <v>2.95</v>
      </c>
      <c r="BI20" s="39">
        <f>16.5*50%</f>
        <v>8.25</v>
      </c>
      <c r="BJ20" s="39">
        <f>50%*197.4</f>
        <v>98.7</v>
      </c>
      <c r="BK20" s="39">
        <f>SUM(BH20:BJ20)</f>
        <v>109.9</v>
      </c>
      <c r="BL20" s="12"/>
      <c r="BM20" s="12"/>
      <c r="BN20" s="12"/>
      <c r="BO20" s="12"/>
      <c r="BP20" s="12"/>
      <c r="BQ20" s="12"/>
      <c r="BR20" s="12"/>
      <c r="BS20" s="12"/>
      <c r="BT20" s="12"/>
      <c r="BU20" s="12"/>
      <c r="BV20" s="39">
        <f>BH20-BH19</f>
        <v>0</v>
      </c>
      <c r="BW20" s="39">
        <f t="shared" ref="BW20:BX21" si="1">BI20-BI19</f>
        <v>0.15000000000000036</v>
      </c>
      <c r="BX20" s="39">
        <f t="shared" si="1"/>
        <v>1.1000000000000085</v>
      </c>
      <c r="BY20" s="18"/>
      <c r="BZ20" s="39">
        <f>BK20-BK19</f>
        <v>1.2500000000000142</v>
      </c>
      <c r="CA20" s="12"/>
      <c r="CB20" s="12"/>
      <c r="CC20" s="12"/>
      <c r="CD20" s="12"/>
      <c r="CE20" s="12"/>
      <c r="CF20" s="12"/>
      <c r="CG20" s="12"/>
      <c r="CH20" s="18"/>
      <c r="CI20" s="36" t="s">
        <v>25</v>
      </c>
      <c r="CJ20" s="36" t="s">
        <v>35</v>
      </c>
      <c r="CK20" s="60" t="s">
        <v>167</v>
      </c>
      <c r="CL20" s="57" t="s">
        <v>85</v>
      </c>
      <c r="CM20" s="56" t="s">
        <v>409</v>
      </c>
      <c r="CN20" s="56" t="s">
        <v>436</v>
      </c>
      <c r="CO20" s="6"/>
      <c r="CP20">
        <v>34.9</v>
      </c>
      <c r="CQ20">
        <v>135.66666699999999</v>
      </c>
    </row>
    <row r="21" spans="1:95">
      <c r="A21" s="36" t="s">
        <v>12</v>
      </c>
      <c r="B21" s="36" t="s">
        <v>341</v>
      </c>
      <c r="C21" s="36" t="s">
        <v>422</v>
      </c>
      <c r="D21" s="36" t="s">
        <v>415</v>
      </c>
      <c r="E21" s="36">
        <v>2008</v>
      </c>
      <c r="F21" s="36">
        <v>2008</v>
      </c>
      <c r="G21" s="36">
        <v>0</v>
      </c>
      <c r="H21" s="36">
        <v>0</v>
      </c>
      <c r="I21" s="36">
        <v>0</v>
      </c>
      <c r="J21" s="36">
        <v>0</v>
      </c>
      <c r="K21" s="36">
        <v>0</v>
      </c>
      <c r="L21" s="61">
        <v>0</v>
      </c>
      <c r="M21" s="39">
        <v>16.033329999999999</v>
      </c>
      <c r="N21" s="39">
        <v>134</v>
      </c>
      <c r="O21" s="39">
        <v>1606</v>
      </c>
      <c r="P21" s="39">
        <v>13</v>
      </c>
      <c r="Q21" s="12">
        <v>270</v>
      </c>
      <c r="R21" s="39">
        <v>63.166670000000003</v>
      </c>
      <c r="S21" s="39">
        <v>1897.6</v>
      </c>
      <c r="T21" s="39">
        <v>1.375</v>
      </c>
      <c r="U21" s="12"/>
      <c r="V21" s="3"/>
      <c r="W21" s="3"/>
      <c r="X21" s="3"/>
      <c r="Y21" s="3"/>
      <c r="Z21" s="3"/>
      <c r="AA21" s="3"/>
      <c r="AB21" s="3"/>
      <c r="AC21" s="3"/>
      <c r="AD21" s="3"/>
      <c r="AE21" s="3"/>
      <c r="AF21" s="3"/>
      <c r="AG21" s="3"/>
      <c r="AH21" s="3"/>
      <c r="AI21" s="3"/>
      <c r="AJ21" s="3"/>
      <c r="AK21" s="12"/>
      <c r="AL21" s="12"/>
      <c r="AM21" s="12"/>
      <c r="AN21" s="12"/>
      <c r="AO21" s="12"/>
      <c r="AP21" s="2"/>
      <c r="AQ21" s="12"/>
      <c r="AR21" s="38">
        <v>8300</v>
      </c>
      <c r="AS21" s="38">
        <f>(11.6*367+12.7*7933)/8300</f>
        <v>12.651361445783131</v>
      </c>
      <c r="AT21" s="38">
        <f>(17.4*367+18.5*7933)/8300</f>
        <v>18.451361445783132</v>
      </c>
      <c r="AU21" s="39">
        <f>(AS21/2)^2*PI()*AR21/10000</f>
        <v>104.33799836625894</v>
      </c>
      <c r="AV21" s="3"/>
      <c r="AW21" s="3"/>
      <c r="AX21" s="3"/>
      <c r="AY21" s="3"/>
      <c r="AZ21" s="3"/>
      <c r="BA21" s="3"/>
      <c r="BB21" s="3"/>
      <c r="BC21" s="3"/>
      <c r="BD21" s="3"/>
      <c r="BE21" s="3"/>
      <c r="BF21" s="3"/>
      <c r="BG21" s="3"/>
      <c r="BH21" s="39">
        <f>6.1*50%</f>
        <v>3.05</v>
      </c>
      <c r="BI21" s="39">
        <f>(16.6+16.2+16.5+16.9)/4*50%</f>
        <v>8.2749999999999986</v>
      </c>
      <c r="BJ21" s="39">
        <f>50%*201.4</f>
        <v>100.7</v>
      </c>
      <c r="BK21" s="39">
        <f>SUM(BH21:BJ21)</f>
        <v>112.02500000000001</v>
      </c>
      <c r="BL21" s="3"/>
      <c r="BM21" s="3"/>
      <c r="BN21" s="3"/>
      <c r="BO21" s="3"/>
      <c r="BP21" s="3"/>
      <c r="BQ21" s="3"/>
      <c r="BR21" s="3"/>
      <c r="BS21" s="3"/>
      <c r="BT21" s="3"/>
      <c r="BU21" s="3"/>
      <c r="BV21" s="39">
        <f>BH21-BH20</f>
        <v>9.9999999999999645E-2</v>
      </c>
      <c r="BW21" s="39">
        <f t="shared" si="1"/>
        <v>2.4999999999998579E-2</v>
      </c>
      <c r="BX21" s="39">
        <f t="shared" si="1"/>
        <v>2</v>
      </c>
      <c r="BY21" s="7"/>
      <c r="BZ21" s="39">
        <f>BK21-BK20</f>
        <v>2.125</v>
      </c>
      <c r="CA21" s="3"/>
      <c r="CB21" s="3"/>
      <c r="CC21" s="3"/>
      <c r="CD21" s="3"/>
      <c r="CE21" s="3"/>
      <c r="CF21" s="3"/>
      <c r="CG21" s="3"/>
      <c r="CH21" s="7"/>
      <c r="CI21" s="36" t="s">
        <v>25</v>
      </c>
      <c r="CJ21" s="36" t="s">
        <v>35</v>
      </c>
      <c r="CK21" s="60" t="s">
        <v>167</v>
      </c>
      <c r="CL21" s="57" t="s">
        <v>85</v>
      </c>
      <c r="CM21" s="57" t="s">
        <v>409</v>
      </c>
      <c r="CN21" s="57" t="s">
        <v>437</v>
      </c>
      <c r="CO21" s="2"/>
      <c r="CP21">
        <v>34.9</v>
      </c>
      <c r="CQ21">
        <v>135.66666699999999</v>
      </c>
    </row>
    <row r="22" spans="1:95">
      <c r="A22" s="2" t="s">
        <v>12</v>
      </c>
      <c r="B22" s="2" t="s">
        <v>341</v>
      </c>
      <c r="C22" s="2" t="s">
        <v>425</v>
      </c>
      <c r="D22" s="36" t="s">
        <v>426</v>
      </c>
      <c r="E22" s="36">
        <v>2006</v>
      </c>
      <c r="F22" s="36">
        <v>2006</v>
      </c>
      <c r="G22" s="2">
        <v>0</v>
      </c>
      <c r="H22" s="2">
        <v>0</v>
      </c>
      <c r="I22" s="2">
        <v>0</v>
      </c>
      <c r="J22" s="2">
        <v>0</v>
      </c>
      <c r="K22" s="2">
        <v>0</v>
      </c>
      <c r="L22" s="2">
        <v>0</v>
      </c>
      <c r="M22" s="3">
        <v>15.3</v>
      </c>
      <c r="N22" s="4">
        <f t="shared" ref="N22" si="2">(M22-5)*12</f>
        <v>123.60000000000001</v>
      </c>
      <c r="O22" s="3">
        <v>1459</v>
      </c>
      <c r="P22" s="39">
        <v>6</v>
      </c>
      <c r="Q22" s="3">
        <v>280</v>
      </c>
      <c r="R22" s="39">
        <v>64.083330000000004</v>
      </c>
      <c r="S22" s="39">
        <v>1480.5</v>
      </c>
      <c r="T22" s="39">
        <v>1.5833330000000001</v>
      </c>
      <c r="U22" s="12"/>
      <c r="V22" s="3"/>
      <c r="W22" s="3"/>
      <c r="X22" s="3"/>
      <c r="Y22" s="3"/>
      <c r="Z22" s="3"/>
      <c r="AA22" s="3"/>
      <c r="AB22" s="3"/>
      <c r="AC22" s="3"/>
      <c r="AD22" s="3"/>
      <c r="AE22" s="3"/>
      <c r="AF22" s="3"/>
      <c r="AG22" s="3"/>
      <c r="AH22" s="3"/>
      <c r="AI22" s="3"/>
      <c r="AJ22" s="3"/>
      <c r="AK22" s="3"/>
      <c r="AL22" s="3"/>
      <c r="AM22" s="3"/>
      <c r="AN22" s="3"/>
      <c r="AO22" s="3"/>
      <c r="AP22" s="2"/>
      <c r="AQ22" s="3"/>
      <c r="AR22" s="3">
        <v>9675</v>
      </c>
      <c r="AS22" s="3">
        <v>10.52</v>
      </c>
      <c r="AT22" s="3"/>
      <c r="AU22" s="3">
        <v>88.3</v>
      </c>
      <c r="AV22" s="12"/>
      <c r="AW22" s="12"/>
      <c r="AX22" s="12"/>
      <c r="AY22" s="3">
        <v>41.9</v>
      </c>
      <c r="AZ22" s="3">
        <v>46.4</v>
      </c>
      <c r="BA22" s="3">
        <v>46.3</v>
      </c>
      <c r="BB22" s="3">
        <v>43.2</v>
      </c>
      <c r="BC22" s="3">
        <v>44.2</v>
      </c>
      <c r="BD22" s="3">
        <v>44.3</v>
      </c>
      <c r="BE22" s="3"/>
      <c r="BF22" s="3">
        <v>3.34</v>
      </c>
      <c r="BG22" s="3">
        <v>2.11</v>
      </c>
      <c r="BH22" s="12">
        <v>2.1</v>
      </c>
      <c r="BI22" s="12">
        <v>6.9</v>
      </c>
      <c r="BJ22" s="12">
        <v>75.900000000000006</v>
      </c>
      <c r="BK22" s="3">
        <f t="shared" ref="BK22:BK28" si="3">SUM(BH22:BJ22)</f>
        <v>84.9</v>
      </c>
      <c r="BL22" s="3">
        <f>BP22/BK22</f>
        <v>0.65842167255594808</v>
      </c>
      <c r="BM22" s="3">
        <f>10.9+16.9</f>
        <v>27.799999999999997</v>
      </c>
      <c r="BN22" s="3">
        <f>18.2</f>
        <v>18.2</v>
      </c>
      <c r="BO22" s="3">
        <v>9.9</v>
      </c>
      <c r="BP22" s="3">
        <f>SUM(BM22:BO22)</f>
        <v>55.9</v>
      </c>
      <c r="BQ22" s="3">
        <f>BP22+BK22</f>
        <v>140.80000000000001</v>
      </c>
      <c r="BR22" s="3"/>
      <c r="BS22" s="3">
        <f>1.4+0.5+4.4+16.9+30.9</f>
        <v>54.099999999999994</v>
      </c>
      <c r="BT22" s="3"/>
      <c r="BU22" s="3">
        <f>BQ22+BS22</f>
        <v>194.9</v>
      </c>
      <c r="BV22" s="3"/>
      <c r="BW22" s="3"/>
      <c r="BX22" s="3"/>
      <c r="BY22" s="3"/>
      <c r="BZ22" s="3"/>
      <c r="CA22" s="3"/>
      <c r="CB22" s="3"/>
      <c r="CC22" s="3"/>
      <c r="CD22" s="3"/>
      <c r="CE22" s="3"/>
      <c r="CF22" s="3"/>
      <c r="CG22" s="3"/>
      <c r="CH22" s="3"/>
      <c r="CI22" s="2" t="s">
        <v>13</v>
      </c>
      <c r="CJ22" s="2" t="s">
        <v>35</v>
      </c>
      <c r="CK22" s="46" t="s">
        <v>48</v>
      </c>
      <c r="CL22" s="47" t="s">
        <v>85</v>
      </c>
      <c r="CM22" s="57" t="s">
        <v>424</v>
      </c>
      <c r="CN22" s="57" t="s">
        <v>433</v>
      </c>
      <c r="CO22" s="2"/>
      <c r="CP22">
        <v>34.9</v>
      </c>
      <c r="CQ22">
        <v>135.76666700000001</v>
      </c>
    </row>
    <row r="23" spans="1:95">
      <c r="A23" s="35" t="s">
        <v>12</v>
      </c>
      <c r="B23" s="35" t="s">
        <v>338</v>
      </c>
      <c r="C23" s="35" t="s">
        <v>356</v>
      </c>
      <c r="D23" s="35"/>
      <c r="E23" s="35"/>
      <c r="F23" s="35"/>
      <c r="G23" s="35">
        <v>0</v>
      </c>
      <c r="H23" s="35">
        <v>0</v>
      </c>
      <c r="I23" s="35">
        <v>0</v>
      </c>
      <c r="J23" s="35">
        <v>0</v>
      </c>
      <c r="K23" s="35">
        <v>0</v>
      </c>
      <c r="L23" s="35">
        <v>0</v>
      </c>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5"/>
      <c r="AQ23" s="37"/>
      <c r="AR23" s="37">
        <v>8800</v>
      </c>
      <c r="AS23" s="37">
        <v>11.5</v>
      </c>
      <c r="AT23" s="37"/>
      <c r="AU23" s="39">
        <f t="shared" ref="AU23" si="4">(AS23/2)^2*PI()*AR23/10000</f>
        <v>91.404638256195028</v>
      </c>
      <c r="AV23" s="37"/>
      <c r="AW23" s="37"/>
      <c r="AX23" s="37"/>
      <c r="AY23" s="37"/>
      <c r="AZ23" s="37"/>
      <c r="BA23" s="37"/>
      <c r="BB23" s="37"/>
      <c r="BC23" s="37"/>
      <c r="BD23" s="37"/>
      <c r="BE23" s="37"/>
      <c r="BF23" s="37"/>
      <c r="BG23" s="37"/>
      <c r="BH23" s="37">
        <f>7.1*50%</f>
        <v>3.55</v>
      </c>
      <c r="BI23" s="37">
        <f>21.8*50%</f>
        <v>10.9</v>
      </c>
      <c r="BJ23" s="37">
        <f>159.7*50%</f>
        <v>79.849999999999994</v>
      </c>
      <c r="BK23" s="37">
        <f t="shared" si="3"/>
        <v>94.3</v>
      </c>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5" t="s">
        <v>337</v>
      </c>
      <c r="CJ23" s="36" t="s">
        <v>35</v>
      </c>
      <c r="CK23" s="55" t="s">
        <v>340</v>
      </c>
      <c r="CL23" s="56"/>
      <c r="CM23" s="10" t="s">
        <v>427</v>
      </c>
      <c r="CN23" s="10" t="s">
        <v>438</v>
      </c>
      <c r="CO23" s="63" t="s">
        <v>430</v>
      </c>
    </row>
    <row r="24" spans="1:95">
      <c r="A24" s="35" t="s">
        <v>12</v>
      </c>
      <c r="B24" s="35" t="s">
        <v>338</v>
      </c>
      <c r="C24" s="35" t="s">
        <v>357</v>
      </c>
      <c r="D24" s="6"/>
      <c r="E24" s="6"/>
      <c r="F24" s="6"/>
      <c r="G24" s="35">
        <v>0</v>
      </c>
      <c r="H24" s="35">
        <v>0</v>
      </c>
      <c r="I24" s="35">
        <v>0</v>
      </c>
      <c r="J24" s="35">
        <v>0</v>
      </c>
      <c r="K24" s="35">
        <v>0</v>
      </c>
      <c r="L24" s="35">
        <v>0</v>
      </c>
      <c r="M24" s="37"/>
      <c r="N24" s="37"/>
      <c r="O24" s="37"/>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6"/>
      <c r="AQ24" s="12"/>
      <c r="AR24" s="37">
        <v>8100</v>
      </c>
      <c r="AS24" s="37">
        <v>13.1</v>
      </c>
      <c r="AT24" s="12"/>
      <c r="AU24" s="39">
        <f t="shared" ref="AU24:AU25" si="5">(AS24/2)^2*PI()*AR24/10000</f>
        <v>109.17356484471522</v>
      </c>
      <c r="AV24" s="12"/>
      <c r="AW24" s="12"/>
      <c r="AX24" s="12"/>
      <c r="AY24" s="12"/>
      <c r="AZ24" s="12"/>
      <c r="BA24" s="12"/>
      <c r="BB24" s="12"/>
      <c r="BC24" s="12"/>
      <c r="BD24" s="12"/>
      <c r="BE24" s="12"/>
      <c r="BF24" s="12"/>
      <c r="BG24" s="12"/>
      <c r="BH24" s="37">
        <f>6.1*50%</f>
        <v>3.05</v>
      </c>
      <c r="BI24" s="37">
        <f>19.2*50%</f>
        <v>9.6</v>
      </c>
      <c r="BJ24" s="37">
        <f>187.5*50%</f>
        <v>93.75</v>
      </c>
      <c r="BK24" s="37">
        <f t="shared" si="3"/>
        <v>106.4</v>
      </c>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35" t="s">
        <v>337</v>
      </c>
      <c r="CJ24" s="36" t="s">
        <v>35</v>
      </c>
      <c r="CK24" s="55" t="s">
        <v>340</v>
      </c>
      <c r="CL24" s="56"/>
      <c r="CM24" s="10" t="s">
        <v>427</v>
      </c>
      <c r="CN24" s="10" t="s">
        <v>427</v>
      </c>
      <c r="CO24" s="2" t="s">
        <v>440</v>
      </c>
    </row>
    <row r="25" spans="1:95">
      <c r="A25" s="35" t="s">
        <v>12</v>
      </c>
      <c r="B25" s="35" t="s">
        <v>338</v>
      </c>
      <c r="C25" s="35" t="s">
        <v>358</v>
      </c>
      <c r="D25" s="6"/>
      <c r="E25" s="6"/>
      <c r="F25" s="6"/>
      <c r="G25" s="35">
        <v>0</v>
      </c>
      <c r="H25" s="35">
        <v>0</v>
      </c>
      <c r="I25" s="35">
        <v>0</v>
      </c>
      <c r="J25" s="35">
        <v>0</v>
      </c>
      <c r="K25" s="35">
        <v>0</v>
      </c>
      <c r="L25" s="35">
        <v>0</v>
      </c>
      <c r="M25" s="37"/>
      <c r="N25" s="37"/>
      <c r="O25" s="37"/>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6"/>
      <c r="AQ25" s="12"/>
      <c r="AR25" s="37">
        <v>3978</v>
      </c>
      <c r="AS25" s="37">
        <v>14</v>
      </c>
      <c r="AT25" s="12"/>
      <c r="AU25" s="39">
        <f t="shared" si="5"/>
        <v>61.236552322302956</v>
      </c>
      <c r="AV25" s="12"/>
      <c r="AW25" s="12"/>
      <c r="AX25" s="12"/>
      <c r="AY25" s="12"/>
      <c r="AZ25" s="12"/>
      <c r="BA25" s="12"/>
      <c r="BB25" s="12"/>
      <c r="BC25" s="12"/>
      <c r="BD25" s="12"/>
      <c r="BE25" s="12"/>
      <c r="BF25" s="12"/>
      <c r="BG25" s="12"/>
      <c r="BH25" s="37">
        <f>3.9*50%</f>
        <v>1.95</v>
      </c>
      <c r="BI25" s="37">
        <f>11*50%</f>
        <v>5.5</v>
      </c>
      <c r="BJ25" s="37">
        <f>102.3*50%</f>
        <v>51.15</v>
      </c>
      <c r="BK25" s="37">
        <f t="shared" si="3"/>
        <v>58.6</v>
      </c>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35" t="s">
        <v>337</v>
      </c>
      <c r="CJ25" s="36" t="s">
        <v>35</v>
      </c>
      <c r="CK25" s="55" t="s">
        <v>340</v>
      </c>
      <c r="CL25" s="56"/>
      <c r="CM25" s="10" t="s">
        <v>427</v>
      </c>
      <c r="CN25" s="10" t="s">
        <v>439</v>
      </c>
      <c r="CO25" s="2"/>
    </row>
    <row r="26" spans="1:95" s="22" customFormat="1">
      <c r="A26" s="2" t="s">
        <v>185</v>
      </c>
      <c r="B26" s="2" t="s">
        <v>279</v>
      </c>
      <c r="C26" s="6" t="s">
        <v>466</v>
      </c>
      <c r="D26" s="6" t="s">
        <v>288</v>
      </c>
      <c r="E26" s="6">
        <v>2008</v>
      </c>
      <c r="F26" s="6">
        <v>2009</v>
      </c>
      <c r="G26" s="6">
        <v>0</v>
      </c>
      <c r="H26" s="6">
        <v>0</v>
      </c>
      <c r="I26" s="6">
        <v>0</v>
      </c>
      <c r="J26" s="6">
        <v>0</v>
      </c>
      <c r="K26" s="6">
        <v>0</v>
      </c>
      <c r="L26" s="23">
        <v>0</v>
      </c>
      <c r="M26" s="12">
        <v>14.8</v>
      </c>
      <c r="N26" s="4">
        <f>(M26-5)*12</f>
        <v>117.60000000000001</v>
      </c>
      <c r="O26" s="12">
        <v>1451.4</v>
      </c>
      <c r="P26" s="39">
        <v>7</v>
      </c>
      <c r="Q26" s="12">
        <v>110</v>
      </c>
      <c r="R26" s="39">
        <v>61.208329999999997</v>
      </c>
      <c r="S26" s="39">
        <v>2161.15</v>
      </c>
      <c r="T26" s="39">
        <v>1.5333300000000001</v>
      </c>
      <c r="U26" s="12">
        <v>0.4</v>
      </c>
      <c r="V26" s="12"/>
      <c r="W26" s="12">
        <v>4.55</v>
      </c>
      <c r="X26" s="12"/>
      <c r="Y26" s="12"/>
      <c r="Z26" s="12"/>
      <c r="AA26" s="12"/>
      <c r="AB26" s="12">
        <f>(0.023)*1000</f>
        <v>23</v>
      </c>
      <c r="AC26" s="12"/>
      <c r="AD26" s="12"/>
      <c r="AE26" s="12"/>
      <c r="AF26" s="12"/>
      <c r="AG26" s="12"/>
      <c r="AH26" s="12"/>
      <c r="AI26" s="12"/>
      <c r="AJ26" s="12"/>
      <c r="AK26" s="12"/>
      <c r="AL26" s="12">
        <v>203</v>
      </c>
      <c r="AM26" s="12">
        <v>176</v>
      </c>
      <c r="AN26" s="12"/>
      <c r="AO26" s="12"/>
      <c r="AP26" s="6"/>
      <c r="AQ26" s="12">
        <v>290</v>
      </c>
      <c r="AR26" s="12">
        <v>2660</v>
      </c>
      <c r="AS26" s="12">
        <v>8.1999999999999993</v>
      </c>
      <c r="AT26" s="12"/>
      <c r="AU26" s="4">
        <f>(AS26/2)^2*PI()*AR26/10000</f>
        <v>14.047505886820614</v>
      </c>
      <c r="AV26" s="12"/>
      <c r="AW26" s="12"/>
      <c r="AX26" s="12"/>
      <c r="AY26" s="12"/>
      <c r="AZ26" s="12"/>
      <c r="BA26" s="12"/>
      <c r="BB26" s="12"/>
      <c r="BC26" s="12"/>
      <c r="BD26" s="12"/>
      <c r="BE26" s="12"/>
      <c r="BF26" s="12"/>
      <c r="BG26" s="12"/>
      <c r="BH26" s="39">
        <f>1.29*50%</f>
        <v>0.64500000000000002</v>
      </c>
      <c r="BI26" s="39">
        <f>3.72*50%</f>
        <v>1.86</v>
      </c>
      <c r="BJ26" s="39">
        <f>26.4*50%</f>
        <v>13.2</v>
      </c>
      <c r="BK26" s="39">
        <f t="shared" si="3"/>
        <v>15.704999999999998</v>
      </c>
      <c r="BL26" s="38">
        <f>BP26/BK26</f>
        <v>1.1464501751034704</v>
      </c>
      <c r="BM26" s="39">
        <f>(18.7+7.47)*50%</f>
        <v>13.084999999999999</v>
      </c>
      <c r="BN26" s="39">
        <f>9.84*50%</f>
        <v>4.92</v>
      </c>
      <c r="BO26" s="37"/>
      <c r="BP26" s="39">
        <f>SUM(BM26:BO26)</f>
        <v>18.004999999999999</v>
      </c>
      <c r="BQ26" s="39">
        <f>BP26+BK26</f>
        <v>33.709999999999994</v>
      </c>
      <c r="BR26" s="18"/>
      <c r="BS26" s="12"/>
      <c r="BT26" s="12"/>
      <c r="BU26" s="12"/>
      <c r="BV26" s="12"/>
      <c r="BW26" s="12"/>
      <c r="BX26" s="12"/>
      <c r="BY26" s="39">
        <f>7.19*50%</f>
        <v>3.5950000000000002</v>
      </c>
      <c r="BZ26" s="12"/>
      <c r="CA26" s="12"/>
      <c r="CB26" s="12"/>
      <c r="CC26" s="12"/>
      <c r="CD26" s="12"/>
      <c r="CE26" s="12"/>
      <c r="CF26" s="12"/>
      <c r="CG26" s="12"/>
      <c r="CH26" s="18"/>
      <c r="CI26" s="6" t="s">
        <v>469</v>
      </c>
      <c r="CJ26" s="2" t="s">
        <v>35</v>
      </c>
      <c r="CK26" s="54" t="s">
        <v>280</v>
      </c>
      <c r="CL26" s="47" t="s">
        <v>85</v>
      </c>
      <c r="CM26" s="56" t="s">
        <v>424</v>
      </c>
      <c r="CN26" s="56" t="s">
        <v>424</v>
      </c>
      <c r="CO26" s="6" t="s">
        <v>445</v>
      </c>
    </row>
    <row r="27" spans="1:95" s="22" customFormat="1">
      <c r="A27" s="2" t="s">
        <v>185</v>
      </c>
      <c r="B27" s="2" t="s">
        <v>279</v>
      </c>
      <c r="C27" s="6" t="s">
        <v>467</v>
      </c>
      <c r="D27" s="6" t="s">
        <v>289</v>
      </c>
      <c r="E27" s="6">
        <v>2008</v>
      </c>
      <c r="F27" s="6">
        <v>2009</v>
      </c>
      <c r="G27" s="6">
        <v>0</v>
      </c>
      <c r="H27" s="6">
        <v>0</v>
      </c>
      <c r="I27" s="6">
        <v>0</v>
      </c>
      <c r="J27" s="6">
        <v>0</v>
      </c>
      <c r="K27" s="6">
        <v>0</v>
      </c>
      <c r="L27" s="23">
        <v>0</v>
      </c>
      <c r="M27" s="12">
        <v>14.8</v>
      </c>
      <c r="N27" s="4">
        <f>(M27-5)*12</f>
        <v>117.60000000000001</v>
      </c>
      <c r="O27" s="12">
        <v>1451.4</v>
      </c>
      <c r="P27" s="39">
        <v>7</v>
      </c>
      <c r="Q27" s="12">
        <v>200</v>
      </c>
      <c r="R27" s="39">
        <v>61.208329999999997</v>
      </c>
      <c r="S27" s="39">
        <v>2161.15</v>
      </c>
      <c r="T27" s="39">
        <v>1.5333300000000001</v>
      </c>
      <c r="U27" s="12">
        <v>0.48</v>
      </c>
      <c r="V27" s="12"/>
      <c r="W27" s="12">
        <v>4.6900000000000004</v>
      </c>
      <c r="X27" s="12"/>
      <c r="Y27" s="12"/>
      <c r="Z27" s="12"/>
      <c r="AA27" s="12"/>
      <c r="AB27" s="12">
        <f>(0.025)*1000</f>
        <v>25</v>
      </c>
      <c r="AC27" s="12"/>
      <c r="AD27" s="12"/>
      <c r="AE27" s="12"/>
      <c r="AF27" s="12"/>
      <c r="AG27" s="12"/>
      <c r="AH27" s="12"/>
      <c r="AI27" s="12"/>
      <c r="AJ27" s="12"/>
      <c r="AK27" s="12"/>
      <c r="AL27" s="12">
        <v>256</v>
      </c>
      <c r="AM27" s="12">
        <v>368</v>
      </c>
      <c r="AN27" s="12"/>
      <c r="AO27" s="12"/>
      <c r="AP27" s="6"/>
      <c r="AQ27" s="12">
        <v>324</v>
      </c>
      <c r="AR27" s="12">
        <v>2400</v>
      </c>
      <c r="AS27" s="12">
        <v>10.1</v>
      </c>
      <c r="AT27" s="12"/>
      <c r="AU27" s="4">
        <f>(AS27/2)^2*PI()*AR27/10000</f>
        <v>19.228431995561689</v>
      </c>
      <c r="AV27" s="12"/>
      <c r="AW27" s="12"/>
      <c r="AX27" s="12"/>
      <c r="AY27" s="12"/>
      <c r="AZ27" s="12"/>
      <c r="BA27" s="12"/>
      <c r="BB27" s="12"/>
      <c r="BC27" s="12"/>
      <c r="BD27" s="12"/>
      <c r="BE27" s="12"/>
      <c r="BF27" s="12"/>
      <c r="BG27" s="12"/>
      <c r="BH27" s="39">
        <f>1.69*50%</f>
        <v>0.84499999999999997</v>
      </c>
      <c r="BI27" s="39">
        <f>4.64*50%</f>
        <v>2.3199999999999998</v>
      </c>
      <c r="BJ27" s="39">
        <f>37.3*50%</f>
        <v>18.649999999999999</v>
      </c>
      <c r="BK27" s="39">
        <f t="shared" si="3"/>
        <v>21.814999999999998</v>
      </c>
      <c r="BL27" s="38">
        <f>BP27/BK27</f>
        <v>1.3183589273435712</v>
      </c>
      <c r="BM27" s="39">
        <f>(23.1+9.92)*50%</f>
        <v>16.510000000000002</v>
      </c>
      <c r="BN27" s="39">
        <f>24.5*50%</f>
        <v>12.25</v>
      </c>
      <c r="BO27" s="37"/>
      <c r="BP27" s="39">
        <f>SUM(BM27:BO27)</f>
        <v>28.76</v>
      </c>
      <c r="BQ27" s="39">
        <f>BP27+BK27</f>
        <v>50.575000000000003</v>
      </c>
      <c r="BR27" s="18"/>
      <c r="BS27" s="12"/>
      <c r="BT27" s="12"/>
      <c r="BU27" s="12"/>
      <c r="BV27" s="12"/>
      <c r="BW27" s="12"/>
      <c r="BX27" s="12"/>
      <c r="BY27" s="39">
        <f>5.26*50%</f>
        <v>2.63</v>
      </c>
      <c r="BZ27" s="12"/>
      <c r="CA27" s="12"/>
      <c r="CB27" s="12"/>
      <c r="CC27" s="12"/>
      <c r="CD27" s="12"/>
      <c r="CE27" s="12"/>
      <c r="CF27" s="12"/>
      <c r="CG27" s="12"/>
      <c r="CH27" s="18"/>
      <c r="CI27" s="6" t="s">
        <v>469</v>
      </c>
      <c r="CJ27" s="2" t="s">
        <v>35</v>
      </c>
      <c r="CK27" s="54" t="s">
        <v>280</v>
      </c>
      <c r="CL27" s="47" t="s">
        <v>85</v>
      </c>
      <c r="CM27" s="56" t="s">
        <v>435</v>
      </c>
      <c r="CN27" s="56" t="s">
        <v>465</v>
      </c>
      <c r="CO27" s="6" t="s">
        <v>452</v>
      </c>
    </row>
    <row r="28" spans="1:95" s="22" customFormat="1">
      <c r="A28" s="2" t="s">
        <v>185</v>
      </c>
      <c r="B28" s="2" t="s">
        <v>279</v>
      </c>
      <c r="C28" s="6" t="s">
        <v>468</v>
      </c>
      <c r="D28" s="6" t="s">
        <v>290</v>
      </c>
      <c r="E28" s="6">
        <v>2008</v>
      </c>
      <c r="F28" s="6">
        <v>2009</v>
      </c>
      <c r="G28" s="6">
        <v>0</v>
      </c>
      <c r="H28" s="6">
        <v>0</v>
      </c>
      <c r="I28" s="6">
        <v>0</v>
      </c>
      <c r="J28" s="6">
        <v>0</v>
      </c>
      <c r="K28" s="6">
        <v>0</v>
      </c>
      <c r="L28" s="23">
        <v>0</v>
      </c>
      <c r="M28" s="12">
        <v>14.8</v>
      </c>
      <c r="N28" s="4">
        <f>(M28-5)*12</f>
        <v>117.60000000000001</v>
      </c>
      <c r="O28" s="12">
        <v>1451.4</v>
      </c>
      <c r="P28" s="39">
        <v>7</v>
      </c>
      <c r="Q28" s="12">
        <v>160</v>
      </c>
      <c r="R28" s="39">
        <v>61.208329999999997</v>
      </c>
      <c r="S28" s="39">
        <v>2161.15</v>
      </c>
      <c r="T28" s="39">
        <v>1.5333300000000001</v>
      </c>
      <c r="U28" s="12">
        <v>0.31</v>
      </c>
      <c r="V28" s="12"/>
      <c r="W28" s="12">
        <v>4.79</v>
      </c>
      <c r="X28" s="12"/>
      <c r="Y28" s="12"/>
      <c r="Z28" s="12"/>
      <c r="AA28" s="12"/>
      <c r="AB28" s="12">
        <f>(0.025)*1000</f>
        <v>25</v>
      </c>
      <c r="AC28" s="12"/>
      <c r="AD28" s="12"/>
      <c r="AE28" s="12"/>
      <c r="AF28" s="12"/>
      <c r="AG28" s="12"/>
      <c r="AH28" s="12"/>
      <c r="AI28" s="12"/>
      <c r="AJ28" s="12"/>
      <c r="AK28" s="12"/>
      <c r="AL28" s="12">
        <v>357</v>
      </c>
      <c r="AM28" s="12">
        <v>463</v>
      </c>
      <c r="AN28" s="12"/>
      <c r="AO28" s="12"/>
      <c r="AP28" s="6"/>
      <c r="AQ28" s="12">
        <v>67</v>
      </c>
      <c r="AR28" s="12">
        <v>4790</v>
      </c>
      <c r="AS28" s="12">
        <v>11.2</v>
      </c>
      <c r="AT28" s="12"/>
      <c r="AU28" s="4">
        <f>(AS28/2)^2*PI()*AR28/10000</f>
        <v>47.191245550339858</v>
      </c>
      <c r="AV28" s="12"/>
      <c r="AW28" s="12"/>
      <c r="AX28" s="12"/>
      <c r="AY28" s="12"/>
      <c r="AZ28" s="12"/>
      <c r="BA28" s="12"/>
      <c r="BB28" s="12"/>
      <c r="BC28" s="12"/>
      <c r="BD28" s="12"/>
      <c r="BE28" s="12"/>
      <c r="BF28" s="12"/>
      <c r="BG28" s="12"/>
      <c r="BH28" s="39">
        <f>4.06*50%</f>
        <v>2.0299999999999998</v>
      </c>
      <c r="BI28" s="39">
        <f>10.9*50%</f>
        <v>5.45</v>
      </c>
      <c r="BJ28" s="39">
        <f>92.2*50%</f>
        <v>46.1</v>
      </c>
      <c r="BK28" s="39">
        <f t="shared" si="3"/>
        <v>53.58</v>
      </c>
      <c r="BL28" s="38">
        <f>BP28/BK28</f>
        <v>0.63176558417319884</v>
      </c>
      <c r="BM28" s="39">
        <f>(23.9+17.4)*50%</f>
        <v>20.65</v>
      </c>
      <c r="BN28" s="39">
        <f>26.4*50%</f>
        <v>13.2</v>
      </c>
      <c r="BO28" s="37"/>
      <c r="BP28" s="39">
        <f>SUM(BM28:BO28)</f>
        <v>33.849999999999994</v>
      </c>
      <c r="BQ28" s="39">
        <f>BP28+BK28</f>
        <v>87.429999999999993</v>
      </c>
      <c r="BR28" s="18"/>
      <c r="BS28" s="12"/>
      <c r="BT28" s="12"/>
      <c r="BU28" s="12"/>
      <c r="BV28" s="12"/>
      <c r="BW28" s="12"/>
      <c r="BX28" s="12"/>
      <c r="BY28" s="39">
        <f>3.03*50%</f>
        <v>1.5149999999999999</v>
      </c>
      <c r="BZ28" s="12"/>
      <c r="CA28" s="12"/>
      <c r="CB28" s="12"/>
      <c r="CC28" s="12"/>
      <c r="CD28" s="12"/>
      <c r="CE28" s="12"/>
      <c r="CF28" s="12"/>
      <c r="CG28" s="12"/>
      <c r="CH28" s="18"/>
      <c r="CI28" s="6" t="s">
        <v>469</v>
      </c>
      <c r="CJ28" s="2" t="s">
        <v>35</v>
      </c>
      <c r="CK28" s="54" t="s">
        <v>280</v>
      </c>
      <c r="CL28" s="47" t="s">
        <v>85</v>
      </c>
      <c r="CM28" s="56" t="s">
        <v>435</v>
      </c>
      <c r="CN28" s="56" t="s">
        <v>424</v>
      </c>
      <c r="CO28" s="6"/>
    </row>
    <row r="29" spans="1:95" s="45" customFormat="1">
      <c r="A29" s="6" t="s">
        <v>12</v>
      </c>
      <c r="B29" s="2" t="s">
        <v>363</v>
      </c>
      <c r="C29" s="6" t="s">
        <v>456</v>
      </c>
      <c r="D29" s="35" t="s">
        <v>451</v>
      </c>
      <c r="E29" s="6">
        <v>2008</v>
      </c>
      <c r="F29" s="6">
        <v>2008</v>
      </c>
      <c r="G29" s="6">
        <v>0</v>
      </c>
      <c r="H29" s="6">
        <v>0</v>
      </c>
      <c r="I29" s="6">
        <v>0</v>
      </c>
      <c r="J29" s="6">
        <v>0</v>
      </c>
      <c r="K29" s="6">
        <v>0</v>
      </c>
      <c r="L29" s="23">
        <v>0</v>
      </c>
      <c r="M29" s="39">
        <v>16.75</v>
      </c>
      <c r="N29" s="39">
        <v>141</v>
      </c>
      <c r="O29" s="39">
        <v>1086.5</v>
      </c>
      <c r="P29" s="39">
        <v>0</v>
      </c>
      <c r="Q29" s="39">
        <v>88</v>
      </c>
      <c r="R29" s="39">
        <v>65.416669999999996</v>
      </c>
      <c r="S29" s="39">
        <v>2016.9</v>
      </c>
      <c r="T29" s="39">
        <v>2.35</v>
      </c>
      <c r="U29" s="37"/>
      <c r="V29" s="37"/>
      <c r="W29" s="37"/>
      <c r="X29" s="37"/>
      <c r="Y29" s="37"/>
      <c r="Z29" s="37"/>
      <c r="AA29" s="37"/>
      <c r="AB29" s="37"/>
      <c r="AC29" s="37"/>
      <c r="AD29" s="37"/>
      <c r="AE29" s="37"/>
      <c r="AF29" s="37"/>
      <c r="AG29" s="37"/>
      <c r="AH29" s="37"/>
      <c r="AI29" s="37"/>
      <c r="AJ29" s="37"/>
      <c r="AK29" s="37"/>
      <c r="AL29" s="37"/>
      <c r="AM29" s="37"/>
      <c r="AN29" s="37"/>
      <c r="AO29" s="37"/>
      <c r="AP29" s="35"/>
      <c r="AQ29" s="37"/>
      <c r="AR29" s="37"/>
      <c r="AS29" s="37"/>
      <c r="AT29" s="37"/>
      <c r="AU29" s="37"/>
      <c r="AV29" s="37"/>
      <c r="AW29" s="37"/>
      <c r="AX29" s="37"/>
      <c r="AY29" s="37"/>
      <c r="AZ29" s="37"/>
      <c r="BA29" s="37"/>
      <c r="BB29" s="37"/>
      <c r="BC29" s="37"/>
      <c r="BD29" s="37"/>
      <c r="BE29" s="37"/>
      <c r="BF29" s="37"/>
      <c r="BG29" s="37"/>
      <c r="BH29" s="37"/>
      <c r="BI29" s="37"/>
      <c r="BJ29" s="37"/>
      <c r="BK29" s="39">
        <f>84.2</f>
        <v>84.2</v>
      </c>
      <c r="BL29" s="38"/>
      <c r="BM29" s="37"/>
      <c r="BN29" s="37"/>
      <c r="BO29" s="37"/>
      <c r="BP29" s="37"/>
      <c r="BQ29" s="37"/>
      <c r="BR29" s="44"/>
      <c r="BS29" s="37"/>
      <c r="BT29" s="37"/>
      <c r="BU29" s="37"/>
      <c r="BV29" s="37"/>
      <c r="BW29" s="37"/>
      <c r="BX29" s="37"/>
      <c r="BY29" s="39">
        <v>3.49</v>
      </c>
      <c r="BZ29" s="37"/>
      <c r="CA29" s="37"/>
      <c r="CB29" s="37"/>
      <c r="CC29" s="37"/>
      <c r="CD29" s="37"/>
      <c r="CE29" s="37"/>
      <c r="CF29" s="37"/>
      <c r="CG29" s="37"/>
      <c r="CH29" s="44"/>
      <c r="CI29" s="35" t="s">
        <v>447</v>
      </c>
      <c r="CJ29" s="36" t="s">
        <v>35</v>
      </c>
      <c r="CK29" s="21" t="s">
        <v>455</v>
      </c>
      <c r="CL29" s="57" t="s">
        <v>424</v>
      </c>
      <c r="CM29" s="56" t="s">
        <v>427</v>
      </c>
      <c r="CN29" s="64" t="s">
        <v>446</v>
      </c>
      <c r="CO29" s="35" t="s">
        <v>444</v>
      </c>
      <c r="CP29" s="45">
        <v>34.226111000000003</v>
      </c>
      <c r="CQ29" s="45">
        <v>134.08111099999999</v>
      </c>
    </row>
    <row r="30" spans="1:95" s="45" customFormat="1">
      <c r="A30" s="6" t="s">
        <v>12</v>
      </c>
      <c r="B30" s="2" t="s">
        <v>473</v>
      </c>
      <c r="C30" s="6" t="s">
        <v>353</v>
      </c>
      <c r="D30" s="35" t="s">
        <v>453</v>
      </c>
      <c r="E30" s="6">
        <v>2008</v>
      </c>
      <c r="F30" s="6">
        <v>2008</v>
      </c>
      <c r="G30" s="6">
        <v>0</v>
      </c>
      <c r="H30" s="6">
        <v>0</v>
      </c>
      <c r="I30" s="6">
        <v>0</v>
      </c>
      <c r="J30" s="6">
        <v>0</v>
      </c>
      <c r="K30" s="6">
        <v>0</v>
      </c>
      <c r="L30" s="23">
        <v>1</v>
      </c>
      <c r="M30" s="39">
        <v>16.75</v>
      </c>
      <c r="N30" s="39">
        <v>141</v>
      </c>
      <c r="O30" s="39">
        <v>1086.5</v>
      </c>
      <c r="P30" s="39">
        <v>0</v>
      </c>
      <c r="Q30" s="39">
        <v>88</v>
      </c>
      <c r="R30" s="39">
        <v>65.416669999999996</v>
      </c>
      <c r="S30" s="39">
        <v>2016.9</v>
      </c>
      <c r="T30" s="39">
        <v>2.35</v>
      </c>
      <c r="U30" s="37"/>
      <c r="V30" s="37"/>
      <c r="W30" s="37"/>
      <c r="X30" s="37"/>
      <c r="Y30" s="37"/>
      <c r="Z30" s="37"/>
      <c r="AA30" s="37"/>
      <c r="AB30" s="37"/>
      <c r="AC30" s="37"/>
      <c r="AD30" s="37"/>
      <c r="AE30" s="37"/>
      <c r="AF30" s="37"/>
      <c r="AG30" s="37"/>
      <c r="AH30" s="37"/>
      <c r="AI30" s="37"/>
      <c r="AJ30" s="37"/>
      <c r="AK30" s="37"/>
      <c r="AL30" s="37"/>
      <c r="AM30" s="37"/>
      <c r="AN30" s="37"/>
      <c r="AO30" s="37"/>
      <c r="AP30" s="35"/>
      <c r="AQ30" s="37"/>
      <c r="AR30" s="37"/>
      <c r="AS30" s="37"/>
      <c r="AT30" s="37"/>
      <c r="AU30" s="37"/>
      <c r="AV30" s="37"/>
      <c r="AW30" s="37"/>
      <c r="AX30" s="37"/>
      <c r="AY30" s="37"/>
      <c r="AZ30" s="37"/>
      <c r="BA30" s="37"/>
      <c r="BB30" s="37"/>
      <c r="BC30" s="37"/>
      <c r="BD30" s="37"/>
      <c r="BE30" s="37"/>
      <c r="BF30" s="37"/>
      <c r="BG30" s="37"/>
      <c r="BH30" s="37"/>
      <c r="BI30" s="37"/>
      <c r="BJ30" s="37"/>
      <c r="BK30" s="39">
        <f>(103.2+116.7+92.3+61.1+88.2)/5</f>
        <v>92.3</v>
      </c>
      <c r="BL30" s="38"/>
      <c r="BM30" s="37"/>
      <c r="BN30" s="37"/>
      <c r="BO30" s="37"/>
      <c r="BP30" s="37"/>
      <c r="BQ30" s="37"/>
      <c r="BR30" s="44"/>
      <c r="BS30" s="37"/>
      <c r="BT30" s="37"/>
      <c r="BU30" s="37"/>
      <c r="BV30" s="37"/>
      <c r="BW30" s="37"/>
      <c r="BX30" s="37"/>
      <c r="BY30" s="39">
        <f>(4.14+4.65+4.2+4.02+2.87)/5</f>
        <v>3.976</v>
      </c>
      <c r="BZ30" s="37"/>
      <c r="CA30" s="37"/>
      <c r="CB30" s="37"/>
      <c r="CC30" s="37"/>
      <c r="CD30" s="37"/>
      <c r="CE30" s="37"/>
      <c r="CF30" s="37"/>
      <c r="CG30" s="37"/>
      <c r="CH30" s="44"/>
      <c r="CI30" s="35" t="s">
        <v>447</v>
      </c>
      <c r="CJ30" s="36" t="s">
        <v>35</v>
      </c>
      <c r="CK30" s="55" t="s">
        <v>354</v>
      </c>
      <c r="CL30" s="57" t="s">
        <v>454</v>
      </c>
      <c r="CM30" s="56" t="s">
        <v>428</v>
      </c>
      <c r="CN30" s="64" t="s">
        <v>446</v>
      </c>
      <c r="CO30" s="35"/>
      <c r="CP30" s="45">
        <v>34.226111000000003</v>
      </c>
      <c r="CQ30" s="45">
        <v>134.08111099999999</v>
      </c>
    </row>
    <row r="31" spans="1:95">
      <c r="A31" s="6" t="s">
        <v>12</v>
      </c>
      <c r="B31" s="6" t="s">
        <v>258</v>
      </c>
      <c r="C31" s="6" t="s">
        <v>359</v>
      </c>
      <c r="D31" s="6" t="s">
        <v>240</v>
      </c>
      <c r="E31" s="6">
        <v>2009</v>
      </c>
      <c r="F31" s="6">
        <v>2009</v>
      </c>
      <c r="G31" s="2">
        <v>0</v>
      </c>
      <c r="H31" s="2">
        <v>0</v>
      </c>
      <c r="I31" s="2">
        <v>0</v>
      </c>
      <c r="J31" s="2">
        <v>0</v>
      </c>
      <c r="K31" s="2">
        <v>0</v>
      </c>
      <c r="L31" s="2">
        <v>0</v>
      </c>
      <c r="M31" s="3">
        <v>16.258333333333336</v>
      </c>
      <c r="N31" s="4">
        <f>(M31-5)*12</f>
        <v>135.10000000000002</v>
      </c>
      <c r="O31" s="3">
        <v>1831.5</v>
      </c>
      <c r="P31" s="39">
        <v>5</v>
      </c>
      <c r="Q31" s="12">
        <f>(320+80)/2</f>
        <v>200</v>
      </c>
      <c r="R31" s="4">
        <v>75.833333333333329</v>
      </c>
      <c r="S31" s="12">
        <v>1872.5</v>
      </c>
      <c r="T31" s="12">
        <v>1.4333333333333333</v>
      </c>
      <c r="U31" s="12"/>
      <c r="V31" s="12"/>
      <c r="W31" s="12"/>
      <c r="X31" s="12"/>
      <c r="Y31" s="12"/>
      <c r="Z31" s="12"/>
      <c r="AA31" s="12"/>
      <c r="AB31" s="12"/>
      <c r="AC31" s="12"/>
      <c r="AD31" s="12"/>
      <c r="AE31" s="12"/>
      <c r="AF31" s="12"/>
      <c r="AG31" s="12"/>
      <c r="AH31" s="12"/>
      <c r="AI31" s="12"/>
      <c r="AJ31" s="12"/>
      <c r="AK31" s="12"/>
      <c r="AL31" s="12"/>
      <c r="AM31" s="12"/>
      <c r="AN31" s="12"/>
      <c r="AO31" s="12"/>
      <c r="AP31" s="6"/>
      <c r="AQ31" s="12"/>
      <c r="AR31" s="12">
        <f>(6130+5000)/2</f>
        <v>5565</v>
      </c>
      <c r="AS31" s="12">
        <f>(12.9+13.9)/2</f>
        <v>13.4</v>
      </c>
      <c r="AT31" s="12">
        <f>(17.9+18.1)/2</f>
        <v>18</v>
      </c>
      <c r="AU31" s="12">
        <f>(83+76.8)/2</f>
        <v>79.900000000000006</v>
      </c>
      <c r="AV31" s="12"/>
      <c r="AW31" s="12"/>
      <c r="AX31" s="12"/>
      <c r="AY31" s="3"/>
      <c r="AZ31" s="3"/>
      <c r="BA31" s="3"/>
      <c r="BB31" s="3"/>
      <c r="BC31" s="3"/>
      <c r="BD31" s="3"/>
      <c r="BE31" s="3"/>
      <c r="BF31" s="3"/>
      <c r="BG31" s="3"/>
      <c r="BH31" s="12"/>
      <c r="BI31" s="4">
        <f>(17.01+18.71)/2*0.5</f>
        <v>8.93</v>
      </c>
      <c r="BJ31" s="4">
        <f>(129.63+101.28)/2*0.5</f>
        <v>57.727499999999999</v>
      </c>
      <c r="BK31" s="4">
        <f>SUM(BH31:BJ31)</f>
        <v>66.657499999999999</v>
      </c>
      <c r="BL31" s="3"/>
      <c r="BM31" s="3"/>
      <c r="BN31" s="3"/>
      <c r="BO31" s="3"/>
      <c r="BP31" s="3"/>
      <c r="BQ31" s="3"/>
      <c r="BR31" s="3"/>
      <c r="BS31" s="3"/>
      <c r="BT31" s="3"/>
      <c r="BU31" s="3"/>
      <c r="BV31" s="4"/>
      <c r="BW31" s="4">
        <f>(1.22+2.73)/2*0.5</f>
        <v>0.98750000000000004</v>
      </c>
      <c r="BX31" s="4">
        <f>(7.04+12.44)/2*0.5</f>
        <v>4.87</v>
      </c>
      <c r="BY31" s="3"/>
      <c r="BZ31" s="4">
        <f>SUM(BV31:BY31)</f>
        <v>5.8574999999999999</v>
      </c>
      <c r="CA31" s="3"/>
      <c r="CB31" s="3"/>
      <c r="CC31" s="3"/>
      <c r="CD31" s="3"/>
      <c r="CE31" s="3"/>
      <c r="CF31" s="3"/>
      <c r="CG31" s="3"/>
      <c r="CH31" s="3"/>
      <c r="CI31" s="6" t="s">
        <v>329</v>
      </c>
      <c r="CJ31" s="2" t="s">
        <v>35</v>
      </c>
      <c r="CK31" s="46" t="s">
        <v>53</v>
      </c>
      <c r="CL31" s="47" t="s">
        <v>85</v>
      </c>
      <c r="CM31" s="47" t="s">
        <v>434</v>
      </c>
      <c r="CN31" s="47" t="s">
        <v>434</v>
      </c>
      <c r="CO31" s="2" t="s">
        <v>472</v>
      </c>
    </row>
    <row r="32" spans="1:95">
      <c r="A32" s="6" t="s">
        <v>12</v>
      </c>
      <c r="B32" s="6" t="s">
        <v>29</v>
      </c>
      <c r="C32" s="6" t="s">
        <v>360</v>
      </c>
      <c r="D32" s="6" t="s">
        <v>241</v>
      </c>
      <c r="E32" s="6">
        <v>2009</v>
      </c>
      <c r="F32" s="6">
        <v>2009</v>
      </c>
      <c r="G32" s="2">
        <v>0</v>
      </c>
      <c r="H32" s="2">
        <v>0</v>
      </c>
      <c r="I32" s="2">
        <v>0</v>
      </c>
      <c r="J32" s="2">
        <v>0</v>
      </c>
      <c r="K32" s="2">
        <v>0</v>
      </c>
      <c r="L32" s="2">
        <v>0</v>
      </c>
      <c r="M32" s="3">
        <v>18.108333333333331</v>
      </c>
      <c r="N32" s="4">
        <f>(M32-5)*12</f>
        <v>157.29999999999995</v>
      </c>
      <c r="O32" s="3">
        <v>1818.5</v>
      </c>
      <c r="P32" s="39">
        <v>5</v>
      </c>
      <c r="Q32" s="12">
        <v>130</v>
      </c>
      <c r="R32" s="4">
        <v>75.833333333333329</v>
      </c>
      <c r="S32" s="12">
        <v>1781.2</v>
      </c>
      <c r="T32" s="12">
        <v>1.9750000000000003</v>
      </c>
      <c r="U32" s="12"/>
      <c r="V32" s="12"/>
      <c r="W32" s="12"/>
      <c r="X32" s="12"/>
      <c r="Y32" s="12"/>
      <c r="Z32" s="12"/>
      <c r="AA32" s="12"/>
      <c r="AB32" s="12"/>
      <c r="AC32" s="12"/>
      <c r="AD32" s="12"/>
      <c r="AE32" s="12"/>
      <c r="AF32" s="12"/>
      <c r="AG32" s="12"/>
      <c r="AH32" s="12"/>
      <c r="AI32" s="12"/>
      <c r="AJ32" s="12"/>
      <c r="AK32" s="12"/>
      <c r="AL32" s="12"/>
      <c r="AM32" s="12"/>
      <c r="AN32" s="12"/>
      <c r="AO32" s="12"/>
      <c r="AP32" s="6"/>
      <c r="AQ32" s="12"/>
      <c r="AR32" s="12">
        <f>5230</f>
        <v>5230</v>
      </c>
      <c r="AS32" s="12">
        <v>10.4</v>
      </c>
      <c r="AT32" s="12">
        <v>13.5</v>
      </c>
      <c r="AU32" s="12">
        <v>45.7</v>
      </c>
      <c r="AV32" s="12"/>
      <c r="AW32" s="12"/>
      <c r="AX32" s="12"/>
      <c r="AY32" s="3"/>
      <c r="AZ32" s="3"/>
      <c r="BA32" s="3"/>
      <c r="BB32" s="3"/>
      <c r="BC32" s="3"/>
      <c r="BD32" s="3"/>
      <c r="BE32" s="3"/>
      <c r="BF32" s="3"/>
      <c r="BG32" s="3"/>
      <c r="BH32" s="12"/>
      <c r="BI32" s="4">
        <f>12.29*0.5</f>
        <v>6.1449999999999996</v>
      </c>
      <c r="BJ32" s="4">
        <f>70.53*0.5</f>
        <v>35.265000000000001</v>
      </c>
      <c r="BK32" s="4">
        <f>SUM(BH32:BJ32)</f>
        <v>41.41</v>
      </c>
      <c r="BL32" s="3"/>
      <c r="BM32" s="3"/>
      <c r="BN32" s="3"/>
      <c r="BO32" s="3"/>
      <c r="BP32" s="3"/>
      <c r="BQ32" s="3"/>
      <c r="BR32" s="3"/>
      <c r="BS32" s="3"/>
      <c r="BT32" s="3"/>
      <c r="BU32" s="3"/>
      <c r="BV32" s="4"/>
      <c r="BW32" s="4">
        <f>2.49*0.5</f>
        <v>1.2450000000000001</v>
      </c>
      <c r="BX32" s="4">
        <f>9.65*0.5</f>
        <v>4.8250000000000002</v>
      </c>
      <c r="BY32" s="3"/>
      <c r="BZ32" s="4">
        <f>SUM(BV32:BY32)</f>
        <v>6.07</v>
      </c>
      <c r="CA32" s="3"/>
      <c r="CB32" s="3"/>
      <c r="CC32" s="3"/>
      <c r="CD32" s="3"/>
      <c r="CE32" s="3"/>
      <c r="CF32" s="3"/>
      <c r="CG32" s="3"/>
      <c r="CH32" s="3"/>
      <c r="CI32" s="6" t="s">
        <v>329</v>
      </c>
      <c r="CJ32" s="2" t="s">
        <v>35</v>
      </c>
      <c r="CK32" s="46" t="s">
        <v>53</v>
      </c>
      <c r="CL32" s="47" t="s">
        <v>85</v>
      </c>
      <c r="CM32" s="47" t="s">
        <v>434</v>
      </c>
      <c r="CN32" s="47" t="s">
        <v>434</v>
      </c>
      <c r="CO32" s="2"/>
    </row>
    <row r="33" spans="1:93">
      <c r="A33" s="6" t="s">
        <v>12</v>
      </c>
      <c r="B33" s="6" t="s">
        <v>29</v>
      </c>
      <c r="C33" s="6" t="s">
        <v>361</v>
      </c>
      <c r="D33" s="6" t="s">
        <v>239</v>
      </c>
      <c r="E33" s="6">
        <v>2009</v>
      </c>
      <c r="F33" s="6">
        <v>2009</v>
      </c>
      <c r="G33" s="2">
        <v>0</v>
      </c>
      <c r="H33" s="2">
        <v>0</v>
      </c>
      <c r="I33" s="2">
        <v>0</v>
      </c>
      <c r="J33" s="2">
        <v>0</v>
      </c>
      <c r="K33" s="2">
        <v>0</v>
      </c>
      <c r="L33" s="2">
        <v>0</v>
      </c>
      <c r="M33" s="3">
        <v>17.633333333333333</v>
      </c>
      <c r="N33" s="4">
        <f>(M33-5)*12</f>
        <v>151.6</v>
      </c>
      <c r="O33" s="3">
        <v>2057.3000000000002</v>
      </c>
      <c r="P33" s="39">
        <v>5</v>
      </c>
      <c r="Q33" s="12">
        <f>(125+125+125)/3</f>
        <v>125</v>
      </c>
      <c r="R33" s="3">
        <v>75.833333333333329</v>
      </c>
      <c r="S33" s="12">
        <v>1974.0000000000002</v>
      </c>
      <c r="T33" s="12">
        <v>3.2250000000000001</v>
      </c>
      <c r="U33" s="12"/>
      <c r="V33" s="12"/>
      <c r="W33" s="12"/>
      <c r="X33" s="12"/>
      <c r="Y33" s="12"/>
      <c r="Z33" s="12"/>
      <c r="AA33" s="12"/>
      <c r="AB33" s="12"/>
      <c r="AC33" s="12"/>
      <c r="AD33" s="12"/>
      <c r="AE33" s="12"/>
      <c r="AF33" s="12"/>
      <c r="AG33" s="12"/>
      <c r="AH33" s="12"/>
      <c r="AI33" s="12"/>
      <c r="AJ33" s="12"/>
      <c r="AK33" s="12"/>
      <c r="AL33" s="12"/>
      <c r="AM33" s="12"/>
      <c r="AN33" s="12"/>
      <c r="AO33" s="12"/>
      <c r="AP33" s="6"/>
      <c r="AQ33" s="12"/>
      <c r="AR33" s="12">
        <f>(5550+5200+5130)/3</f>
        <v>5293.333333333333</v>
      </c>
      <c r="AS33" s="12">
        <f>(12.5+12.8+11.7)/3</f>
        <v>12.333333333333334</v>
      </c>
      <c r="AT33" s="12">
        <f>(17+17.5+16.3)/3</f>
        <v>16.933333333333334</v>
      </c>
      <c r="AU33" s="12">
        <f>(69.5+67.4+59.1)/3</f>
        <v>65.333333333333329</v>
      </c>
      <c r="AV33" s="12"/>
      <c r="AW33" s="12"/>
      <c r="AX33" s="12"/>
      <c r="AY33" s="3"/>
      <c r="AZ33" s="3"/>
      <c r="BA33" s="3"/>
      <c r="BB33" s="3"/>
      <c r="BC33" s="3"/>
      <c r="BD33" s="3"/>
      <c r="BE33" s="3"/>
      <c r="BF33" s="3"/>
      <c r="BG33" s="3"/>
      <c r="BH33" s="12"/>
      <c r="BI33" s="4">
        <f>(13.09+16.52+15.96)/3*0.5</f>
        <v>7.5949999999999998</v>
      </c>
      <c r="BJ33" s="4">
        <f>(108.8+104.54+72.27)/3*0.5</f>
        <v>47.601666666666667</v>
      </c>
      <c r="BK33" s="4">
        <f>SUM(BH33:BJ33)</f>
        <v>55.196666666666665</v>
      </c>
      <c r="BL33" s="3"/>
      <c r="BM33" s="3"/>
      <c r="BN33" s="3"/>
      <c r="BO33" s="3"/>
      <c r="BP33" s="3"/>
      <c r="BQ33" s="3"/>
      <c r="BR33" s="3"/>
      <c r="BS33" s="3"/>
      <c r="BT33" s="3"/>
      <c r="BU33" s="3"/>
      <c r="BV33" s="4"/>
      <c r="BW33" s="4">
        <f>(0.39+0.07+0.22)/3*0.5</f>
        <v>0.11333333333333334</v>
      </c>
      <c r="BX33" s="4">
        <f>(1.67+0.22+0.71)/3*0.5</f>
        <v>0.43333333333333329</v>
      </c>
      <c r="BY33" s="3"/>
      <c r="BZ33" s="4">
        <f>SUM(BV33:BY33)</f>
        <v>0.54666666666666663</v>
      </c>
      <c r="CA33" s="3"/>
      <c r="CB33" s="3"/>
      <c r="CC33" s="3"/>
      <c r="CD33" s="3"/>
      <c r="CE33" s="3"/>
      <c r="CF33" s="3"/>
      <c r="CG33" s="3"/>
      <c r="CH33" s="3"/>
      <c r="CI33" s="6" t="s">
        <v>329</v>
      </c>
      <c r="CJ33" s="2" t="s">
        <v>35</v>
      </c>
      <c r="CK33" s="46" t="s">
        <v>53</v>
      </c>
      <c r="CL33" s="47" t="s">
        <v>85</v>
      </c>
      <c r="CM33" s="47" t="s">
        <v>434</v>
      </c>
      <c r="CN33" s="47" t="s">
        <v>434</v>
      </c>
      <c r="CO33" s="2"/>
    </row>
    <row r="34" spans="1:93">
      <c r="A34" s="6" t="s">
        <v>12</v>
      </c>
      <c r="B34" s="6" t="s">
        <v>332</v>
      </c>
      <c r="C34" s="2" t="s">
        <v>463</v>
      </c>
      <c r="D34" s="35" t="s">
        <v>464</v>
      </c>
      <c r="E34" s="6">
        <v>2009</v>
      </c>
      <c r="F34" s="6">
        <v>2009</v>
      </c>
      <c r="G34" s="6">
        <v>0</v>
      </c>
      <c r="H34" s="6">
        <v>0</v>
      </c>
      <c r="I34" s="6">
        <v>0</v>
      </c>
      <c r="J34" s="6">
        <v>0</v>
      </c>
      <c r="K34" s="6">
        <v>0</v>
      </c>
      <c r="L34" s="6">
        <v>0</v>
      </c>
      <c r="M34" s="39">
        <v>16.100000000000001</v>
      </c>
      <c r="N34" s="39">
        <v>133.19999999999999</v>
      </c>
      <c r="O34" s="39">
        <v>1457.5</v>
      </c>
      <c r="P34" s="39">
        <v>2</v>
      </c>
      <c r="Q34" s="39">
        <v>132</v>
      </c>
      <c r="R34" s="39">
        <v>62</v>
      </c>
      <c r="S34" s="39">
        <v>1775</v>
      </c>
      <c r="T34" s="39">
        <v>2.0583330000000002</v>
      </c>
      <c r="U34" s="37"/>
      <c r="V34" s="37"/>
      <c r="W34" s="37"/>
      <c r="X34" s="37"/>
      <c r="Y34" s="37"/>
      <c r="Z34" s="37"/>
      <c r="AA34" s="37"/>
      <c r="AB34" s="37"/>
      <c r="AC34" s="37"/>
      <c r="AD34" s="37"/>
      <c r="AE34" s="37"/>
      <c r="AF34" s="37"/>
      <c r="AG34" s="37"/>
      <c r="AH34" s="37"/>
      <c r="AI34" s="37"/>
      <c r="AJ34" s="37"/>
      <c r="AK34" s="37"/>
      <c r="AL34" s="37"/>
      <c r="AM34" s="37"/>
      <c r="AN34" s="37"/>
      <c r="AO34" s="37"/>
      <c r="AP34" s="35"/>
      <c r="AQ34" s="37"/>
      <c r="AR34" s="37">
        <v>5400</v>
      </c>
      <c r="AS34" s="37">
        <v>8</v>
      </c>
      <c r="AT34" s="37">
        <v>12.1</v>
      </c>
      <c r="AU34" s="39">
        <f>(AS34/2)^2*PI()*AR34/10000</f>
        <v>27.143360527015815</v>
      </c>
      <c r="AV34" s="37"/>
      <c r="AW34" s="37"/>
      <c r="AX34" s="37"/>
      <c r="AY34" s="37"/>
      <c r="AZ34" s="37"/>
      <c r="BA34" s="37"/>
      <c r="BB34" s="37"/>
      <c r="BC34" s="37"/>
      <c r="BD34" s="37"/>
      <c r="BE34" s="37"/>
      <c r="BF34" s="37"/>
      <c r="BG34" s="37"/>
      <c r="BH34" s="37"/>
      <c r="BI34" s="37">
        <f>2.6*5400/1000</f>
        <v>14.04</v>
      </c>
      <c r="BJ34" s="37">
        <f>8.9*5400/1000</f>
        <v>48.06</v>
      </c>
      <c r="BK34" s="37">
        <f>11.6*5400/1000</f>
        <v>62.64</v>
      </c>
      <c r="BL34" s="37"/>
      <c r="BM34" s="37"/>
      <c r="BN34" s="37"/>
      <c r="BO34" s="37"/>
      <c r="BP34" s="37"/>
      <c r="BQ34" s="37"/>
      <c r="BR34" s="37"/>
      <c r="BS34" s="37"/>
      <c r="BT34" s="37"/>
      <c r="BU34" s="37"/>
      <c r="BV34" s="37"/>
      <c r="BW34" s="37"/>
      <c r="BX34" s="37"/>
      <c r="BY34" s="37"/>
      <c r="BZ34" s="37"/>
      <c r="CA34" s="38"/>
      <c r="CB34" s="38"/>
      <c r="CC34" s="38"/>
      <c r="CD34" s="38"/>
      <c r="CE34" s="38"/>
      <c r="CF34" s="38"/>
      <c r="CG34" s="38"/>
      <c r="CH34" s="38"/>
      <c r="CI34" s="2" t="s">
        <v>345</v>
      </c>
      <c r="CJ34" s="2" t="s">
        <v>330</v>
      </c>
      <c r="CK34" s="46" t="s">
        <v>331</v>
      </c>
      <c r="CL34" s="47" t="s">
        <v>460</v>
      </c>
      <c r="CM34" s="47" t="s">
        <v>434</v>
      </c>
      <c r="CN34" s="47" t="s">
        <v>462</v>
      </c>
      <c r="CO34" s="2" t="s">
        <v>385</v>
      </c>
    </row>
    <row r="35" spans="1:93">
      <c r="A35" s="2" t="s">
        <v>185</v>
      </c>
      <c r="B35" s="2" t="s">
        <v>187</v>
      </c>
      <c r="C35" s="6" t="s">
        <v>470</v>
      </c>
      <c r="D35" s="2" t="s">
        <v>237</v>
      </c>
      <c r="E35" s="2">
        <v>2006</v>
      </c>
      <c r="F35" s="2">
        <v>2016</v>
      </c>
      <c r="G35" s="2">
        <v>0</v>
      </c>
      <c r="H35" s="2">
        <v>0</v>
      </c>
      <c r="I35" s="2">
        <v>0</v>
      </c>
      <c r="J35" s="2">
        <v>0</v>
      </c>
      <c r="K35" s="2">
        <v>0</v>
      </c>
      <c r="L35" s="2">
        <v>0</v>
      </c>
      <c r="M35" s="3">
        <v>17.5</v>
      </c>
      <c r="N35" s="4">
        <f>(M35-5)*12</f>
        <v>150</v>
      </c>
      <c r="O35" s="3">
        <v>2719</v>
      </c>
      <c r="P35" s="39">
        <v>1.1000000000000001</v>
      </c>
      <c r="Q35" s="38">
        <v>60</v>
      </c>
      <c r="R35" s="39">
        <v>69.340909999999994</v>
      </c>
      <c r="S35" s="39">
        <v>2353.88</v>
      </c>
      <c r="T35" s="39">
        <v>1.72197</v>
      </c>
      <c r="U35" s="12"/>
      <c r="V35" s="3"/>
      <c r="W35" s="3"/>
      <c r="X35" s="3"/>
      <c r="Y35" s="3"/>
      <c r="Z35" s="3"/>
      <c r="AA35" s="3"/>
      <c r="AB35" s="3"/>
      <c r="AC35" s="3"/>
      <c r="AD35" s="3"/>
      <c r="AE35" s="3"/>
      <c r="AF35" s="3"/>
      <c r="AG35" s="3"/>
      <c r="AH35" s="3"/>
      <c r="AI35" s="3"/>
      <c r="AJ35" s="3"/>
      <c r="AK35" s="3"/>
      <c r="AL35" s="3"/>
      <c r="AM35" s="3"/>
      <c r="AN35" s="3"/>
      <c r="AO35" s="3"/>
      <c r="AP35" s="2"/>
      <c r="AQ35" s="3"/>
      <c r="AR35" s="3">
        <f>(9870+7307)/2</f>
        <v>8588.5</v>
      </c>
      <c r="AS35" s="3">
        <f>(11+13)/2</f>
        <v>12</v>
      </c>
      <c r="AT35" s="3"/>
      <c r="AU35" s="3">
        <f>(AS35/2)^2*PI()*AR35/10000</f>
        <v>97.133646619281379</v>
      </c>
      <c r="AV35" s="12"/>
      <c r="AW35" s="12">
        <v>6.9</v>
      </c>
      <c r="AX35" s="12"/>
      <c r="AY35" s="3"/>
      <c r="AZ35" s="3"/>
      <c r="BA35" s="3"/>
      <c r="BB35" s="3"/>
      <c r="BC35" s="3"/>
      <c r="BD35" s="3"/>
      <c r="BE35" s="3"/>
      <c r="BF35" s="3"/>
      <c r="BG35" s="3"/>
      <c r="BH35" s="12"/>
      <c r="BI35" s="12"/>
      <c r="BJ35" s="12"/>
      <c r="BK35" s="4">
        <f>(170+200)/2*50%</f>
        <v>92.5</v>
      </c>
      <c r="BL35" s="3"/>
      <c r="BM35" s="3"/>
      <c r="BN35" s="3"/>
      <c r="BO35" s="3"/>
      <c r="BP35" s="3"/>
      <c r="BQ35" s="3"/>
      <c r="BR35" s="3"/>
      <c r="BS35" s="3"/>
      <c r="BT35" s="3"/>
      <c r="BU35" s="3"/>
      <c r="BV35" s="3"/>
      <c r="BW35" s="3"/>
      <c r="BX35" s="3"/>
      <c r="BY35" s="4">
        <f>4.2*50%</f>
        <v>2.1</v>
      </c>
      <c r="BZ35" s="3"/>
      <c r="CA35" s="3"/>
      <c r="CB35" s="3"/>
      <c r="CC35" s="3"/>
      <c r="CD35" s="3"/>
      <c r="CE35" s="3"/>
      <c r="CF35" s="3"/>
      <c r="CG35" s="3"/>
      <c r="CH35" s="3"/>
      <c r="CI35" s="2" t="s">
        <v>181</v>
      </c>
      <c r="CJ35" s="2" t="s">
        <v>35</v>
      </c>
      <c r="CK35" s="46" t="s">
        <v>182</v>
      </c>
      <c r="CL35" s="47" t="s">
        <v>85</v>
      </c>
      <c r="CM35" s="47" t="s">
        <v>434</v>
      </c>
      <c r="CN35" s="47" t="s">
        <v>434</v>
      </c>
      <c r="CO35" s="2"/>
    </row>
    <row r="36" spans="1:93">
      <c r="A36" s="2" t="s">
        <v>12</v>
      </c>
      <c r="B36" s="2" t="s">
        <v>471</v>
      </c>
      <c r="C36" s="2" t="s">
        <v>365</v>
      </c>
      <c r="D36" s="2" t="s">
        <v>233</v>
      </c>
      <c r="E36" s="2">
        <v>2013</v>
      </c>
      <c r="F36" s="2">
        <v>2016</v>
      </c>
      <c r="G36" s="2">
        <v>1</v>
      </c>
      <c r="H36" s="2">
        <v>0</v>
      </c>
      <c r="I36" s="2">
        <v>0</v>
      </c>
      <c r="J36" s="2">
        <v>1</v>
      </c>
      <c r="K36" s="2">
        <v>0</v>
      </c>
      <c r="L36" s="2">
        <v>0</v>
      </c>
      <c r="M36" s="3">
        <v>15.9</v>
      </c>
      <c r="N36" s="4">
        <f>(M36-5)*12</f>
        <v>130.80000000000001</v>
      </c>
      <c r="O36" s="3">
        <v>1833</v>
      </c>
      <c r="P36" s="39">
        <v>2.25</v>
      </c>
      <c r="Q36" s="39">
        <v>84</v>
      </c>
      <c r="R36" s="39">
        <v>70.104166666666671</v>
      </c>
      <c r="S36" s="39">
        <v>2523.9333333333334</v>
      </c>
      <c r="T36" s="39">
        <v>2.8458333333333337</v>
      </c>
      <c r="U36" s="12"/>
      <c r="V36" s="3"/>
      <c r="W36" s="3"/>
      <c r="X36" s="3"/>
      <c r="Y36" s="3"/>
      <c r="Z36" s="3"/>
      <c r="AA36" s="3"/>
      <c r="AB36" s="3"/>
      <c r="AC36" s="3"/>
      <c r="AD36" s="3"/>
      <c r="AE36" s="3"/>
      <c r="AF36" s="3"/>
      <c r="AG36" s="3"/>
      <c r="AH36" s="3"/>
      <c r="AI36" s="3"/>
      <c r="AJ36" s="3"/>
      <c r="AK36" s="3"/>
      <c r="AL36" s="3"/>
      <c r="AM36" s="3"/>
      <c r="AN36" s="3"/>
      <c r="AO36" s="3"/>
      <c r="AP36" s="2"/>
      <c r="AQ36" s="3"/>
      <c r="AR36" s="38">
        <f>(10500+9900)/2</f>
        <v>10200</v>
      </c>
      <c r="AS36" s="38">
        <f>(9.3+9.3)/2</f>
        <v>9.3000000000000007</v>
      </c>
      <c r="AT36" s="38"/>
      <c r="AU36" s="38">
        <f>(72.6+76.4)/2</f>
        <v>74.5</v>
      </c>
      <c r="AV36" s="12"/>
      <c r="AW36" s="12"/>
      <c r="AX36" s="12"/>
      <c r="AY36" s="3"/>
      <c r="AZ36" s="3"/>
      <c r="BA36" s="3"/>
      <c r="BB36" s="3"/>
      <c r="BC36" s="3"/>
      <c r="BD36" s="3"/>
      <c r="BE36" s="3"/>
      <c r="BF36" s="3"/>
      <c r="BG36" s="3"/>
      <c r="BH36" s="12"/>
      <c r="BI36" s="12"/>
      <c r="BJ36" s="12"/>
      <c r="BK36" s="39">
        <f>(181+190.3)/2*0.5</f>
        <v>92.825000000000003</v>
      </c>
      <c r="BL36" s="3"/>
      <c r="BM36" s="3"/>
      <c r="BN36" s="3"/>
      <c r="BO36" s="3"/>
      <c r="BP36" s="3"/>
      <c r="BQ36" s="3"/>
      <c r="BR36" s="3"/>
      <c r="BS36" s="3"/>
      <c r="BT36" s="3"/>
      <c r="BU36" s="3"/>
      <c r="BV36" s="3"/>
      <c r="BW36" s="3"/>
      <c r="BX36" s="3"/>
      <c r="BY36" s="3"/>
      <c r="BZ36" s="3"/>
      <c r="CA36" s="3"/>
      <c r="CB36" s="3"/>
      <c r="CC36" s="3"/>
      <c r="CD36" s="3"/>
      <c r="CE36" s="3"/>
      <c r="CF36" s="3"/>
      <c r="CG36" s="3"/>
      <c r="CH36" s="3"/>
      <c r="CI36" s="2" t="s">
        <v>50</v>
      </c>
      <c r="CJ36" s="2" t="s">
        <v>35</v>
      </c>
      <c r="CK36" s="46" t="s">
        <v>328</v>
      </c>
      <c r="CL36" s="47" t="s">
        <v>85</v>
      </c>
      <c r="CM36" s="47" t="s">
        <v>434</v>
      </c>
      <c r="CN36" s="47" t="s">
        <v>434</v>
      </c>
      <c r="CO36" s="2"/>
    </row>
    <row r="37" spans="1:93">
      <c r="A37" s="2" t="s">
        <v>12</v>
      </c>
      <c r="B37" s="2" t="s">
        <v>364</v>
      </c>
      <c r="C37" s="2" t="s">
        <v>366</v>
      </c>
      <c r="D37" s="2" t="s">
        <v>238</v>
      </c>
      <c r="E37" s="2">
        <v>2013</v>
      </c>
      <c r="F37" s="2">
        <v>2016</v>
      </c>
      <c r="G37" s="2">
        <v>0</v>
      </c>
      <c r="H37" s="2">
        <v>0</v>
      </c>
      <c r="I37" s="2">
        <v>0</v>
      </c>
      <c r="J37" s="2">
        <v>0</v>
      </c>
      <c r="K37" s="2">
        <v>0</v>
      </c>
      <c r="L37" s="2">
        <v>0</v>
      </c>
      <c r="M37" s="3">
        <v>15.9</v>
      </c>
      <c r="N37" s="4">
        <f>(M37-5)*12</f>
        <v>130.80000000000001</v>
      </c>
      <c r="O37" s="3">
        <v>1833</v>
      </c>
      <c r="P37" s="39">
        <v>2.25</v>
      </c>
      <c r="Q37" s="39">
        <v>84</v>
      </c>
      <c r="R37" s="39">
        <v>70.104166666666671</v>
      </c>
      <c r="S37" s="39">
        <v>2523.9333333333334</v>
      </c>
      <c r="T37" s="39">
        <v>2.8458333333333337</v>
      </c>
      <c r="U37" s="12"/>
      <c r="V37" s="3"/>
      <c r="W37" s="3"/>
      <c r="X37" s="3"/>
      <c r="Y37" s="3"/>
      <c r="Z37" s="3"/>
      <c r="AA37" s="3"/>
      <c r="AB37" s="3"/>
      <c r="AC37" s="3"/>
      <c r="AD37" s="3"/>
      <c r="AE37" s="3"/>
      <c r="AF37" s="3"/>
      <c r="AG37" s="3"/>
      <c r="AH37" s="3"/>
      <c r="AI37" s="3"/>
      <c r="AJ37" s="3"/>
      <c r="AK37" s="3"/>
      <c r="AL37" s="3"/>
      <c r="AM37" s="3"/>
      <c r="AN37" s="3"/>
      <c r="AO37" s="3"/>
      <c r="AP37" s="2"/>
      <c r="AQ37" s="3"/>
      <c r="AR37" s="38">
        <f>(8000+8500)/2</f>
        <v>8250</v>
      </c>
      <c r="AS37" s="38">
        <f>(11.1+11.6)/2</f>
        <v>11.35</v>
      </c>
      <c r="AT37" s="38"/>
      <c r="AU37" s="38">
        <f>(86.5+85.9)/2</f>
        <v>86.2</v>
      </c>
      <c r="AV37" s="12"/>
      <c r="AW37" s="12"/>
      <c r="AX37" s="12"/>
      <c r="AY37" s="3"/>
      <c r="AZ37" s="3"/>
      <c r="BA37" s="3"/>
      <c r="BB37" s="3"/>
      <c r="BC37" s="3"/>
      <c r="BD37" s="3"/>
      <c r="BE37" s="3"/>
      <c r="BF37" s="3"/>
      <c r="BG37" s="3"/>
      <c r="BH37" s="12"/>
      <c r="BI37" s="12"/>
      <c r="BJ37" s="12"/>
      <c r="BK37" s="39">
        <f>(222.6+220.1)/2*0.5</f>
        <v>110.675</v>
      </c>
      <c r="BL37" s="3"/>
      <c r="BM37" s="3"/>
      <c r="BN37" s="3"/>
      <c r="BO37" s="3"/>
      <c r="BP37" s="3"/>
      <c r="BQ37" s="3"/>
      <c r="BR37" s="3"/>
      <c r="BS37" s="3"/>
      <c r="BT37" s="3"/>
      <c r="BU37" s="3"/>
      <c r="BV37" s="3"/>
      <c r="BW37" s="3"/>
      <c r="BX37" s="3"/>
      <c r="BY37" s="3"/>
      <c r="BZ37" s="3"/>
      <c r="CA37" s="3"/>
      <c r="CB37" s="3"/>
      <c r="CC37" s="3"/>
      <c r="CD37" s="3"/>
      <c r="CE37" s="3"/>
      <c r="CF37" s="3"/>
      <c r="CG37" s="3"/>
      <c r="CH37" s="3"/>
      <c r="CI37" s="2" t="s">
        <v>50</v>
      </c>
      <c r="CJ37" s="2" t="s">
        <v>35</v>
      </c>
      <c r="CK37" s="46" t="s">
        <v>52</v>
      </c>
      <c r="CL37" s="47" t="s">
        <v>85</v>
      </c>
      <c r="CM37" s="47" t="s">
        <v>434</v>
      </c>
      <c r="CN37" s="47" t="s">
        <v>434</v>
      </c>
      <c r="CO37" s="2"/>
    </row>
    <row r="38" spans="1:93" s="22" customFormat="1">
      <c r="A38" s="6" t="s">
        <v>12</v>
      </c>
      <c r="B38" s="6" t="s">
        <v>332</v>
      </c>
      <c r="C38" s="2" t="s">
        <v>675</v>
      </c>
      <c r="D38" s="2" t="s">
        <v>673</v>
      </c>
      <c r="E38" s="2">
        <v>2019</v>
      </c>
      <c r="F38" s="2">
        <v>2019</v>
      </c>
      <c r="G38" s="2">
        <v>1</v>
      </c>
      <c r="H38" s="2">
        <v>0</v>
      </c>
      <c r="I38" s="2">
        <v>1</v>
      </c>
      <c r="J38" s="2">
        <v>0</v>
      </c>
      <c r="K38" s="2">
        <v>0</v>
      </c>
      <c r="L38" s="2">
        <v>0</v>
      </c>
      <c r="M38" s="4">
        <v>16.908329999999999</v>
      </c>
      <c r="N38" s="4">
        <v>142.9</v>
      </c>
      <c r="O38" s="4">
        <v>1407.5</v>
      </c>
      <c r="P38" s="39">
        <v>7</v>
      </c>
      <c r="Q38" s="4">
        <v>65</v>
      </c>
      <c r="R38" s="4">
        <v>66.75</v>
      </c>
      <c r="S38" s="4">
        <v>1817.3</v>
      </c>
      <c r="T38" s="4">
        <v>2.1</v>
      </c>
      <c r="U38" s="12"/>
      <c r="V38" s="3"/>
      <c r="W38" s="3"/>
      <c r="X38" s="3"/>
      <c r="Y38" s="3"/>
      <c r="Z38" s="3"/>
      <c r="AA38" s="3"/>
      <c r="AB38" s="3"/>
      <c r="AC38" s="3"/>
      <c r="AD38" s="3"/>
      <c r="AE38" s="3"/>
      <c r="AF38" s="3"/>
      <c r="AG38" s="3"/>
      <c r="AH38" s="3"/>
      <c r="AI38" s="3"/>
      <c r="AJ38" s="3"/>
      <c r="AK38" s="3"/>
      <c r="AL38" s="3"/>
      <c r="AM38" s="3"/>
      <c r="AN38" s="3"/>
      <c r="AO38" s="3"/>
      <c r="AP38" s="2"/>
      <c r="AQ38" s="3"/>
      <c r="AR38" s="3">
        <v>9184</v>
      </c>
      <c r="AS38" s="3">
        <v>9.6999999999999993</v>
      </c>
      <c r="AT38" s="3"/>
      <c r="AU38" s="12">
        <v>69.7</v>
      </c>
      <c r="AV38" s="12"/>
      <c r="AW38" s="12"/>
      <c r="AX38" s="12"/>
      <c r="AY38" s="3"/>
      <c r="AZ38" s="3"/>
      <c r="BA38" s="3"/>
      <c r="BB38" s="3"/>
      <c r="BC38" s="3"/>
      <c r="BD38" s="3"/>
      <c r="BE38" s="3"/>
      <c r="BF38" s="3"/>
      <c r="BG38" s="3"/>
      <c r="BH38" s="12">
        <v>1.7</v>
      </c>
      <c r="BI38" s="12">
        <v>5.8</v>
      </c>
      <c r="BJ38" s="12">
        <v>60.9</v>
      </c>
      <c r="BK38" s="12">
        <v>68.400000000000006</v>
      </c>
      <c r="BL38" s="3">
        <f>BP38/BK38</f>
        <v>0.35964912280701755</v>
      </c>
      <c r="BM38" s="3">
        <v>5.0999999999999996</v>
      </c>
      <c r="BN38" s="3">
        <v>12.8</v>
      </c>
      <c r="BO38" s="3">
        <v>6.7</v>
      </c>
      <c r="BP38" s="3">
        <v>24.6</v>
      </c>
      <c r="BQ38" s="3">
        <f>BP38+BK38</f>
        <v>93</v>
      </c>
      <c r="BR38" s="3"/>
      <c r="BS38" s="3"/>
      <c r="BT38" s="3"/>
      <c r="BU38" s="3"/>
      <c r="BV38" s="12"/>
      <c r="BW38" s="12"/>
      <c r="BX38" s="12"/>
      <c r="BY38" s="12"/>
      <c r="BZ38" s="12"/>
      <c r="CA38" s="3"/>
      <c r="CB38" s="3"/>
      <c r="CC38" s="3"/>
      <c r="CD38" s="3"/>
      <c r="CE38" s="3"/>
      <c r="CF38" s="3"/>
      <c r="CG38" s="3"/>
      <c r="CH38" s="3"/>
      <c r="CI38" s="2" t="s">
        <v>671</v>
      </c>
      <c r="CJ38" s="2" t="s">
        <v>330</v>
      </c>
      <c r="CK38" s="2"/>
      <c r="CL38" s="47" t="s">
        <v>85</v>
      </c>
      <c r="CM38" s="56" t="s">
        <v>676</v>
      </c>
      <c r="CN38" s="56" t="s">
        <v>677</v>
      </c>
      <c r="CO38" s="6"/>
    </row>
    <row r="39" spans="1:93" s="1" customFormat="1" ht="12.75">
      <c r="A39" s="1" t="s">
        <v>368</v>
      </c>
    </row>
    <row r="40" spans="1:93" s="1" customFormat="1" ht="12.75">
      <c r="A40" s="1" t="s">
        <v>441</v>
      </c>
    </row>
    <row r="41" spans="1:93" s="1" customFormat="1" ht="12.75">
      <c r="A41" s="1" t="s">
        <v>442</v>
      </c>
    </row>
    <row r="42" spans="1:93" s="1" customFormat="1" ht="12.75">
      <c r="A42" s="1" t="s">
        <v>443</v>
      </c>
    </row>
    <row r="43" spans="1:93" s="1" customFormat="1" ht="12.75">
      <c r="A43" s="2" t="s">
        <v>12</v>
      </c>
      <c r="B43" s="2" t="s">
        <v>189</v>
      </c>
      <c r="C43" s="2" t="s">
        <v>349</v>
      </c>
      <c r="D43" s="2" t="s">
        <v>232</v>
      </c>
      <c r="E43" s="2">
        <v>2002</v>
      </c>
      <c r="F43" s="2">
        <v>2005</v>
      </c>
      <c r="G43" s="2">
        <v>1</v>
      </c>
      <c r="H43" s="2">
        <v>0</v>
      </c>
      <c r="I43" s="2">
        <v>1</v>
      </c>
      <c r="J43" s="16">
        <v>0</v>
      </c>
      <c r="K43" s="16">
        <v>0</v>
      </c>
      <c r="L43" s="16">
        <v>0</v>
      </c>
      <c r="M43" s="4">
        <v>16.177083333333332</v>
      </c>
      <c r="N43" s="4">
        <v>135.35</v>
      </c>
      <c r="O43" s="4">
        <v>1759.125</v>
      </c>
      <c r="P43" s="4"/>
      <c r="Q43" s="3">
        <v>10</v>
      </c>
      <c r="R43" s="4">
        <v>64.9375</v>
      </c>
      <c r="S43" s="4">
        <v>2042.8500000000001</v>
      </c>
      <c r="T43" s="4">
        <v>2.5979166666666664</v>
      </c>
      <c r="U43" s="12"/>
      <c r="V43" s="3"/>
      <c r="W43" s="3"/>
      <c r="X43" s="3"/>
      <c r="Y43" s="3"/>
      <c r="Z43" s="3"/>
      <c r="AA43" s="3"/>
      <c r="AB43" s="3"/>
      <c r="AC43" s="3"/>
      <c r="AD43" s="3"/>
      <c r="AE43" s="3"/>
      <c r="AF43" s="3"/>
      <c r="AG43" s="3"/>
      <c r="AH43" s="3"/>
      <c r="AI43" s="3"/>
      <c r="AJ43" s="3"/>
      <c r="AK43" s="3"/>
      <c r="AL43" s="3"/>
      <c r="AM43" s="3"/>
      <c r="AN43" s="3"/>
      <c r="AO43" s="3"/>
      <c r="AP43" s="2"/>
      <c r="AQ43" s="3"/>
      <c r="AR43" s="3">
        <v>7575</v>
      </c>
      <c r="AS43" s="3">
        <v>5</v>
      </c>
      <c r="AT43" s="3"/>
      <c r="AU43" s="4">
        <f>(AS43/2)^2*PI()*AR43/10000</f>
        <v>14.873477719339178</v>
      </c>
      <c r="AV43" s="12"/>
      <c r="AW43" s="12"/>
      <c r="AX43" s="12"/>
      <c r="AY43" s="3">
        <v>45.2</v>
      </c>
      <c r="AZ43" s="3">
        <v>48.2</v>
      </c>
      <c r="BA43" s="3">
        <v>48.9</v>
      </c>
      <c r="BB43" s="3">
        <v>44.8</v>
      </c>
      <c r="BC43" s="3"/>
      <c r="BD43" s="3">
        <v>45.6</v>
      </c>
      <c r="BE43" s="3"/>
      <c r="BF43" s="3"/>
      <c r="BG43" s="3"/>
      <c r="BH43" s="12"/>
      <c r="BI43" s="12">
        <v>2.1</v>
      </c>
      <c r="BJ43" s="12">
        <v>11.9</v>
      </c>
      <c r="BK43" s="3">
        <f>SUM(BH43:BJ43)</f>
        <v>14</v>
      </c>
      <c r="BL43" s="3">
        <f>BP43/BK43</f>
        <v>1.9357142857142857</v>
      </c>
      <c r="BM43" s="3">
        <v>14.5</v>
      </c>
      <c r="BN43" s="3">
        <v>9.5</v>
      </c>
      <c r="BO43" s="3">
        <v>3.1</v>
      </c>
      <c r="BP43" s="3">
        <f>SUM(BM43:BO43)</f>
        <v>27.1</v>
      </c>
      <c r="BQ43" s="3">
        <f>BP43+BK43</f>
        <v>41.1</v>
      </c>
      <c r="BR43" s="3"/>
      <c r="BS43" s="3">
        <v>63.8</v>
      </c>
      <c r="BT43" s="3"/>
      <c r="BU43" s="3">
        <f>BQ43+BS43</f>
        <v>104.9</v>
      </c>
      <c r="BV43" s="3"/>
      <c r="BW43" s="3"/>
      <c r="BX43" s="3"/>
      <c r="BY43" s="3">
        <v>2</v>
      </c>
      <c r="BZ43" s="3"/>
      <c r="CA43" s="3"/>
      <c r="CB43" s="3"/>
      <c r="CC43" s="3"/>
      <c r="CD43" s="3"/>
      <c r="CE43" s="3"/>
      <c r="CF43" s="3"/>
      <c r="CG43" s="3"/>
      <c r="CH43" s="3"/>
      <c r="CI43" s="2" t="s">
        <v>14</v>
      </c>
      <c r="CJ43" s="2" t="s">
        <v>35</v>
      </c>
      <c r="CK43" s="46" t="s">
        <v>51</v>
      </c>
      <c r="CL43" s="47" t="s">
        <v>85</v>
      </c>
      <c r="CM43" s="1" t="s">
        <v>448</v>
      </c>
      <c r="CN43" s="1" t="s">
        <v>427</v>
      </c>
      <c r="CO43" s="1" t="s">
        <v>450</v>
      </c>
    </row>
    <row r="44" spans="1:93" s="1" customFormat="1" ht="12.75">
      <c r="A44" s="2" t="s">
        <v>12</v>
      </c>
      <c r="B44" s="2" t="s">
        <v>189</v>
      </c>
      <c r="C44" s="2" t="s">
        <v>348</v>
      </c>
      <c r="D44" s="2" t="s">
        <v>236</v>
      </c>
      <c r="E44" s="2">
        <v>2002</v>
      </c>
      <c r="F44" s="2">
        <v>2005</v>
      </c>
      <c r="G44" s="2">
        <v>0</v>
      </c>
      <c r="H44" s="2">
        <v>0</v>
      </c>
      <c r="I44" s="2">
        <v>0</v>
      </c>
      <c r="J44" s="2">
        <v>0</v>
      </c>
      <c r="K44" s="2">
        <v>0</v>
      </c>
      <c r="L44" s="2">
        <v>0</v>
      </c>
      <c r="M44" s="4">
        <v>16.177083333333332</v>
      </c>
      <c r="N44" s="4">
        <v>135.35</v>
      </c>
      <c r="O44" s="4">
        <v>1759.125</v>
      </c>
      <c r="P44" s="4"/>
      <c r="Q44" s="3">
        <v>10</v>
      </c>
      <c r="R44" s="4">
        <v>64.9375</v>
      </c>
      <c r="S44" s="4">
        <v>2042.8500000000001</v>
      </c>
      <c r="T44" s="4">
        <v>2.5979166666666664</v>
      </c>
      <c r="U44" s="12"/>
      <c r="V44" s="3"/>
      <c r="W44" s="3"/>
      <c r="X44" s="3"/>
      <c r="Y44" s="3"/>
      <c r="Z44" s="3"/>
      <c r="AA44" s="3"/>
      <c r="AB44" s="3"/>
      <c r="AC44" s="3"/>
      <c r="AD44" s="3"/>
      <c r="AE44" s="3"/>
      <c r="AF44" s="3"/>
      <c r="AG44" s="3"/>
      <c r="AH44" s="3"/>
      <c r="AI44" s="3"/>
      <c r="AJ44" s="3"/>
      <c r="AK44" s="3"/>
      <c r="AL44" s="3"/>
      <c r="AM44" s="3"/>
      <c r="AN44" s="3"/>
      <c r="AO44" s="3"/>
      <c r="AP44" s="2"/>
      <c r="AQ44" s="3"/>
      <c r="AR44" s="3">
        <v>16300</v>
      </c>
      <c r="AS44" s="3">
        <v>5.4</v>
      </c>
      <c r="AT44" s="3"/>
      <c r="AU44" s="4">
        <f>(AS44/2)^2*PI()*AR44/10000</f>
        <v>37.330603024811445</v>
      </c>
      <c r="AV44" s="12"/>
      <c r="AW44" s="12"/>
      <c r="AX44" s="12"/>
      <c r="AY44" s="3">
        <v>45.2</v>
      </c>
      <c r="AZ44" s="3">
        <v>48.2</v>
      </c>
      <c r="BA44" s="3">
        <v>48.9</v>
      </c>
      <c r="BB44" s="3">
        <v>44.8</v>
      </c>
      <c r="BC44" s="3"/>
      <c r="BD44" s="3">
        <v>45.6</v>
      </c>
      <c r="BE44" s="3"/>
      <c r="BF44" s="3"/>
      <c r="BG44" s="3"/>
      <c r="BH44" s="12"/>
      <c r="BI44" s="12">
        <v>6.7</v>
      </c>
      <c r="BJ44" s="12">
        <v>33.799999999999997</v>
      </c>
      <c r="BK44" s="3">
        <f>SUM(BH44:BJ44)</f>
        <v>40.5</v>
      </c>
      <c r="BL44" s="3">
        <f>BP44/BK44</f>
        <v>1.0123456790123457</v>
      </c>
      <c r="BM44" s="3">
        <v>18</v>
      </c>
      <c r="BN44" s="3">
        <v>11.8</v>
      </c>
      <c r="BO44" s="3">
        <v>11.2</v>
      </c>
      <c r="BP44" s="3">
        <f>SUM(BM44:BO44)</f>
        <v>41</v>
      </c>
      <c r="BQ44" s="3">
        <f>BP44+BK44</f>
        <v>81.5</v>
      </c>
      <c r="BR44" s="3"/>
      <c r="BS44" s="3">
        <v>54.9</v>
      </c>
      <c r="BT44" s="3"/>
      <c r="BU44" s="3">
        <f>BQ44+BS44</f>
        <v>136.4</v>
      </c>
      <c r="BV44" s="3"/>
      <c r="BW44" s="3"/>
      <c r="BX44" s="3"/>
      <c r="BY44" s="3">
        <v>2.7</v>
      </c>
      <c r="BZ44" s="3"/>
      <c r="CA44" s="3"/>
      <c r="CB44" s="3"/>
      <c r="CC44" s="3"/>
      <c r="CD44" s="3"/>
      <c r="CE44" s="3"/>
      <c r="CF44" s="3"/>
      <c r="CG44" s="3"/>
      <c r="CH44" s="3"/>
      <c r="CI44" s="2" t="s">
        <v>14</v>
      </c>
      <c r="CJ44" s="2" t="s">
        <v>35</v>
      </c>
      <c r="CK44" s="46" t="s">
        <v>51</v>
      </c>
      <c r="CL44" s="47" t="s">
        <v>85</v>
      </c>
      <c r="CM44" s="1" t="s">
        <v>449</v>
      </c>
      <c r="CN44" s="1" t="s">
        <v>427</v>
      </c>
    </row>
    <row r="45" spans="1:93" s="1" customFormat="1" ht="12.75"/>
    <row r="46" spans="1:93" s="1" customFormat="1" ht="12.75">
      <c r="A46" s="1" t="s">
        <v>350</v>
      </c>
    </row>
    <row r="47" spans="1:93" s="1" customFormat="1" ht="12.75">
      <c r="A47" s="1" t="s">
        <v>351</v>
      </c>
    </row>
    <row r="48" spans="1:93" s="1" customFormat="1" ht="12.75">
      <c r="A48" s="1" t="s">
        <v>352</v>
      </c>
    </row>
    <row r="49" spans="1:1" s="1" customFormat="1" ht="12.75">
      <c r="A49" s="1" t="s">
        <v>362</v>
      </c>
    </row>
    <row r="50" spans="1:1" s="1" customFormat="1" ht="12.75">
      <c r="A50" s="1" t="s">
        <v>458</v>
      </c>
    </row>
    <row r="51" spans="1:1" s="1" customFormat="1" ht="12.75">
      <c r="A51" s="62" t="s">
        <v>457</v>
      </c>
    </row>
    <row r="52" spans="1:1" s="1" customFormat="1" ht="12.75">
      <c r="A52" s="62" t="s">
        <v>459</v>
      </c>
    </row>
    <row r="53" spans="1:1" s="1" customFormat="1" ht="12.75"/>
  </sheetData>
  <phoneticPr fontId="1" type="noConversion"/>
  <hyperlinks>
    <hyperlink ref="CK13" r:id="rId1" xr:uid="{00000000-0004-0000-0200-000000000000}"/>
    <hyperlink ref="CK3" r:id="rId2" xr:uid="{00000000-0004-0000-0200-000001000000}"/>
    <hyperlink ref="CK37" r:id="rId3" xr:uid="{00000000-0004-0000-0200-000002000000}"/>
    <hyperlink ref="CK33" r:id="rId4" xr:uid="{00000000-0004-0000-0200-000003000000}"/>
    <hyperlink ref="CK31" r:id="rId5" xr:uid="{00000000-0004-0000-0200-000004000000}"/>
    <hyperlink ref="CK32" r:id="rId6" xr:uid="{00000000-0004-0000-0200-000005000000}"/>
    <hyperlink ref="CK36" r:id="rId7" xr:uid="{00000000-0004-0000-0200-000006000000}"/>
    <hyperlink ref="CK44" r:id="rId8" xr:uid="{00000000-0004-0000-0200-000007000000}"/>
    <hyperlink ref="CK43" r:id="rId9" xr:uid="{00000000-0004-0000-0200-000008000000}"/>
    <hyperlink ref="CK15" r:id="rId10" xr:uid="{00000000-0004-0000-0200-000009000000}"/>
    <hyperlink ref="CK21" r:id="rId11" xr:uid="{00000000-0004-0000-0200-00000A000000}"/>
    <hyperlink ref="CK35" r:id="rId12" xr:uid="{00000000-0004-0000-0200-00000B000000}"/>
    <hyperlink ref="CK12" r:id="rId13" xr:uid="{00000000-0004-0000-0200-00000C000000}"/>
    <hyperlink ref="CK17" r:id="rId14" xr:uid="{00000000-0004-0000-0200-00000D000000}"/>
    <hyperlink ref="CK26" r:id="rId15" xr:uid="{00000000-0004-0000-0200-00000E000000}"/>
    <hyperlink ref="CK27" r:id="rId16" xr:uid="{00000000-0004-0000-0200-00000F000000}"/>
    <hyperlink ref="CK28" r:id="rId17" xr:uid="{00000000-0004-0000-0200-000010000000}"/>
    <hyperlink ref="CK16" r:id="rId18" display="https://www.jstage.jst.go.jp/article/jjfe/57/1/57_KJ00009983906/_pdf/-char/ja" xr:uid="{00000000-0004-0000-0200-000011000000}"/>
    <hyperlink ref="CK34" r:id="rId19" xr:uid="{00000000-0004-0000-0200-000012000000}"/>
    <hyperlink ref="CK8" r:id="rId20" xr:uid="{00000000-0004-0000-0200-000013000000}"/>
    <hyperlink ref="CK9" r:id="rId21" xr:uid="{00000000-0004-0000-0200-000014000000}"/>
    <hyperlink ref="CK11" r:id="rId22" xr:uid="{00000000-0004-0000-0200-000015000000}"/>
    <hyperlink ref="CK5" r:id="rId23" xr:uid="{00000000-0004-0000-0200-000016000000}"/>
    <hyperlink ref="CK6" r:id="rId24" xr:uid="{00000000-0004-0000-0200-000017000000}"/>
    <hyperlink ref="CK7" r:id="rId25" xr:uid="{00000000-0004-0000-0200-000018000000}"/>
    <hyperlink ref="CK23" r:id="rId26" xr:uid="{00000000-0004-0000-0200-000019000000}"/>
    <hyperlink ref="CK24" r:id="rId27" xr:uid="{00000000-0004-0000-0200-00001A000000}"/>
    <hyperlink ref="CK25" r:id="rId28" xr:uid="{00000000-0004-0000-0200-00001B000000}"/>
    <hyperlink ref="CK29" r:id="rId29" xr:uid="{00000000-0004-0000-0200-00001C000000}"/>
    <hyperlink ref="CK30" r:id="rId30" xr:uid="{00000000-0004-0000-0200-00001D000000}"/>
    <hyperlink ref="CK10" r:id="rId31" xr:uid="{00000000-0004-0000-0200-00001E000000}"/>
    <hyperlink ref="CK20" r:id="rId32" xr:uid="{00000000-0004-0000-0200-00001F000000}"/>
    <hyperlink ref="CK19" r:id="rId33" xr:uid="{00000000-0004-0000-0200-000020000000}"/>
    <hyperlink ref="CK18" r:id="rId34" xr:uid="{00000000-0004-0000-0200-000021000000}"/>
  </hyperlinks>
  <pageMargins left="0.70866141732283472" right="0.70866141732283472" top="0.74803149606299213" bottom="0.74803149606299213" header="0.31496062992125984" footer="0.31496062992125984"/>
  <pageSetup paperSize="9" scale="12" orientation="landscape" r:id="rId3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R22"/>
  <sheetViews>
    <sheetView topLeftCell="A4" workbookViewId="0">
      <selection activeCell="T19" sqref="T19"/>
    </sheetView>
  </sheetViews>
  <sheetFormatPr defaultRowHeight="15.75"/>
  <cols>
    <col min="2" max="2" width="54.375" bestFit="1" customWidth="1"/>
    <col min="3" max="3" width="62.375" bestFit="1" customWidth="1"/>
    <col min="4" max="4" width="18" bestFit="1" customWidth="1"/>
    <col min="9" max="9" width="12.625" customWidth="1"/>
    <col min="87" max="87" width="22.875" bestFit="1" customWidth="1"/>
  </cols>
  <sheetData>
    <row r="1" spans="1:96">
      <c r="A1" s="2" t="s">
        <v>199</v>
      </c>
      <c r="B1" s="2" t="s">
        <v>0</v>
      </c>
      <c r="C1" s="2" t="s">
        <v>1</v>
      </c>
      <c r="D1" s="2" t="s">
        <v>252</v>
      </c>
      <c r="E1" s="2" t="s">
        <v>68</v>
      </c>
      <c r="F1" s="2" t="s">
        <v>69</v>
      </c>
      <c r="G1" s="2" t="s">
        <v>70</v>
      </c>
      <c r="H1" s="2" t="s">
        <v>153</v>
      </c>
      <c r="I1" s="2" t="s">
        <v>161</v>
      </c>
      <c r="J1" s="2" t="s">
        <v>162</v>
      </c>
      <c r="K1" s="2" t="s">
        <v>160</v>
      </c>
      <c r="L1" s="2" t="s">
        <v>163</v>
      </c>
      <c r="M1" s="3" t="s">
        <v>2</v>
      </c>
      <c r="N1" s="3" t="s">
        <v>28</v>
      </c>
      <c r="O1" s="3" t="s">
        <v>150</v>
      </c>
      <c r="P1" s="3" t="s">
        <v>275</v>
      </c>
      <c r="Q1" s="3" t="s">
        <v>40</v>
      </c>
      <c r="R1" s="3" t="s">
        <v>111</v>
      </c>
      <c r="S1" s="3" t="s">
        <v>124</v>
      </c>
      <c r="T1" s="3" t="s">
        <v>126</v>
      </c>
      <c r="U1" s="12" t="s">
        <v>282</v>
      </c>
      <c r="V1" s="3" t="s">
        <v>94</v>
      </c>
      <c r="W1" s="3" t="s">
        <v>94</v>
      </c>
      <c r="X1" s="3" t="s">
        <v>93</v>
      </c>
      <c r="Y1" s="3" t="s">
        <v>142</v>
      </c>
      <c r="Z1" s="3" t="s">
        <v>143</v>
      </c>
      <c r="AA1" s="3" t="s">
        <v>92</v>
      </c>
      <c r="AB1" s="3" t="s">
        <v>281</v>
      </c>
      <c r="AC1" s="3" t="s">
        <v>97</v>
      </c>
      <c r="AD1" s="3" t="s">
        <v>91</v>
      </c>
      <c r="AE1" s="3" t="s">
        <v>90</v>
      </c>
      <c r="AF1" s="3" t="s">
        <v>95</v>
      </c>
      <c r="AG1" s="3" t="s">
        <v>80</v>
      </c>
      <c r="AH1" s="3" t="s">
        <v>81</v>
      </c>
      <c r="AI1" s="3" t="s">
        <v>82</v>
      </c>
      <c r="AJ1" s="3" t="s">
        <v>83</v>
      </c>
      <c r="AK1" s="3" t="s">
        <v>84</v>
      </c>
      <c r="AL1" s="3" t="s">
        <v>285</v>
      </c>
      <c r="AM1" s="3" t="s">
        <v>286</v>
      </c>
      <c r="AN1" s="3" t="s">
        <v>291</v>
      </c>
      <c r="AO1" s="3" t="s">
        <v>284</v>
      </c>
      <c r="AP1" s="3" t="s">
        <v>191</v>
      </c>
      <c r="AQ1" s="3" t="s">
        <v>192</v>
      </c>
      <c r="AR1" s="3" t="s">
        <v>78</v>
      </c>
      <c r="AS1" s="3" t="s">
        <v>72</v>
      </c>
      <c r="AT1" s="3" t="s">
        <v>73</v>
      </c>
      <c r="AU1" s="3" t="s">
        <v>41</v>
      </c>
      <c r="AV1" s="12" t="s">
        <v>122</v>
      </c>
      <c r="AW1" s="12" t="s">
        <v>295</v>
      </c>
      <c r="AX1" s="12" t="s">
        <v>121</v>
      </c>
      <c r="AY1" s="12" t="s">
        <v>296</v>
      </c>
      <c r="AZ1" s="12" t="s">
        <v>297</v>
      </c>
      <c r="BA1" s="12" t="s">
        <v>298</v>
      </c>
      <c r="BB1" s="12" t="s">
        <v>299</v>
      </c>
      <c r="BC1" s="12" t="s">
        <v>300</v>
      </c>
      <c r="BD1" s="12" t="s">
        <v>301</v>
      </c>
      <c r="BE1" s="12" t="s">
        <v>302</v>
      </c>
      <c r="BF1" s="12" t="s">
        <v>303</v>
      </c>
      <c r="BG1" s="12" t="s">
        <v>304</v>
      </c>
      <c r="BH1" s="12" t="s">
        <v>305</v>
      </c>
      <c r="BI1" s="12" t="s">
        <v>306</v>
      </c>
      <c r="BJ1" s="12" t="s">
        <v>101</v>
      </c>
      <c r="BK1" s="3" t="s">
        <v>307</v>
      </c>
      <c r="BL1" s="3" t="s">
        <v>308</v>
      </c>
      <c r="BM1" s="3" t="s">
        <v>309</v>
      </c>
      <c r="BN1" s="3" t="s">
        <v>102</v>
      </c>
      <c r="BO1" s="3" t="s">
        <v>103</v>
      </c>
      <c r="BP1" s="3" t="s">
        <v>59</v>
      </c>
      <c r="BQ1" s="3" t="s">
        <v>310</v>
      </c>
      <c r="BR1" s="3" t="s">
        <v>311</v>
      </c>
      <c r="BS1" s="3" t="s">
        <v>312</v>
      </c>
      <c r="BT1" s="3" t="s">
        <v>313</v>
      </c>
      <c r="BU1" s="3" t="s">
        <v>314</v>
      </c>
      <c r="BV1" s="3" t="s">
        <v>315</v>
      </c>
      <c r="BW1" s="3" t="s">
        <v>316</v>
      </c>
      <c r="BX1" s="3" t="s">
        <v>317</v>
      </c>
      <c r="BY1" s="3" t="s">
        <v>318</v>
      </c>
      <c r="BZ1" s="3" t="s">
        <v>319</v>
      </c>
      <c r="CA1" s="3" t="s">
        <v>320</v>
      </c>
      <c r="CB1" s="3" t="s">
        <v>104</v>
      </c>
      <c r="CC1" s="3" t="s">
        <v>105</v>
      </c>
      <c r="CD1" s="3" t="s">
        <v>113</v>
      </c>
      <c r="CE1" s="3" t="s">
        <v>323</v>
      </c>
      <c r="CF1" s="3" t="s">
        <v>114</v>
      </c>
      <c r="CG1" s="3" t="s">
        <v>115</v>
      </c>
      <c r="CH1" s="3" t="s">
        <v>325</v>
      </c>
      <c r="CI1" s="2" t="s">
        <v>106</v>
      </c>
      <c r="CJ1" s="6" t="s">
        <v>34</v>
      </c>
      <c r="CK1" s="6" t="s">
        <v>32</v>
      </c>
      <c r="CL1" s="10" t="s">
        <v>36</v>
      </c>
      <c r="CM1" s="6" t="s">
        <v>369</v>
      </c>
      <c r="CN1" s="6" t="s">
        <v>431</v>
      </c>
      <c r="CO1" s="6" t="s">
        <v>374</v>
      </c>
      <c r="CP1" s="6" t="s">
        <v>410</v>
      </c>
      <c r="CQ1" s="6" t="s">
        <v>411</v>
      </c>
    </row>
    <row r="2" spans="1:96">
      <c r="A2" s="2"/>
      <c r="B2" s="2"/>
      <c r="C2" s="2"/>
      <c r="D2" s="2"/>
      <c r="E2" s="2"/>
      <c r="F2" s="2"/>
      <c r="G2" s="2"/>
      <c r="H2" s="2"/>
      <c r="I2" s="2"/>
      <c r="J2" s="2"/>
      <c r="K2" s="2"/>
      <c r="L2" s="2"/>
      <c r="M2" s="3" t="s">
        <v>327</v>
      </c>
      <c r="N2" s="3"/>
      <c r="O2" s="3" t="s">
        <v>5</v>
      </c>
      <c r="P2" s="3" t="s">
        <v>276</v>
      </c>
      <c r="Q2" s="3" t="s">
        <v>4</v>
      </c>
      <c r="R2" s="3" t="s">
        <v>89</v>
      </c>
      <c r="S2" s="3" t="s">
        <v>125</v>
      </c>
      <c r="T2" s="3" t="s">
        <v>127</v>
      </c>
      <c r="U2" s="12" t="s">
        <v>283</v>
      </c>
      <c r="V2" s="3" t="s">
        <v>112</v>
      </c>
      <c r="W2" s="3" t="s">
        <v>88</v>
      </c>
      <c r="X2" s="3" t="s">
        <v>99</v>
      </c>
      <c r="Y2" s="3" t="s">
        <v>99</v>
      </c>
      <c r="Z2" s="3" t="s">
        <v>99</v>
      </c>
      <c r="AA2" s="3" t="s">
        <v>100</v>
      </c>
      <c r="AB2" s="3" t="s">
        <v>100</v>
      </c>
      <c r="AC2" s="3" t="s">
        <v>98</v>
      </c>
      <c r="AD2" s="3" t="s">
        <v>96</v>
      </c>
      <c r="AE2" s="3" t="s">
        <v>96</v>
      </c>
      <c r="AF2" s="3" t="s">
        <v>96</v>
      </c>
      <c r="AG2" s="3" t="s">
        <v>79</v>
      </c>
      <c r="AH2" s="3" t="s">
        <v>79</v>
      </c>
      <c r="AI2" s="3" t="s">
        <v>79</v>
      </c>
      <c r="AJ2" s="3" t="s">
        <v>79</v>
      </c>
      <c r="AK2" s="3" t="s">
        <v>79</v>
      </c>
      <c r="AL2" s="3" t="s">
        <v>79</v>
      </c>
      <c r="AM2" s="3" t="s">
        <v>79</v>
      </c>
      <c r="AN2" s="3" t="s">
        <v>79</v>
      </c>
      <c r="AO2" s="3" t="s">
        <v>190</v>
      </c>
      <c r="AP2" s="3" t="s">
        <v>190</v>
      </c>
      <c r="AQ2" s="3" t="s">
        <v>190</v>
      </c>
      <c r="AR2" s="3" t="s">
        <v>64</v>
      </c>
      <c r="AS2" s="3" t="s">
        <v>3</v>
      </c>
      <c r="AT2" s="3" t="s">
        <v>4</v>
      </c>
      <c r="AU2" s="3" t="s">
        <v>63</v>
      </c>
      <c r="AV2" s="12" t="s">
        <v>89</v>
      </c>
      <c r="AW2" s="12" t="s">
        <v>120</v>
      </c>
      <c r="AX2" s="12" t="s">
        <v>120</v>
      </c>
      <c r="AY2" s="3" t="s">
        <v>89</v>
      </c>
      <c r="AZ2" s="3" t="s">
        <v>89</v>
      </c>
      <c r="BA2" s="3" t="s">
        <v>89</v>
      </c>
      <c r="BB2" s="3" t="s">
        <v>89</v>
      </c>
      <c r="BC2" s="3" t="s">
        <v>89</v>
      </c>
      <c r="BD2" s="3" t="s">
        <v>89</v>
      </c>
      <c r="BE2" s="3" t="s">
        <v>89</v>
      </c>
      <c r="BF2" s="3" t="s">
        <v>89</v>
      </c>
      <c r="BG2" s="3" t="s">
        <v>89</v>
      </c>
      <c r="BH2" s="3" t="s">
        <v>60</v>
      </c>
      <c r="BI2" s="3" t="s">
        <v>60</v>
      </c>
      <c r="BJ2" s="3" t="s">
        <v>60</v>
      </c>
      <c r="BK2" s="3" t="s">
        <v>60</v>
      </c>
      <c r="BL2" s="3"/>
      <c r="BM2" s="3" t="s">
        <v>60</v>
      </c>
      <c r="BN2" s="3" t="s">
        <v>60</v>
      </c>
      <c r="BO2" s="3" t="s">
        <v>60</v>
      </c>
      <c r="BP2" s="3" t="s">
        <v>60</v>
      </c>
      <c r="BQ2" s="3" t="s">
        <v>60</v>
      </c>
      <c r="BR2" s="3" t="s">
        <v>60</v>
      </c>
      <c r="BS2" s="3" t="s">
        <v>60</v>
      </c>
      <c r="BT2" s="3" t="s">
        <v>60</v>
      </c>
      <c r="BU2" s="3" t="s">
        <v>60</v>
      </c>
      <c r="BV2" s="3" t="s">
        <v>86</v>
      </c>
      <c r="BW2" s="3" t="s">
        <v>86</v>
      </c>
      <c r="BX2" s="3" t="s">
        <v>86</v>
      </c>
      <c r="BY2" s="3" t="s">
        <v>86</v>
      </c>
      <c r="BZ2" s="3" t="s">
        <v>86</v>
      </c>
      <c r="CA2" s="3" t="s">
        <v>86</v>
      </c>
      <c r="CB2" s="3" t="s">
        <v>86</v>
      </c>
      <c r="CC2" s="3" t="s">
        <v>86</v>
      </c>
      <c r="CD2" s="3" t="s">
        <v>86</v>
      </c>
      <c r="CE2" s="3" t="s">
        <v>86</v>
      </c>
      <c r="CF2" s="3" t="s">
        <v>86</v>
      </c>
      <c r="CG2" s="3" t="s">
        <v>86</v>
      </c>
      <c r="CH2" s="3" t="s">
        <v>86</v>
      </c>
      <c r="CI2" s="2"/>
      <c r="CJ2" s="7"/>
      <c r="CK2" s="7"/>
      <c r="CL2" s="11"/>
      <c r="CM2" s="7"/>
      <c r="CN2" s="7"/>
      <c r="CO2" s="7"/>
      <c r="CP2" s="7"/>
      <c r="CQ2" s="7"/>
    </row>
    <row r="3" spans="1:96">
      <c r="A3" s="2" t="s">
        <v>8</v>
      </c>
      <c r="B3" s="2" t="s">
        <v>481</v>
      </c>
      <c r="C3" s="2" t="s">
        <v>130</v>
      </c>
      <c r="D3" s="2" t="s">
        <v>245</v>
      </c>
      <c r="E3" s="2">
        <v>2007</v>
      </c>
      <c r="F3" s="2">
        <v>2007</v>
      </c>
      <c r="G3" s="2">
        <v>0</v>
      </c>
      <c r="H3" s="2">
        <v>0</v>
      </c>
      <c r="I3" s="2">
        <v>0</v>
      </c>
      <c r="J3" s="2">
        <v>1</v>
      </c>
      <c r="K3" s="2">
        <v>0</v>
      </c>
      <c r="L3" s="2">
        <v>0</v>
      </c>
      <c r="M3" s="3">
        <v>15.3</v>
      </c>
      <c r="N3" s="3">
        <v>123.60000000000001</v>
      </c>
      <c r="O3" s="3">
        <v>4618</v>
      </c>
      <c r="P3" s="4">
        <v>0</v>
      </c>
      <c r="Q3" s="3">
        <v>1300</v>
      </c>
      <c r="R3" s="3">
        <v>87.9</v>
      </c>
      <c r="S3" s="39">
        <v>1449.4</v>
      </c>
      <c r="T3" s="39">
        <v>1.233333</v>
      </c>
      <c r="U3" s="12"/>
      <c r="V3" s="3">
        <f>(3.8+4.04)/2</f>
        <v>3.92</v>
      </c>
      <c r="W3" s="3">
        <f>(4.6+5.1)/2</f>
        <v>4.8499999999999996</v>
      </c>
      <c r="X3" s="3">
        <f>(0.68+0.56)/2</f>
        <v>0.62000000000000011</v>
      </c>
      <c r="Y3" s="3"/>
      <c r="Z3" s="3"/>
      <c r="AA3" s="3"/>
      <c r="AB3" s="3"/>
      <c r="AC3" s="3"/>
      <c r="AD3" s="3"/>
      <c r="AE3" s="3"/>
      <c r="AF3" s="3"/>
      <c r="AG3" s="3"/>
      <c r="AH3" s="3"/>
      <c r="AI3" s="3"/>
      <c r="AJ3" s="3"/>
      <c r="AK3" s="3"/>
      <c r="AL3" s="3"/>
      <c r="AM3" s="3"/>
      <c r="AN3" s="3"/>
      <c r="AO3" s="3"/>
      <c r="AP3" s="2"/>
      <c r="AQ3" s="3"/>
      <c r="AR3" s="3">
        <v>8344</v>
      </c>
      <c r="AS3" s="3">
        <v>10.6</v>
      </c>
      <c r="AT3" s="3">
        <v>21.4</v>
      </c>
      <c r="AU3" s="4">
        <f t="shared" ref="AU3:AU16" si="0">(AS3/2)^2*PI()*AR3/10000</f>
        <v>73.633578526263037</v>
      </c>
      <c r="AV3" s="12"/>
      <c r="AW3" s="12"/>
      <c r="AX3" s="12"/>
      <c r="AY3" s="3">
        <v>45.67</v>
      </c>
      <c r="AZ3" s="3">
        <v>48.27</v>
      </c>
      <c r="BA3" s="3">
        <v>48.34</v>
      </c>
      <c r="BB3" s="3"/>
      <c r="BC3" s="3"/>
      <c r="BD3" s="3"/>
      <c r="BE3" s="3"/>
      <c r="BF3" s="3"/>
      <c r="BG3" s="3"/>
      <c r="BH3" s="12">
        <f>4.4*AY3/100</f>
        <v>2.0094800000000004</v>
      </c>
      <c r="BI3" s="12">
        <f>12*AZ3/100</f>
        <v>5.7923999999999998</v>
      </c>
      <c r="BJ3" s="12">
        <f>151.7*BA3/100</f>
        <v>73.331779999999995</v>
      </c>
      <c r="BK3" s="3">
        <f>BH3+BI3+BJ3</f>
        <v>81.133659999999992</v>
      </c>
      <c r="BL3" s="3"/>
      <c r="BM3" s="3"/>
      <c r="BN3" s="3"/>
      <c r="BO3" s="3"/>
      <c r="BP3" s="3"/>
      <c r="BQ3" s="3"/>
      <c r="BR3" s="12"/>
      <c r="BS3" s="3"/>
      <c r="BT3" s="3"/>
      <c r="BU3" s="3"/>
      <c r="BV3" s="3"/>
      <c r="BW3" s="3"/>
      <c r="BX3" s="3"/>
      <c r="BY3" s="3"/>
      <c r="BZ3" s="3"/>
      <c r="CA3" s="3"/>
      <c r="CB3" s="3"/>
      <c r="CC3" s="3"/>
      <c r="CD3" s="3"/>
      <c r="CE3" s="3"/>
      <c r="CF3" s="3"/>
      <c r="CG3" s="3"/>
      <c r="CH3" s="3"/>
      <c r="CI3" s="2" t="s">
        <v>269</v>
      </c>
      <c r="CJ3" s="7" t="s">
        <v>35</v>
      </c>
      <c r="CK3" s="8" t="s">
        <v>56</v>
      </c>
      <c r="CL3" s="11" t="s">
        <v>85</v>
      </c>
      <c r="CM3" s="7" t="s">
        <v>85</v>
      </c>
      <c r="CN3" s="7" t="s">
        <v>477</v>
      </c>
      <c r="CO3" s="7"/>
      <c r="CP3" s="7"/>
      <c r="CQ3" s="7"/>
    </row>
    <row r="4" spans="1:96" s="1" customFormat="1">
      <c r="A4" s="2" t="s">
        <v>8</v>
      </c>
      <c r="B4" s="2" t="s">
        <v>9</v>
      </c>
      <c r="C4" s="2" t="s">
        <v>220</v>
      </c>
      <c r="D4" s="2" t="s">
        <v>221</v>
      </c>
      <c r="E4" s="2">
        <v>2008</v>
      </c>
      <c r="F4" s="2">
        <v>2009</v>
      </c>
      <c r="G4" s="2">
        <v>1</v>
      </c>
      <c r="H4" s="2">
        <v>0</v>
      </c>
      <c r="I4" s="2">
        <v>0</v>
      </c>
      <c r="J4" s="2">
        <v>1</v>
      </c>
      <c r="K4" s="2">
        <v>0</v>
      </c>
      <c r="L4" s="2">
        <v>1</v>
      </c>
      <c r="M4" s="3">
        <v>23</v>
      </c>
      <c r="N4" s="4">
        <f>(M4-5)*12</f>
        <v>216</v>
      </c>
      <c r="O4" s="3">
        <v>2600</v>
      </c>
      <c r="P4" s="4">
        <v>0</v>
      </c>
      <c r="Q4" s="3">
        <v>1135</v>
      </c>
      <c r="R4" s="39">
        <v>81.458330000000004</v>
      </c>
      <c r="S4" s="39">
        <v>1222</v>
      </c>
      <c r="T4" s="39">
        <v>0.65833299999999995</v>
      </c>
      <c r="U4" s="12"/>
      <c r="V4" s="3"/>
      <c r="W4" s="3"/>
      <c r="X4" s="3"/>
      <c r="Y4" s="3"/>
      <c r="Z4" s="3"/>
      <c r="AA4" s="3"/>
      <c r="AB4" s="3"/>
      <c r="AC4" s="3"/>
      <c r="AD4" s="3"/>
      <c r="AE4" s="3"/>
      <c r="AF4" s="3"/>
      <c r="AG4" s="3"/>
      <c r="AH4" s="3"/>
      <c r="AI4" s="3"/>
      <c r="AJ4" s="3"/>
      <c r="AK4" s="3"/>
      <c r="AL4" s="3"/>
      <c r="AM4" s="3"/>
      <c r="AN4" s="3"/>
      <c r="AO4" s="3"/>
      <c r="AP4" s="2"/>
      <c r="AQ4" s="3"/>
      <c r="AR4" s="3">
        <v>3767</v>
      </c>
      <c r="AS4" s="3">
        <v>9.9</v>
      </c>
      <c r="AT4" s="3">
        <v>13.4</v>
      </c>
      <c r="AU4" s="4">
        <f t="shared" si="0"/>
        <v>28.99718843375976</v>
      </c>
      <c r="AV4" s="12">
        <v>25.1</v>
      </c>
      <c r="AW4" s="12">
        <v>6.1</v>
      </c>
      <c r="AX4" s="12">
        <v>4.5999999999999996</v>
      </c>
      <c r="AY4" s="3"/>
      <c r="AZ4" s="3"/>
      <c r="BA4" s="3"/>
      <c r="BB4" s="3"/>
      <c r="BC4" s="3"/>
      <c r="BD4" s="3"/>
      <c r="BE4" s="3"/>
      <c r="BF4" s="3"/>
      <c r="BG4" s="3"/>
      <c r="BH4" s="4">
        <f>3.2*0.5</f>
        <v>1.6</v>
      </c>
      <c r="BI4" s="4">
        <f>10.1*0.5</f>
        <v>5.05</v>
      </c>
      <c r="BJ4" s="4">
        <f>60.6*0.5</f>
        <v>30.3</v>
      </c>
      <c r="BK4" s="4">
        <f>SUM(BH4:BJ4)</f>
        <v>36.950000000000003</v>
      </c>
      <c r="BL4" s="3">
        <f>BP4/BK4</f>
        <v>1.23680649526387</v>
      </c>
      <c r="BM4" s="4">
        <f>6.4*0.5</f>
        <v>3.2</v>
      </c>
      <c r="BN4" s="4">
        <f>67.1*0.5</f>
        <v>33.549999999999997</v>
      </c>
      <c r="BO4" s="4">
        <f>17.9*0.5</f>
        <v>8.9499999999999993</v>
      </c>
      <c r="BP4" s="4">
        <f>SUM(BM4:BO4)</f>
        <v>45.7</v>
      </c>
      <c r="BQ4" s="4">
        <f>BP4+BK4</f>
        <v>82.65</v>
      </c>
      <c r="BR4" s="12"/>
      <c r="BS4" s="3"/>
      <c r="BT4" s="3"/>
      <c r="BU4" s="3"/>
      <c r="BV4" s="4">
        <f>0.3*0.5</f>
        <v>0.15</v>
      </c>
      <c r="BW4" s="4">
        <f>1.1*0.5</f>
        <v>0.55000000000000004</v>
      </c>
      <c r="BX4" s="4">
        <f>6.9*0.5</f>
        <v>3.45</v>
      </c>
      <c r="BY4" s="3"/>
      <c r="BZ4" s="4">
        <f>SUM(BV4:BY4)</f>
        <v>4.1500000000000004</v>
      </c>
      <c r="CA4" s="3"/>
      <c r="CB4" s="3"/>
      <c r="CC4" s="3"/>
      <c r="CD4" s="3"/>
      <c r="CE4" s="3"/>
      <c r="CF4" s="3"/>
      <c r="CG4" s="3"/>
      <c r="CH4" s="3"/>
      <c r="CI4" s="2" t="s">
        <v>270</v>
      </c>
      <c r="CJ4" s="7" t="s">
        <v>35</v>
      </c>
      <c r="CK4" s="8" t="s">
        <v>54</v>
      </c>
      <c r="CL4" s="11" t="s">
        <v>85</v>
      </c>
      <c r="CM4" s="7" t="s">
        <v>475</v>
      </c>
      <c r="CN4" s="7" t="s">
        <v>477</v>
      </c>
      <c r="CO4" s="7"/>
      <c r="CP4" s="7"/>
      <c r="CQ4" s="7"/>
      <c r="CR4"/>
    </row>
    <row r="5" spans="1:96" s="1" customFormat="1">
      <c r="A5" s="2" t="s">
        <v>8</v>
      </c>
      <c r="B5" s="2" t="s">
        <v>9</v>
      </c>
      <c r="C5" s="2" t="s">
        <v>117</v>
      </c>
      <c r="D5" s="14" t="s">
        <v>243</v>
      </c>
      <c r="E5" s="2">
        <v>2008</v>
      </c>
      <c r="F5" s="2">
        <v>2009</v>
      </c>
      <c r="G5" s="2">
        <v>0</v>
      </c>
      <c r="H5" s="2">
        <v>0</v>
      </c>
      <c r="I5" s="2">
        <v>0</v>
      </c>
      <c r="J5" s="2">
        <v>0</v>
      </c>
      <c r="K5" s="2">
        <v>0</v>
      </c>
      <c r="L5" s="2">
        <v>0</v>
      </c>
      <c r="M5" s="3">
        <v>23</v>
      </c>
      <c r="N5" s="4">
        <f>(M5-5)*12</f>
        <v>216</v>
      </c>
      <c r="O5" s="3">
        <v>2600</v>
      </c>
      <c r="P5" s="4">
        <v>0</v>
      </c>
      <c r="Q5" s="3">
        <v>1135</v>
      </c>
      <c r="R5" s="39">
        <v>81.458330000000004</v>
      </c>
      <c r="S5" s="39">
        <v>1222</v>
      </c>
      <c r="T5" s="39">
        <v>0.65833299999999995</v>
      </c>
      <c r="U5" s="12"/>
      <c r="V5" s="3"/>
      <c r="W5" s="3"/>
      <c r="X5" s="3"/>
      <c r="Y5" s="3"/>
      <c r="Z5" s="3"/>
      <c r="AA5" s="3"/>
      <c r="AB5" s="3"/>
      <c r="AC5" s="3"/>
      <c r="AD5" s="3"/>
      <c r="AE5" s="3"/>
      <c r="AF5" s="3"/>
      <c r="AG5" s="3"/>
      <c r="AH5" s="3"/>
      <c r="AI5" s="3"/>
      <c r="AJ5" s="3"/>
      <c r="AK5" s="3"/>
      <c r="AL5" s="3"/>
      <c r="AM5" s="3"/>
      <c r="AN5" s="3"/>
      <c r="AO5" s="3"/>
      <c r="AP5" s="2"/>
      <c r="AQ5" s="3"/>
      <c r="AR5" s="3">
        <v>5000</v>
      </c>
      <c r="AS5" s="3">
        <v>9.6999999999999993</v>
      </c>
      <c r="AT5" s="3">
        <v>13.6</v>
      </c>
      <c r="AU5" s="4">
        <f t="shared" si="0"/>
        <v>36.94905659703295</v>
      </c>
      <c r="AV5" s="12">
        <v>24.6</v>
      </c>
      <c r="AW5" s="12">
        <v>5.4</v>
      </c>
      <c r="AX5" s="12">
        <v>5.6</v>
      </c>
      <c r="AY5" s="3"/>
      <c r="AZ5" s="3"/>
      <c r="BA5" s="3"/>
      <c r="BB5" s="3"/>
      <c r="BC5" s="3"/>
      <c r="BD5" s="3"/>
      <c r="BE5" s="3"/>
      <c r="BF5" s="3"/>
      <c r="BG5" s="3"/>
      <c r="BH5" s="4">
        <f>3.8*0.5</f>
        <v>1.9</v>
      </c>
      <c r="BI5" s="4">
        <f>12.4*0.5</f>
        <v>6.2</v>
      </c>
      <c r="BJ5" s="4">
        <f>75.7*0.5</f>
        <v>37.85</v>
      </c>
      <c r="BK5" s="4">
        <f>SUM(BH5:BJ5)</f>
        <v>45.95</v>
      </c>
      <c r="BL5" s="3">
        <f>BP5/BK5</f>
        <v>1.0228509249183895</v>
      </c>
      <c r="BM5" s="4">
        <f>6.2*0.5</f>
        <v>3.1</v>
      </c>
      <c r="BN5" s="4">
        <f>64.8*0.5</f>
        <v>32.4</v>
      </c>
      <c r="BO5" s="4">
        <f>23*0.5</f>
        <v>11.5</v>
      </c>
      <c r="BP5" s="4">
        <f>SUM(BM5:BO5)</f>
        <v>47</v>
      </c>
      <c r="BQ5" s="4">
        <f>BP5+BK5</f>
        <v>92.95</v>
      </c>
      <c r="BR5" s="12"/>
      <c r="BS5" s="3"/>
      <c r="BT5" s="3"/>
      <c r="BU5" s="3"/>
      <c r="BV5" s="4">
        <f>0.4*0.5</f>
        <v>0.2</v>
      </c>
      <c r="BW5" s="4">
        <f>1.6*0.5</f>
        <v>0.8</v>
      </c>
      <c r="BX5" s="4">
        <f>9.2*0.5</f>
        <v>4.5999999999999996</v>
      </c>
      <c r="BY5" s="3"/>
      <c r="BZ5" s="4">
        <f>SUM(BV5:BY5)</f>
        <v>5.6</v>
      </c>
      <c r="CA5" s="3"/>
      <c r="CB5" s="3"/>
      <c r="CC5" s="3"/>
      <c r="CD5" s="3"/>
      <c r="CE5" s="3"/>
      <c r="CF5" s="3"/>
      <c r="CG5" s="3"/>
      <c r="CH5" s="3"/>
      <c r="CI5" s="2" t="s">
        <v>128</v>
      </c>
      <c r="CJ5" s="7" t="s">
        <v>35</v>
      </c>
      <c r="CK5" s="8" t="s">
        <v>54</v>
      </c>
      <c r="CL5" s="11" t="s">
        <v>85</v>
      </c>
      <c r="CM5" s="7" t="s">
        <v>85</v>
      </c>
      <c r="CN5" s="7" t="s">
        <v>477</v>
      </c>
      <c r="CO5" s="7"/>
      <c r="CP5" s="7"/>
      <c r="CQ5" s="7"/>
      <c r="CR5"/>
    </row>
    <row r="6" spans="1:96" s="1" customFormat="1">
      <c r="A6" s="2" t="s">
        <v>8</v>
      </c>
      <c r="B6" s="2" t="s">
        <v>9</v>
      </c>
      <c r="C6" s="14" t="s">
        <v>116</v>
      </c>
      <c r="D6" s="14" t="s">
        <v>242</v>
      </c>
      <c r="E6" s="2">
        <v>2008</v>
      </c>
      <c r="F6" s="2">
        <v>2009</v>
      </c>
      <c r="G6" s="2">
        <v>0</v>
      </c>
      <c r="H6" s="2">
        <v>0</v>
      </c>
      <c r="I6" s="2">
        <v>0</v>
      </c>
      <c r="J6" s="2">
        <v>0</v>
      </c>
      <c r="K6" s="2">
        <v>0</v>
      </c>
      <c r="L6" s="2">
        <v>0</v>
      </c>
      <c r="M6" s="3">
        <v>23</v>
      </c>
      <c r="N6" s="4">
        <f>(M6-5)*12</f>
        <v>216</v>
      </c>
      <c r="O6" s="3">
        <v>2600</v>
      </c>
      <c r="P6" s="4">
        <v>0</v>
      </c>
      <c r="Q6" s="3">
        <v>1135</v>
      </c>
      <c r="R6" s="39">
        <v>81.458330000000004</v>
      </c>
      <c r="S6" s="39">
        <v>1222</v>
      </c>
      <c r="T6" s="39">
        <v>0.65833299999999995</v>
      </c>
      <c r="U6" s="12"/>
      <c r="V6" s="3"/>
      <c r="W6" s="3"/>
      <c r="X6" s="3"/>
      <c r="Y6" s="3"/>
      <c r="Z6" s="3"/>
      <c r="AA6" s="3"/>
      <c r="AB6" s="3"/>
      <c r="AC6" s="3"/>
      <c r="AD6" s="3"/>
      <c r="AE6" s="3"/>
      <c r="AF6" s="3"/>
      <c r="AG6" s="3"/>
      <c r="AH6" s="3"/>
      <c r="AI6" s="3"/>
      <c r="AJ6" s="3"/>
      <c r="AK6" s="3"/>
      <c r="AL6" s="3"/>
      <c r="AM6" s="3"/>
      <c r="AN6" s="3"/>
      <c r="AO6" s="3"/>
      <c r="AP6" s="2"/>
      <c r="AQ6" s="3"/>
      <c r="AR6" s="3">
        <v>5167</v>
      </c>
      <c r="AS6" s="3">
        <v>7.6</v>
      </c>
      <c r="AT6" s="3">
        <v>12.3</v>
      </c>
      <c r="AU6" s="4">
        <f t="shared" si="0"/>
        <v>23.439887744146176</v>
      </c>
      <c r="AV6" s="12">
        <v>37.1</v>
      </c>
      <c r="AW6" s="12">
        <v>4.9000000000000004</v>
      </c>
      <c r="AX6" s="12">
        <v>1.9</v>
      </c>
      <c r="AY6" s="3"/>
      <c r="AZ6" s="3"/>
      <c r="BA6" s="3"/>
      <c r="BB6" s="3"/>
      <c r="BC6" s="3"/>
      <c r="BD6" s="3"/>
      <c r="BE6" s="3"/>
      <c r="BF6" s="3"/>
      <c r="BG6" s="3"/>
      <c r="BH6" s="4">
        <f>1.3*0.5</f>
        <v>0.65</v>
      </c>
      <c r="BI6" s="4">
        <f>5.5*0.5</f>
        <v>2.75</v>
      </c>
      <c r="BJ6" s="4">
        <f>36.5*0.5</f>
        <v>18.25</v>
      </c>
      <c r="BK6" s="4">
        <f>SUM(BH6:BJ6)</f>
        <v>21.65</v>
      </c>
      <c r="BL6" s="3">
        <f>BP6/BK6</f>
        <v>1.9769053117782913</v>
      </c>
      <c r="BM6" s="4">
        <f>6.2*0.5</f>
        <v>3.1</v>
      </c>
      <c r="BN6" s="4">
        <f>64.5*0.5</f>
        <v>32.25</v>
      </c>
      <c r="BO6" s="4">
        <f>14.9*0.5</f>
        <v>7.45</v>
      </c>
      <c r="BP6" s="4">
        <f>SUM(BM6:BO6)</f>
        <v>42.800000000000004</v>
      </c>
      <c r="BQ6" s="4">
        <f>BP6+BK6</f>
        <v>64.45</v>
      </c>
      <c r="BR6" s="12"/>
      <c r="BS6" s="3"/>
      <c r="BT6" s="3"/>
      <c r="BU6" s="3"/>
      <c r="BV6" s="4">
        <f>0.2*0.5</f>
        <v>0.1</v>
      </c>
      <c r="BW6" s="4">
        <f>0.9*0.5</f>
        <v>0.45</v>
      </c>
      <c r="BX6" s="4">
        <f>6.4*0.5</f>
        <v>3.2</v>
      </c>
      <c r="BY6" s="3"/>
      <c r="BZ6" s="4">
        <f>SUM(BV6:BY6)</f>
        <v>3.75</v>
      </c>
      <c r="CA6" s="3"/>
      <c r="CB6" s="3"/>
      <c r="CC6" s="3"/>
      <c r="CD6" s="3"/>
      <c r="CE6" s="3"/>
      <c r="CF6" s="3"/>
      <c r="CG6" s="3"/>
      <c r="CH6" s="3"/>
      <c r="CI6" s="2" t="s">
        <v>128</v>
      </c>
      <c r="CJ6" s="7" t="s">
        <v>35</v>
      </c>
      <c r="CK6" s="8" t="s">
        <v>54</v>
      </c>
      <c r="CL6" s="11" t="s">
        <v>85</v>
      </c>
      <c r="CM6" s="7" t="s">
        <v>476</v>
      </c>
      <c r="CN6" s="7" t="s">
        <v>85</v>
      </c>
      <c r="CO6" s="7"/>
      <c r="CP6" s="2"/>
      <c r="CQ6" s="2"/>
    </row>
    <row r="7" spans="1:96" s="1" customFormat="1">
      <c r="A7" s="2" t="s">
        <v>8</v>
      </c>
      <c r="B7" s="2" t="s">
        <v>262</v>
      </c>
      <c r="C7" s="2" t="s">
        <v>70</v>
      </c>
      <c r="D7" s="2" t="s">
        <v>228</v>
      </c>
      <c r="E7" s="2">
        <v>2004</v>
      </c>
      <c r="F7" s="2">
        <v>2007</v>
      </c>
      <c r="G7" s="2">
        <v>1</v>
      </c>
      <c r="H7" s="2">
        <v>1</v>
      </c>
      <c r="I7" s="2">
        <v>1</v>
      </c>
      <c r="J7" s="2">
        <v>1</v>
      </c>
      <c r="K7" s="2">
        <v>0</v>
      </c>
      <c r="L7" s="2">
        <v>0</v>
      </c>
      <c r="M7" s="4">
        <f>(11+22)/2</f>
        <v>16.5</v>
      </c>
      <c r="N7" s="4">
        <f>(M7-5)*12</f>
        <v>138</v>
      </c>
      <c r="O7" s="4">
        <f>(1900+2500)/2</f>
        <v>2200</v>
      </c>
      <c r="P7" s="4">
        <v>0</v>
      </c>
      <c r="Q7" s="3">
        <f>(1200+1500)/2</f>
        <v>1350</v>
      </c>
      <c r="R7" s="39">
        <v>82.666669999999996</v>
      </c>
      <c r="S7" s="39">
        <v>1561.7</v>
      </c>
      <c r="T7" s="39">
        <v>1.2250000000000001</v>
      </c>
      <c r="U7" s="12"/>
      <c r="V7" s="3"/>
      <c r="W7" s="3"/>
      <c r="X7" s="3"/>
      <c r="Y7" s="3"/>
      <c r="Z7" s="3"/>
      <c r="AA7" s="3"/>
      <c r="AB7" s="3"/>
      <c r="AC7" s="3"/>
      <c r="AD7" s="3"/>
      <c r="AE7" s="3"/>
      <c r="AF7" s="3"/>
      <c r="AG7" s="3"/>
      <c r="AH7" s="3"/>
      <c r="AI7" s="3"/>
      <c r="AJ7" s="3"/>
      <c r="AK7" s="3"/>
      <c r="AL7" s="3"/>
      <c r="AM7" s="3"/>
      <c r="AN7" s="3"/>
      <c r="AO7" s="3"/>
      <c r="AP7" s="2"/>
      <c r="AQ7" s="3"/>
      <c r="AR7" s="3">
        <v>7050</v>
      </c>
      <c r="AS7" s="3">
        <v>8.66</v>
      </c>
      <c r="AT7" s="3"/>
      <c r="AU7" s="4">
        <f t="shared" si="0"/>
        <v>41.525491584537221</v>
      </c>
      <c r="AV7" s="12"/>
      <c r="AW7" s="12"/>
      <c r="AX7" s="12"/>
      <c r="AY7" s="4">
        <v>45.44</v>
      </c>
      <c r="AZ7" s="4">
        <v>48.15</v>
      </c>
      <c r="BA7" s="4">
        <v>46.28</v>
      </c>
      <c r="BB7" s="4"/>
      <c r="BC7" s="4"/>
      <c r="BD7" s="4"/>
      <c r="BE7" s="4"/>
      <c r="BF7" s="4"/>
      <c r="BG7" s="4"/>
      <c r="BH7" s="12">
        <f>3.19*AY7/100</f>
        <v>1.4495359999999999</v>
      </c>
      <c r="BI7" s="12">
        <f>10.19*AZ7/100</f>
        <v>4.906485</v>
      </c>
      <c r="BJ7" s="12">
        <f>71.94*BA7/100</f>
        <v>33.293831999999995</v>
      </c>
      <c r="BK7" s="3">
        <f>BH7+BI7+BJ7</f>
        <v>39.649852999999993</v>
      </c>
      <c r="BL7" s="3"/>
      <c r="BM7" s="3"/>
      <c r="BN7" s="3"/>
      <c r="BO7" s="3"/>
      <c r="BP7" s="3"/>
      <c r="BQ7" s="3"/>
      <c r="BR7" s="3"/>
      <c r="BS7" s="3"/>
      <c r="BT7" s="3"/>
      <c r="BU7" s="3"/>
      <c r="BV7" s="3"/>
      <c r="BW7" s="3"/>
      <c r="BX7" s="3"/>
      <c r="BY7" s="3"/>
      <c r="BZ7" s="3"/>
      <c r="CA7" s="3"/>
      <c r="CB7" s="3"/>
      <c r="CC7" s="3"/>
      <c r="CD7" s="3"/>
      <c r="CE7" s="3"/>
      <c r="CF7" s="3"/>
      <c r="CG7" s="3"/>
      <c r="CH7" s="3"/>
      <c r="CI7" s="2" t="s">
        <v>26</v>
      </c>
      <c r="CJ7" s="7" t="s">
        <v>35</v>
      </c>
      <c r="CK7" s="8" t="s">
        <v>58</v>
      </c>
      <c r="CL7" s="11" t="s">
        <v>85</v>
      </c>
      <c r="CM7" s="7" t="s">
        <v>85</v>
      </c>
      <c r="CN7" s="7" t="s">
        <v>478</v>
      </c>
      <c r="CO7" s="7"/>
      <c r="CP7" s="2"/>
      <c r="CQ7" s="2"/>
    </row>
    <row r="8" spans="1:96" s="1" customFormat="1">
      <c r="A8" s="2" t="s">
        <v>8</v>
      </c>
      <c r="B8" s="2" t="s">
        <v>483</v>
      </c>
      <c r="C8" s="2" t="s">
        <v>130</v>
      </c>
      <c r="D8" s="2" t="s">
        <v>246</v>
      </c>
      <c r="E8" s="2">
        <v>2007</v>
      </c>
      <c r="F8" s="2">
        <v>2007</v>
      </c>
      <c r="G8" s="2">
        <v>0</v>
      </c>
      <c r="H8" s="2">
        <v>0</v>
      </c>
      <c r="I8" s="2">
        <v>0</v>
      </c>
      <c r="J8" s="2">
        <v>0</v>
      </c>
      <c r="K8" s="2">
        <v>0</v>
      </c>
      <c r="L8" s="2">
        <v>0</v>
      </c>
      <c r="M8" s="3">
        <v>20.3</v>
      </c>
      <c r="N8" s="3">
        <v>183.60000000000002</v>
      </c>
      <c r="O8" s="3">
        <v>3389</v>
      </c>
      <c r="P8" s="4">
        <v>0</v>
      </c>
      <c r="Q8" s="3">
        <v>667</v>
      </c>
      <c r="R8" s="3">
        <v>85.2</v>
      </c>
      <c r="S8" s="39">
        <v>1599.1</v>
      </c>
      <c r="T8" s="39">
        <v>1.26</v>
      </c>
      <c r="U8" s="12"/>
      <c r="V8" s="3">
        <f>(3.75+3.8)/2</f>
        <v>3.7749999999999999</v>
      </c>
      <c r="W8" s="3">
        <f>(4.6+4.6)/2</f>
        <v>4.5999999999999996</v>
      </c>
      <c r="X8" s="3">
        <f>(0.55+0.4)/2</f>
        <v>0.47500000000000003</v>
      </c>
      <c r="Y8" s="3"/>
      <c r="Z8" s="3"/>
      <c r="AA8" s="3"/>
      <c r="AB8" s="3"/>
      <c r="AC8" s="3"/>
      <c r="AD8" s="3"/>
      <c r="AE8" s="3"/>
      <c r="AF8" s="3"/>
      <c r="AG8" s="3"/>
      <c r="AH8" s="3"/>
      <c r="AI8" s="3"/>
      <c r="AJ8" s="3"/>
      <c r="AK8" s="3"/>
      <c r="AL8" s="3"/>
      <c r="AM8" s="3"/>
      <c r="AN8" s="3"/>
      <c r="AO8" s="3"/>
      <c r="AP8" s="2"/>
      <c r="AQ8" s="3"/>
      <c r="AR8" s="3">
        <v>7933</v>
      </c>
      <c r="AS8" s="3">
        <v>6.8</v>
      </c>
      <c r="AT8" s="3">
        <v>10.3</v>
      </c>
      <c r="AU8" s="4">
        <f t="shared" si="0"/>
        <v>28.810126226192569</v>
      </c>
      <c r="AV8" s="12"/>
      <c r="AW8" s="12"/>
      <c r="AX8" s="12"/>
      <c r="AY8" s="3">
        <v>45.44</v>
      </c>
      <c r="AZ8" s="3">
        <v>48.15</v>
      </c>
      <c r="BA8" s="3">
        <v>46.28</v>
      </c>
      <c r="BB8" s="73">
        <v>44.87</v>
      </c>
      <c r="BC8" s="73"/>
      <c r="BD8" s="73">
        <v>43.54</v>
      </c>
      <c r="BE8" s="74">
        <v>46.28</v>
      </c>
      <c r="BF8" s="73">
        <v>3.52</v>
      </c>
      <c r="BG8" s="73">
        <v>2.27</v>
      </c>
      <c r="BH8" s="12">
        <f>3.6*AY8/100</f>
        <v>1.63584</v>
      </c>
      <c r="BI8" s="12">
        <f>9.7*AZ8/100</f>
        <v>4.6705499999999995</v>
      </c>
      <c r="BJ8" s="12">
        <f>43.1*BA8/100</f>
        <v>19.946680000000001</v>
      </c>
      <c r="BK8" s="3">
        <f>BH8+BI8+BJ8</f>
        <v>26.253070000000001</v>
      </c>
      <c r="BL8" s="73">
        <f>BP8/BK8</f>
        <v>0.133317741506041</v>
      </c>
      <c r="BM8" s="73">
        <v>0.9</v>
      </c>
      <c r="BN8" s="73">
        <v>0.5</v>
      </c>
      <c r="BO8" s="73">
        <v>2.1</v>
      </c>
      <c r="BP8" s="73">
        <f>SUM(BM8:BO8)</f>
        <v>3.5</v>
      </c>
      <c r="BQ8" s="73">
        <f>BP8+BK8</f>
        <v>29.753070000000001</v>
      </c>
      <c r="BR8" s="73"/>
      <c r="BS8" s="73">
        <v>172.8</v>
      </c>
      <c r="BT8" s="73"/>
      <c r="BU8" s="73">
        <f>BQ8+BS8</f>
        <v>202.55307000000002</v>
      </c>
      <c r="BV8" s="3"/>
      <c r="BW8" s="3"/>
      <c r="BX8" s="3"/>
      <c r="BY8" s="3"/>
      <c r="BZ8" s="4">
        <f>BZ10</f>
        <v>4</v>
      </c>
      <c r="CA8" s="3"/>
      <c r="CB8" s="3"/>
      <c r="CC8" s="3"/>
      <c r="CD8" s="3"/>
      <c r="CE8" s="3"/>
      <c r="CF8" s="3"/>
      <c r="CG8" s="3"/>
      <c r="CH8" s="3"/>
      <c r="CI8" s="2" t="s">
        <v>132</v>
      </c>
      <c r="CJ8" s="7" t="s">
        <v>35</v>
      </c>
      <c r="CK8" s="8" t="s">
        <v>56</v>
      </c>
      <c r="CL8" s="11" t="s">
        <v>85</v>
      </c>
      <c r="CM8" s="7" t="s">
        <v>477</v>
      </c>
      <c r="CN8" s="7" t="s">
        <v>85</v>
      </c>
      <c r="CO8" s="7"/>
      <c r="CP8" s="2"/>
      <c r="CQ8" s="2"/>
    </row>
    <row r="9" spans="1:96" s="1" customFormat="1">
      <c r="A9" s="2" t="s">
        <v>8</v>
      </c>
      <c r="B9" s="2" t="s">
        <v>482</v>
      </c>
      <c r="C9" s="2" t="s">
        <v>107</v>
      </c>
      <c r="D9" s="2" t="s">
        <v>247</v>
      </c>
      <c r="E9" s="2">
        <v>2007</v>
      </c>
      <c r="F9" s="2">
        <v>2009</v>
      </c>
      <c r="G9" s="2">
        <v>0</v>
      </c>
      <c r="H9" s="2">
        <v>0</v>
      </c>
      <c r="I9" s="2">
        <v>0</v>
      </c>
      <c r="J9" s="2">
        <v>0</v>
      </c>
      <c r="K9" s="2">
        <v>0</v>
      </c>
      <c r="L9" s="2">
        <v>0</v>
      </c>
      <c r="M9" s="3">
        <v>20.3</v>
      </c>
      <c r="N9" s="3">
        <v>183.60000000000002</v>
      </c>
      <c r="O9" s="3">
        <v>3389</v>
      </c>
      <c r="P9" s="4">
        <v>0</v>
      </c>
      <c r="Q9" s="3">
        <v>667</v>
      </c>
      <c r="R9" s="3">
        <v>85.2</v>
      </c>
      <c r="S9" s="39">
        <v>1657.133</v>
      </c>
      <c r="T9" s="39">
        <v>1.2944439999999999</v>
      </c>
      <c r="U9" s="12"/>
      <c r="V9" s="3">
        <f>(3.75+3.8)/2</f>
        <v>3.7749999999999999</v>
      </c>
      <c r="W9" s="3">
        <v>4.5999999999999996</v>
      </c>
      <c r="X9" s="3">
        <f>(0.55+0.4)/2</f>
        <v>0.47500000000000003</v>
      </c>
      <c r="Y9" s="3"/>
      <c r="Z9" s="3"/>
      <c r="AA9" s="3"/>
      <c r="AB9" s="3"/>
      <c r="AC9" s="3"/>
      <c r="AD9" s="3"/>
      <c r="AE9" s="3"/>
      <c r="AF9" s="3"/>
      <c r="AG9" s="3"/>
      <c r="AH9" s="3"/>
      <c r="AI9" s="3"/>
      <c r="AJ9" s="3"/>
      <c r="AK9" s="3"/>
      <c r="AL9" s="3"/>
      <c r="AM9" s="3"/>
      <c r="AN9" s="3"/>
      <c r="AO9" s="3"/>
      <c r="AP9" s="2"/>
      <c r="AQ9" s="3"/>
      <c r="AR9" s="3">
        <v>11467</v>
      </c>
      <c r="AS9" s="3">
        <v>5.9</v>
      </c>
      <c r="AT9" s="3">
        <v>9.5</v>
      </c>
      <c r="AU9" s="4">
        <f t="shared" si="0"/>
        <v>31.350445534820999</v>
      </c>
      <c r="AV9" s="12"/>
      <c r="AW9" s="12"/>
      <c r="AX9" s="12"/>
      <c r="AY9" s="4">
        <v>45.44</v>
      </c>
      <c r="AZ9" s="4">
        <v>48.15</v>
      </c>
      <c r="BA9" s="4">
        <v>46.28</v>
      </c>
      <c r="BB9" s="12"/>
      <c r="BC9" s="12"/>
      <c r="BD9" s="12"/>
      <c r="BE9" s="12"/>
      <c r="BF9" s="12"/>
      <c r="BG9" s="12"/>
      <c r="BH9" s="12"/>
      <c r="BI9" s="12"/>
      <c r="BJ9" s="12"/>
      <c r="BK9" s="3">
        <v>29.5</v>
      </c>
      <c r="BL9" s="3"/>
      <c r="BM9" s="3"/>
      <c r="BN9" s="3"/>
      <c r="BO9" s="3"/>
      <c r="BP9" s="3"/>
      <c r="BQ9" s="3"/>
      <c r="BR9" s="3"/>
      <c r="BS9" s="3"/>
      <c r="BT9" s="3"/>
      <c r="BU9" s="3"/>
      <c r="BV9" s="3"/>
      <c r="BW9" s="3"/>
      <c r="BX9" s="3"/>
      <c r="BY9" s="3"/>
      <c r="BZ9" s="3">
        <f>(4.1+1.7)/2</f>
        <v>2.9</v>
      </c>
      <c r="CA9" s="3"/>
      <c r="CB9" s="3"/>
      <c r="CC9" s="3"/>
      <c r="CD9" s="3"/>
      <c r="CE9" s="3"/>
      <c r="CF9" s="3"/>
      <c r="CG9" s="3"/>
      <c r="CH9" s="3"/>
      <c r="CI9" s="2" t="s">
        <v>110</v>
      </c>
      <c r="CJ9" s="7" t="s">
        <v>35</v>
      </c>
      <c r="CK9" s="8" t="s">
        <v>57</v>
      </c>
      <c r="CL9" s="11" t="s">
        <v>85</v>
      </c>
      <c r="CM9" s="7" t="s">
        <v>477</v>
      </c>
      <c r="CN9" s="7" t="s">
        <v>85</v>
      </c>
      <c r="CO9" s="7"/>
      <c r="CP9" s="2"/>
      <c r="CQ9" s="2"/>
    </row>
    <row r="10" spans="1:96" s="1" customFormat="1">
      <c r="A10" s="2" t="s">
        <v>8</v>
      </c>
      <c r="B10" s="2" t="s">
        <v>225</v>
      </c>
      <c r="C10" s="2" t="s">
        <v>109</v>
      </c>
      <c r="D10" s="2" t="s">
        <v>224</v>
      </c>
      <c r="E10" s="2">
        <v>2007</v>
      </c>
      <c r="F10" s="2">
        <v>2009</v>
      </c>
      <c r="G10" s="2">
        <v>1</v>
      </c>
      <c r="H10" s="2">
        <v>0</v>
      </c>
      <c r="I10" s="36">
        <v>0</v>
      </c>
      <c r="J10" s="2">
        <v>0</v>
      </c>
      <c r="K10" s="2">
        <v>1</v>
      </c>
      <c r="L10" s="2">
        <v>0</v>
      </c>
      <c r="M10" s="3">
        <v>20.3</v>
      </c>
      <c r="N10" s="3">
        <v>183.60000000000002</v>
      </c>
      <c r="O10" s="3">
        <v>3389</v>
      </c>
      <c r="P10" s="4">
        <v>0</v>
      </c>
      <c r="Q10" s="3">
        <v>667</v>
      </c>
      <c r="R10" s="3">
        <v>85.2</v>
      </c>
      <c r="S10" s="39">
        <v>1657.133</v>
      </c>
      <c r="T10" s="39">
        <v>1.2944439999999999</v>
      </c>
      <c r="U10" s="12"/>
      <c r="V10" s="3"/>
      <c r="W10" s="3">
        <v>4.5999999999999996</v>
      </c>
      <c r="X10" s="3"/>
      <c r="Y10" s="3"/>
      <c r="Z10" s="3"/>
      <c r="AA10" s="3"/>
      <c r="AB10" s="3"/>
      <c r="AC10" s="3"/>
      <c r="AD10" s="3"/>
      <c r="AE10" s="3"/>
      <c r="AF10" s="3"/>
      <c r="AG10" s="3"/>
      <c r="AH10" s="3"/>
      <c r="AI10" s="3"/>
      <c r="AJ10" s="3"/>
      <c r="AK10" s="3"/>
      <c r="AL10" s="3"/>
      <c r="AM10" s="3"/>
      <c r="AN10" s="3"/>
      <c r="AO10" s="3"/>
      <c r="AP10" s="2"/>
      <c r="AQ10" s="3"/>
      <c r="AR10" s="3">
        <v>5567</v>
      </c>
      <c r="AS10" s="3">
        <v>4.8</v>
      </c>
      <c r="AT10" s="3">
        <v>8</v>
      </c>
      <c r="AU10" s="4">
        <f t="shared" si="0"/>
        <v>10.073805870259802</v>
      </c>
      <c r="AV10" s="12"/>
      <c r="AW10" s="12"/>
      <c r="AX10" s="12"/>
      <c r="AY10" s="4">
        <v>45.44</v>
      </c>
      <c r="AZ10" s="4">
        <v>48.15</v>
      </c>
      <c r="BA10" s="4">
        <v>46.28</v>
      </c>
      <c r="BB10" s="4"/>
      <c r="BC10" s="4"/>
      <c r="BD10" s="4"/>
      <c r="BE10" s="4"/>
      <c r="BF10" s="4"/>
      <c r="BG10" s="4"/>
      <c r="BH10" s="12"/>
      <c r="BI10" s="12"/>
      <c r="BJ10" s="12"/>
      <c r="BK10" s="3">
        <v>8</v>
      </c>
      <c r="BL10" s="3"/>
      <c r="BM10" s="3"/>
      <c r="BN10" s="3"/>
      <c r="BO10" s="3"/>
      <c r="BP10" s="3"/>
      <c r="BQ10" s="3"/>
      <c r="BR10" s="3"/>
      <c r="BS10" s="3"/>
      <c r="BT10" s="3"/>
      <c r="BU10" s="3"/>
      <c r="BV10" s="3"/>
      <c r="BW10" s="3"/>
      <c r="BX10" s="3"/>
      <c r="BY10" s="3"/>
      <c r="BZ10" s="3">
        <f>(2.2+5.8)/2</f>
        <v>4</v>
      </c>
      <c r="CA10" s="3"/>
      <c r="CB10" s="3"/>
      <c r="CC10" s="3"/>
      <c r="CD10" s="3"/>
      <c r="CE10" s="3"/>
      <c r="CF10" s="3"/>
      <c r="CG10" s="3"/>
      <c r="CH10" s="3"/>
      <c r="CI10" s="2" t="s">
        <v>110</v>
      </c>
      <c r="CJ10" s="7" t="s">
        <v>35</v>
      </c>
      <c r="CK10" s="8" t="s">
        <v>57</v>
      </c>
      <c r="CL10" s="11" t="s">
        <v>85</v>
      </c>
      <c r="CM10" s="7" t="s">
        <v>475</v>
      </c>
      <c r="CN10" s="7" t="s">
        <v>85</v>
      </c>
      <c r="CO10" s="7"/>
      <c r="CP10" s="2"/>
      <c r="CQ10" s="2"/>
    </row>
    <row r="11" spans="1:96" s="1" customFormat="1">
      <c r="A11" s="2" t="s">
        <v>8</v>
      </c>
      <c r="B11" s="2" t="s">
        <v>222</v>
      </c>
      <c r="C11" s="2" t="s">
        <v>108</v>
      </c>
      <c r="D11" s="2" t="s">
        <v>223</v>
      </c>
      <c r="E11" s="2">
        <v>2007</v>
      </c>
      <c r="F11" s="2">
        <v>2009</v>
      </c>
      <c r="G11" s="2">
        <v>1</v>
      </c>
      <c r="H11" s="2">
        <v>0</v>
      </c>
      <c r="I11" s="2">
        <v>1</v>
      </c>
      <c r="J11" s="2">
        <v>0</v>
      </c>
      <c r="K11" s="2">
        <v>0</v>
      </c>
      <c r="L11" s="2">
        <v>0</v>
      </c>
      <c r="M11" s="3">
        <v>20.3</v>
      </c>
      <c r="N11" s="3">
        <v>183.60000000000002</v>
      </c>
      <c r="O11" s="3">
        <v>3389</v>
      </c>
      <c r="P11" s="4">
        <v>0</v>
      </c>
      <c r="Q11" s="3">
        <v>667</v>
      </c>
      <c r="R11" s="3">
        <v>85.2</v>
      </c>
      <c r="S11" s="39">
        <v>1657.133</v>
      </c>
      <c r="T11" s="39">
        <v>1.2944439999999999</v>
      </c>
      <c r="U11" s="12"/>
      <c r="V11" s="3"/>
      <c r="W11" s="3">
        <v>4.5999999999999996</v>
      </c>
      <c r="X11" s="3"/>
      <c r="Y11" s="3"/>
      <c r="Z11" s="3"/>
      <c r="AA11" s="3"/>
      <c r="AB11" s="3"/>
      <c r="AC11" s="3"/>
      <c r="AD11" s="3"/>
      <c r="AE11" s="3"/>
      <c r="AF11" s="3"/>
      <c r="AG11" s="3"/>
      <c r="AH11" s="3"/>
      <c r="AI11" s="3"/>
      <c r="AJ11" s="3"/>
      <c r="AK11" s="3"/>
      <c r="AL11" s="3"/>
      <c r="AM11" s="3"/>
      <c r="AN11" s="3"/>
      <c r="AO11" s="3"/>
      <c r="AP11" s="2"/>
      <c r="AQ11" s="3"/>
      <c r="AR11" s="3">
        <v>10633</v>
      </c>
      <c r="AS11" s="3">
        <v>5.9</v>
      </c>
      <c r="AT11" s="3">
        <v>9.5</v>
      </c>
      <c r="AU11" s="4">
        <f t="shared" si="0"/>
        <v>29.070313715161038</v>
      </c>
      <c r="AV11" s="12"/>
      <c r="AW11" s="12"/>
      <c r="AX11" s="12"/>
      <c r="AY11" s="4">
        <v>45.44</v>
      </c>
      <c r="AZ11" s="4">
        <v>48.15</v>
      </c>
      <c r="BA11" s="4">
        <v>46.28</v>
      </c>
      <c r="BB11" s="4"/>
      <c r="BC11" s="4"/>
      <c r="BD11" s="4"/>
      <c r="BE11" s="4"/>
      <c r="BF11" s="4"/>
      <c r="BG11" s="4"/>
      <c r="BH11" s="12"/>
      <c r="BI11" s="12"/>
      <c r="BJ11" s="12"/>
      <c r="BK11" s="3">
        <v>28.4</v>
      </c>
      <c r="BL11" s="3"/>
      <c r="BM11" s="3"/>
      <c r="BN11" s="3"/>
      <c r="BO11" s="3"/>
      <c r="BP11" s="3"/>
      <c r="BQ11" s="3"/>
      <c r="BR11" s="3"/>
      <c r="BS11" s="3"/>
      <c r="BT11" s="3"/>
      <c r="BU11" s="3"/>
      <c r="BV11" s="3"/>
      <c r="BW11" s="3"/>
      <c r="BX11" s="3"/>
      <c r="BY11" s="3"/>
      <c r="BZ11" s="3">
        <f>(6.7+1.5)/2</f>
        <v>4.0999999999999996</v>
      </c>
      <c r="CA11" s="3"/>
      <c r="CB11" s="3"/>
      <c r="CC11" s="3"/>
      <c r="CD11" s="3"/>
      <c r="CE11" s="3"/>
      <c r="CF11" s="3"/>
      <c r="CG11" s="3"/>
      <c r="CH11" s="3"/>
      <c r="CI11" s="2" t="s">
        <v>110</v>
      </c>
      <c r="CJ11" s="7" t="s">
        <v>35</v>
      </c>
      <c r="CK11" s="8" t="s">
        <v>57</v>
      </c>
      <c r="CL11" s="11" t="s">
        <v>85</v>
      </c>
      <c r="CM11" s="7" t="s">
        <v>85</v>
      </c>
      <c r="CN11" s="7" t="s">
        <v>479</v>
      </c>
      <c r="CO11" s="7"/>
      <c r="CP11" s="2"/>
      <c r="CQ11" s="2"/>
    </row>
    <row r="12" spans="1:96">
      <c r="A12" s="2" t="s">
        <v>8</v>
      </c>
      <c r="B12" s="2" t="s">
        <v>260</v>
      </c>
      <c r="C12" s="2" t="s">
        <v>70</v>
      </c>
      <c r="D12" s="2" t="s">
        <v>226</v>
      </c>
      <c r="E12" s="2">
        <v>2004</v>
      </c>
      <c r="F12" s="2">
        <v>2007</v>
      </c>
      <c r="G12" s="2">
        <v>1</v>
      </c>
      <c r="H12" s="2">
        <v>1</v>
      </c>
      <c r="I12" s="2">
        <v>1</v>
      </c>
      <c r="J12" s="2">
        <v>1</v>
      </c>
      <c r="K12" s="2">
        <v>0</v>
      </c>
      <c r="L12" s="2">
        <v>0</v>
      </c>
      <c r="M12" s="4">
        <f>(11+22)/2</f>
        <v>16.5</v>
      </c>
      <c r="N12" s="4">
        <f>(M12-5)*12</f>
        <v>138</v>
      </c>
      <c r="O12" s="4">
        <f>(1900+2500)/2</f>
        <v>2200</v>
      </c>
      <c r="P12" s="4">
        <v>0</v>
      </c>
      <c r="Q12" s="3">
        <f>(600+900)/2</f>
        <v>750</v>
      </c>
      <c r="R12" s="39">
        <v>82.666669999999996</v>
      </c>
      <c r="S12" s="39">
        <v>1561.7</v>
      </c>
      <c r="T12" s="39">
        <v>1.2250000000000001</v>
      </c>
      <c r="U12" s="12"/>
      <c r="V12" s="3"/>
      <c r="W12" s="3"/>
      <c r="X12" s="3"/>
      <c r="Y12" s="3"/>
      <c r="Z12" s="3"/>
      <c r="AA12" s="3"/>
      <c r="AB12" s="3"/>
      <c r="AC12" s="3"/>
      <c r="AD12" s="3"/>
      <c r="AE12" s="3"/>
      <c r="AF12" s="3"/>
      <c r="AG12" s="3"/>
      <c r="AH12" s="3"/>
      <c r="AI12" s="3"/>
      <c r="AJ12" s="3"/>
      <c r="AK12" s="3"/>
      <c r="AL12" s="3"/>
      <c r="AM12" s="3"/>
      <c r="AN12" s="3"/>
      <c r="AO12" s="3"/>
      <c r="AP12" s="2"/>
      <c r="AQ12" s="3"/>
      <c r="AR12" s="3">
        <v>6996</v>
      </c>
      <c r="AS12" s="3">
        <v>8.73</v>
      </c>
      <c r="AT12" s="3"/>
      <c r="AU12" s="4">
        <f t="shared" si="0"/>
        <v>41.876287192360493</v>
      </c>
      <c r="AV12" s="12"/>
      <c r="AW12" s="12"/>
      <c r="AX12" s="12"/>
      <c r="AY12" s="4">
        <v>45.44</v>
      </c>
      <c r="AZ12" s="4">
        <v>48.15</v>
      </c>
      <c r="BA12" s="4">
        <v>46.28</v>
      </c>
      <c r="BB12" s="4"/>
      <c r="BC12" s="4"/>
      <c r="BD12" s="4"/>
      <c r="BE12" s="4"/>
      <c r="BF12" s="4"/>
      <c r="BG12" s="4"/>
      <c r="BH12" s="12">
        <f>3.65*AY12/100</f>
        <v>1.65856</v>
      </c>
      <c r="BI12" s="12">
        <f>11.33*AZ12/100</f>
        <v>5.4553949999999993</v>
      </c>
      <c r="BJ12" s="12">
        <f>79.42*BA12/100</f>
        <v>36.755575999999998</v>
      </c>
      <c r="BK12" s="3">
        <f>BH12+BI12+BJ12</f>
        <v>43.869530999999995</v>
      </c>
      <c r="BL12" s="3"/>
      <c r="BM12" s="3"/>
      <c r="BN12" s="3"/>
      <c r="BO12" s="3"/>
      <c r="BP12" s="3"/>
      <c r="BQ12" s="3"/>
      <c r="BR12" s="3"/>
      <c r="BS12" s="3"/>
      <c r="BT12" s="3"/>
      <c r="BU12" s="3"/>
      <c r="BV12" s="3"/>
      <c r="BW12" s="3"/>
      <c r="BX12" s="3"/>
      <c r="BY12" s="3"/>
      <c r="BZ12" s="3"/>
      <c r="CA12" s="3"/>
      <c r="CB12" s="3"/>
      <c r="CC12" s="3"/>
      <c r="CD12" s="3"/>
      <c r="CE12" s="3"/>
      <c r="CF12" s="3"/>
      <c r="CG12" s="3"/>
      <c r="CH12" s="3"/>
      <c r="CI12" s="2" t="s">
        <v>271</v>
      </c>
      <c r="CJ12" s="7" t="s">
        <v>35</v>
      </c>
      <c r="CK12" s="8" t="s">
        <v>58</v>
      </c>
      <c r="CL12" s="11" t="s">
        <v>85</v>
      </c>
      <c r="CM12" s="7" t="s">
        <v>85</v>
      </c>
      <c r="CN12" s="7" t="s">
        <v>85</v>
      </c>
      <c r="CO12" s="7"/>
      <c r="CP12" s="7"/>
      <c r="CQ12" s="7"/>
    </row>
    <row r="13" spans="1:96">
      <c r="A13" s="2" t="s">
        <v>8</v>
      </c>
      <c r="B13" s="2" t="s">
        <v>261</v>
      </c>
      <c r="C13" s="2" t="s">
        <v>70</v>
      </c>
      <c r="D13" s="2" t="s">
        <v>227</v>
      </c>
      <c r="E13" s="2">
        <v>2004</v>
      </c>
      <c r="F13" s="2">
        <v>2007</v>
      </c>
      <c r="G13" s="2">
        <v>1</v>
      </c>
      <c r="H13" s="2">
        <v>1</v>
      </c>
      <c r="I13" s="2">
        <v>1</v>
      </c>
      <c r="J13" s="2">
        <v>1</v>
      </c>
      <c r="K13" s="2">
        <v>0</v>
      </c>
      <c r="L13" s="2">
        <v>0</v>
      </c>
      <c r="M13" s="4">
        <f>(11+22)/2</f>
        <v>16.5</v>
      </c>
      <c r="N13" s="4">
        <f>(M13-5)*12</f>
        <v>138</v>
      </c>
      <c r="O13" s="4">
        <f>(1900+2500)/2</f>
        <v>2200</v>
      </c>
      <c r="P13" s="4">
        <v>0</v>
      </c>
      <c r="Q13" s="3">
        <f>(900+1200)/2</f>
        <v>1050</v>
      </c>
      <c r="R13" s="39">
        <v>82.666669999999996</v>
      </c>
      <c r="S13" s="39">
        <v>1561.7</v>
      </c>
      <c r="T13" s="39">
        <v>1.2250000000000001</v>
      </c>
      <c r="U13" s="12"/>
      <c r="V13" s="3"/>
      <c r="W13" s="3"/>
      <c r="X13" s="3"/>
      <c r="Y13" s="3"/>
      <c r="Z13" s="3"/>
      <c r="AA13" s="3"/>
      <c r="AB13" s="3"/>
      <c r="AC13" s="3"/>
      <c r="AD13" s="3"/>
      <c r="AE13" s="3"/>
      <c r="AF13" s="3"/>
      <c r="AG13" s="3"/>
      <c r="AH13" s="3"/>
      <c r="AI13" s="3"/>
      <c r="AJ13" s="3"/>
      <c r="AK13" s="3"/>
      <c r="AL13" s="3"/>
      <c r="AM13" s="3"/>
      <c r="AN13" s="3"/>
      <c r="AO13" s="3"/>
      <c r="AP13" s="2"/>
      <c r="AQ13" s="3"/>
      <c r="AR13" s="3">
        <v>7188</v>
      </c>
      <c r="AS13" s="3">
        <v>8.8699999999999992</v>
      </c>
      <c r="AT13" s="3"/>
      <c r="AU13" s="4">
        <f t="shared" si="0"/>
        <v>44.41658755718521</v>
      </c>
      <c r="AV13" s="12"/>
      <c r="AW13" s="12"/>
      <c r="AX13" s="12"/>
      <c r="AY13" s="4">
        <v>45.44</v>
      </c>
      <c r="AZ13" s="4">
        <v>48.15</v>
      </c>
      <c r="BA13" s="4">
        <v>46.28</v>
      </c>
      <c r="BB13" s="4"/>
      <c r="BC13" s="4"/>
      <c r="BD13" s="4"/>
      <c r="BE13" s="4"/>
      <c r="BF13" s="4"/>
      <c r="BG13" s="4"/>
      <c r="BH13" s="12">
        <f>2.89*AY13/100</f>
        <v>1.3132159999999999</v>
      </c>
      <c r="BI13" s="12">
        <f>9.91*AZ13/100</f>
        <v>4.7716649999999996</v>
      </c>
      <c r="BJ13" s="12">
        <f>67.23*BA13/100</f>
        <v>31.114044000000003</v>
      </c>
      <c r="BK13" s="3">
        <f>BH13+BI13+BJ13</f>
        <v>37.198925000000003</v>
      </c>
      <c r="BL13" s="3"/>
      <c r="BM13" s="3"/>
      <c r="BN13" s="3"/>
      <c r="BO13" s="3"/>
      <c r="BP13" s="3"/>
      <c r="BQ13" s="3"/>
      <c r="BR13" s="3"/>
      <c r="BS13" s="3"/>
      <c r="BT13" s="3"/>
      <c r="BU13" s="3"/>
      <c r="BV13" s="3"/>
      <c r="BW13" s="3"/>
      <c r="BX13" s="3"/>
      <c r="BY13" s="3"/>
      <c r="BZ13" s="3"/>
      <c r="CA13" s="3"/>
      <c r="CB13" s="3"/>
      <c r="CC13" s="3"/>
      <c r="CD13" s="3"/>
      <c r="CE13" s="3"/>
      <c r="CF13" s="3"/>
      <c r="CG13" s="3"/>
      <c r="CH13" s="3"/>
      <c r="CI13" s="2" t="s">
        <v>26</v>
      </c>
      <c r="CJ13" s="7" t="s">
        <v>35</v>
      </c>
      <c r="CK13" s="8" t="s">
        <v>58</v>
      </c>
      <c r="CL13" s="11" t="s">
        <v>85</v>
      </c>
      <c r="CM13" s="7" t="s">
        <v>85</v>
      </c>
      <c r="CN13" s="7" t="s">
        <v>477</v>
      </c>
      <c r="CO13" s="7"/>
      <c r="CP13" s="7"/>
      <c r="CQ13" s="7"/>
    </row>
    <row r="14" spans="1:96">
      <c r="A14" s="2" t="s">
        <v>8</v>
      </c>
      <c r="B14" s="2" t="s">
        <v>9</v>
      </c>
      <c r="C14" s="2" t="s">
        <v>119</v>
      </c>
      <c r="D14" s="2" t="s">
        <v>218</v>
      </c>
      <c r="E14" s="2">
        <v>2008</v>
      </c>
      <c r="F14" s="2">
        <v>2009</v>
      </c>
      <c r="G14" s="2">
        <v>1</v>
      </c>
      <c r="H14" s="2">
        <v>1</v>
      </c>
      <c r="I14" s="2">
        <v>0</v>
      </c>
      <c r="J14" s="2">
        <v>1</v>
      </c>
      <c r="K14" s="2">
        <v>0</v>
      </c>
      <c r="L14" s="2">
        <v>0</v>
      </c>
      <c r="M14" s="3">
        <v>23</v>
      </c>
      <c r="N14" s="4">
        <f>(M14-5)*12</f>
        <v>216</v>
      </c>
      <c r="O14" s="3">
        <v>2600</v>
      </c>
      <c r="P14" s="4">
        <v>0</v>
      </c>
      <c r="Q14" s="3">
        <v>1135</v>
      </c>
      <c r="R14" s="39">
        <v>81.458330000000004</v>
      </c>
      <c r="S14" s="39">
        <v>1222</v>
      </c>
      <c r="T14" s="39">
        <v>0.65833299999999995</v>
      </c>
      <c r="U14" s="12"/>
      <c r="V14" s="3"/>
      <c r="W14" s="3"/>
      <c r="X14" s="3"/>
      <c r="Y14" s="3"/>
      <c r="Z14" s="3"/>
      <c r="AA14" s="3"/>
      <c r="AB14" s="3"/>
      <c r="AC14" s="3"/>
      <c r="AD14" s="3"/>
      <c r="AE14" s="3"/>
      <c r="AF14" s="3"/>
      <c r="AG14" s="3"/>
      <c r="AH14" s="3"/>
      <c r="AI14" s="3"/>
      <c r="AJ14" s="3"/>
      <c r="AK14" s="3"/>
      <c r="AL14" s="3"/>
      <c r="AM14" s="3"/>
      <c r="AN14" s="3"/>
      <c r="AO14" s="3"/>
      <c r="AP14" s="2"/>
      <c r="AQ14" s="3"/>
      <c r="AR14" s="3">
        <v>5167</v>
      </c>
      <c r="AS14" s="3">
        <v>8.9</v>
      </c>
      <c r="AT14" s="3">
        <v>12.6</v>
      </c>
      <c r="AU14" s="4">
        <f t="shared" si="0"/>
        <v>32.144624449685232</v>
      </c>
      <c r="AV14" s="12"/>
      <c r="AW14" s="12"/>
      <c r="AX14" s="12"/>
      <c r="AY14" s="3"/>
      <c r="AZ14" s="3"/>
      <c r="BA14" s="3"/>
      <c r="BB14" s="3"/>
      <c r="BC14" s="3"/>
      <c r="BD14" s="3"/>
      <c r="BE14" s="3"/>
      <c r="BF14" s="3"/>
      <c r="BG14" s="3"/>
      <c r="BH14" s="4">
        <f>2.8*0.5</f>
        <v>1.4</v>
      </c>
      <c r="BI14" s="4">
        <f>9.7*0.5</f>
        <v>4.8499999999999996</v>
      </c>
      <c r="BJ14" s="4">
        <f>61*0.5</f>
        <v>30.5</v>
      </c>
      <c r="BK14" s="4">
        <f>SUM(BH14:BJ14)</f>
        <v>36.75</v>
      </c>
      <c r="BL14" s="3">
        <f>BP14/BK14</f>
        <v>1.2394557823129251</v>
      </c>
      <c r="BM14" s="4">
        <f>6.2*0.5</f>
        <v>3.1</v>
      </c>
      <c r="BN14" s="4">
        <f>64.5*0.5</f>
        <v>32.25</v>
      </c>
      <c r="BO14" s="4">
        <f>20.4*0.5</f>
        <v>10.199999999999999</v>
      </c>
      <c r="BP14" s="4">
        <f>SUM(BM14:BO14)</f>
        <v>45.55</v>
      </c>
      <c r="BQ14" s="4">
        <f>BP14+BK14</f>
        <v>82.3</v>
      </c>
      <c r="BR14" s="4"/>
      <c r="BS14" s="3"/>
      <c r="BT14" s="3"/>
      <c r="BU14" s="3"/>
      <c r="BV14" s="4">
        <f>0.3*0.5</f>
        <v>0.15</v>
      </c>
      <c r="BW14" s="4">
        <f>1.2*0.5</f>
        <v>0.6</v>
      </c>
      <c r="BX14" s="4">
        <f>7.8*0.5</f>
        <v>3.9</v>
      </c>
      <c r="BY14" s="3"/>
      <c r="BZ14" s="4">
        <f>SUM(BV14:BY14)</f>
        <v>4.6500000000000004</v>
      </c>
      <c r="CA14" s="3"/>
      <c r="CB14" s="3"/>
      <c r="CC14" s="3"/>
      <c r="CD14" s="3"/>
      <c r="CE14" s="3"/>
      <c r="CF14" s="3"/>
      <c r="CG14" s="3"/>
      <c r="CH14" s="3"/>
      <c r="CI14" s="2" t="s">
        <v>128</v>
      </c>
      <c r="CJ14" s="7" t="s">
        <v>35</v>
      </c>
      <c r="CK14" s="8" t="s">
        <v>54</v>
      </c>
      <c r="CL14" s="11" t="s">
        <v>85</v>
      </c>
      <c r="CM14" s="7" t="s">
        <v>477</v>
      </c>
      <c r="CN14" s="7" t="s">
        <v>479</v>
      </c>
      <c r="CO14" s="7"/>
      <c r="CP14" s="7"/>
      <c r="CQ14" s="7"/>
    </row>
    <row r="15" spans="1:96">
      <c r="A15" s="2" t="s">
        <v>8</v>
      </c>
      <c r="B15" s="2" t="s">
        <v>9</v>
      </c>
      <c r="C15" s="2" t="s">
        <v>118</v>
      </c>
      <c r="D15" s="2" t="s">
        <v>219</v>
      </c>
      <c r="E15" s="2">
        <v>2008</v>
      </c>
      <c r="F15" s="2">
        <v>2009</v>
      </c>
      <c r="G15" s="2">
        <v>1</v>
      </c>
      <c r="H15" s="2">
        <v>1</v>
      </c>
      <c r="I15" s="2">
        <v>0</v>
      </c>
      <c r="J15" s="2">
        <v>1</v>
      </c>
      <c r="K15" s="2">
        <v>0</v>
      </c>
      <c r="L15" s="2">
        <v>0</v>
      </c>
      <c r="M15" s="3">
        <v>23</v>
      </c>
      <c r="N15" s="4">
        <f>(M15-5)*12</f>
        <v>216</v>
      </c>
      <c r="O15" s="3">
        <v>2600</v>
      </c>
      <c r="P15" s="4">
        <v>0</v>
      </c>
      <c r="Q15" s="3">
        <v>1135</v>
      </c>
      <c r="R15" s="39">
        <v>81.458330000000004</v>
      </c>
      <c r="S15" s="39">
        <v>1222</v>
      </c>
      <c r="T15" s="39">
        <v>0.65833299999999995</v>
      </c>
      <c r="U15" s="12"/>
      <c r="V15" s="3"/>
      <c r="W15" s="3"/>
      <c r="X15" s="3"/>
      <c r="Y15" s="3"/>
      <c r="Z15" s="3"/>
      <c r="AA15" s="3"/>
      <c r="AB15" s="3"/>
      <c r="AC15" s="3"/>
      <c r="AD15" s="3"/>
      <c r="AE15" s="3"/>
      <c r="AF15" s="3"/>
      <c r="AG15" s="3"/>
      <c r="AH15" s="3"/>
      <c r="AI15" s="3"/>
      <c r="AJ15" s="3"/>
      <c r="AK15" s="3"/>
      <c r="AL15" s="3"/>
      <c r="AM15" s="3"/>
      <c r="AN15" s="3"/>
      <c r="AO15" s="3"/>
      <c r="AP15" s="2"/>
      <c r="AQ15" s="3"/>
      <c r="AR15" s="3">
        <v>5733</v>
      </c>
      <c r="AS15" s="3">
        <v>9.1</v>
      </c>
      <c r="AT15" s="3">
        <v>13.2</v>
      </c>
      <c r="AU15" s="4">
        <f t="shared" si="0"/>
        <v>37.286756601543445</v>
      </c>
      <c r="AV15" s="12"/>
      <c r="AW15" s="12"/>
      <c r="AX15" s="12"/>
      <c r="AY15" s="3"/>
      <c r="AZ15" s="3"/>
      <c r="BA15" s="3"/>
      <c r="BB15" s="3"/>
      <c r="BC15" s="3"/>
      <c r="BD15" s="3"/>
      <c r="BE15" s="3"/>
      <c r="BF15" s="3"/>
      <c r="BG15" s="3"/>
      <c r="BH15" s="4">
        <f>3.2*0.5</f>
        <v>1.6</v>
      </c>
      <c r="BI15" s="4">
        <f>10.8*0.5</f>
        <v>5.4</v>
      </c>
      <c r="BJ15" s="4">
        <f>69.9*0.5</f>
        <v>34.950000000000003</v>
      </c>
      <c r="BK15" s="4">
        <f>SUM(BH15:BJ15)</f>
        <v>41.95</v>
      </c>
      <c r="BL15" s="3">
        <f>BP15/BK15</f>
        <v>1.1108462455303934</v>
      </c>
      <c r="BM15" s="4">
        <f>6.1*0.5</f>
        <v>3.05</v>
      </c>
      <c r="BN15" s="4">
        <f>63.4*0.5</f>
        <v>31.7</v>
      </c>
      <c r="BO15" s="4">
        <f>23.7*0.5</f>
        <v>11.85</v>
      </c>
      <c r="BP15" s="4">
        <f>SUM(BM15:BO15)</f>
        <v>46.6</v>
      </c>
      <c r="BQ15" s="4">
        <f>BP15+BK15</f>
        <v>88.550000000000011</v>
      </c>
      <c r="BR15" s="4"/>
      <c r="BS15" s="3"/>
      <c r="BT15" s="3"/>
      <c r="BU15" s="3"/>
      <c r="BV15" s="4">
        <f>0.2*0.5</f>
        <v>0.1</v>
      </c>
      <c r="BW15" s="4">
        <f>0.9*0.5</f>
        <v>0.45</v>
      </c>
      <c r="BX15" s="4">
        <f>5.8*0.5</f>
        <v>2.9</v>
      </c>
      <c r="BY15" s="3"/>
      <c r="BZ15" s="4">
        <f>SUM(BV15:BY15)</f>
        <v>3.45</v>
      </c>
      <c r="CA15" s="3"/>
      <c r="CB15" s="3"/>
      <c r="CC15" s="3"/>
      <c r="CD15" s="3"/>
      <c r="CE15" s="3"/>
      <c r="CF15" s="3"/>
      <c r="CG15" s="3"/>
      <c r="CH15" s="3"/>
      <c r="CI15" s="2" t="s">
        <v>128</v>
      </c>
      <c r="CJ15" s="7" t="s">
        <v>35</v>
      </c>
      <c r="CK15" s="8" t="s">
        <v>54</v>
      </c>
      <c r="CL15" s="11" t="s">
        <v>85</v>
      </c>
      <c r="CM15" s="7" t="s">
        <v>85</v>
      </c>
      <c r="CN15" s="7" t="s">
        <v>85</v>
      </c>
      <c r="CO15" s="7"/>
      <c r="CP15" s="7"/>
      <c r="CQ15" s="7"/>
    </row>
    <row r="16" spans="1:96">
      <c r="A16" s="36" t="s">
        <v>8</v>
      </c>
      <c r="B16" s="36" t="s">
        <v>16</v>
      </c>
      <c r="C16" s="36" t="s">
        <v>129</v>
      </c>
      <c r="D16" s="71" t="s">
        <v>244</v>
      </c>
      <c r="E16" s="36">
        <v>2012</v>
      </c>
      <c r="F16" s="36">
        <v>2015</v>
      </c>
      <c r="G16" s="36">
        <v>0</v>
      </c>
      <c r="H16" s="36">
        <v>0</v>
      </c>
      <c r="I16" s="36">
        <v>0</v>
      </c>
      <c r="J16" s="36">
        <v>0</v>
      </c>
      <c r="K16" s="36">
        <v>0</v>
      </c>
      <c r="L16" s="36">
        <v>0</v>
      </c>
      <c r="M16" s="38">
        <v>18.600000000000001</v>
      </c>
      <c r="N16" s="39">
        <f>(M16-5)*12</f>
        <v>163.20000000000002</v>
      </c>
      <c r="O16" s="38">
        <v>2407</v>
      </c>
      <c r="P16" s="39">
        <v>0</v>
      </c>
      <c r="Q16" s="38">
        <v>1120</v>
      </c>
      <c r="R16" s="39">
        <v>83.104169999999996</v>
      </c>
      <c r="S16" s="39">
        <v>1541.15</v>
      </c>
      <c r="T16" s="39">
        <v>1.077083</v>
      </c>
      <c r="U16" s="37"/>
      <c r="V16" s="38"/>
      <c r="W16" s="38">
        <v>4.0999999999999996</v>
      </c>
      <c r="X16" s="38"/>
      <c r="Y16" s="38"/>
      <c r="Z16" s="38"/>
      <c r="AA16" s="38"/>
      <c r="AB16" s="38"/>
      <c r="AC16" s="38"/>
      <c r="AD16" s="38"/>
      <c r="AE16" s="38"/>
      <c r="AF16" s="38"/>
      <c r="AG16" s="38"/>
      <c r="AH16" s="38"/>
      <c r="AI16" s="38"/>
      <c r="AJ16" s="38"/>
      <c r="AK16" s="38"/>
      <c r="AL16" s="38"/>
      <c r="AM16" s="38"/>
      <c r="AN16" s="38"/>
      <c r="AO16" s="38"/>
      <c r="AP16" s="36"/>
      <c r="AQ16" s="38"/>
      <c r="AR16" s="38">
        <v>6000</v>
      </c>
      <c r="AS16" s="38">
        <v>8.4</v>
      </c>
      <c r="AT16" s="38">
        <v>12</v>
      </c>
      <c r="AU16" s="39">
        <f t="shared" si="0"/>
        <v>33.25061664559437</v>
      </c>
      <c r="AV16" s="37"/>
      <c r="AW16" s="37"/>
      <c r="AX16" s="37"/>
      <c r="AY16" s="38"/>
      <c r="AZ16" s="38"/>
      <c r="BA16" s="38"/>
      <c r="BB16" s="38"/>
      <c r="BC16" s="38"/>
      <c r="BD16" s="38"/>
      <c r="BE16" s="38"/>
      <c r="BF16" s="38"/>
      <c r="BG16" s="38"/>
      <c r="BH16" s="37">
        <v>3.13</v>
      </c>
      <c r="BI16" s="37">
        <v>5.65</v>
      </c>
      <c r="BJ16" s="37">
        <v>33.26</v>
      </c>
      <c r="BK16" s="38">
        <f>SUM(BH16:BJ16)</f>
        <v>42.04</v>
      </c>
      <c r="BL16" s="38">
        <f>BP16/BK16</f>
        <v>0.80137963843958127</v>
      </c>
      <c r="BM16" s="38">
        <v>6.48</v>
      </c>
      <c r="BN16" s="38">
        <v>27.21</v>
      </c>
      <c r="BO16" s="38"/>
      <c r="BP16" s="38">
        <f>SUM(BM16:BO16)</f>
        <v>33.69</v>
      </c>
      <c r="BQ16" s="38">
        <f>BP16+BK16</f>
        <v>75.72999999999999</v>
      </c>
      <c r="BR16" s="38"/>
      <c r="BS16" s="38">
        <v>70.25</v>
      </c>
      <c r="BT16" s="38"/>
      <c r="BU16" s="38">
        <f>BQ16+BS16</f>
        <v>145.97999999999999</v>
      </c>
      <c r="BV16" s="38">
        <v>0.41</v>
      </c>
      <c r="BW16" s="38">
        <v>0.75</v>
      </c>
      <c r="BX16" s="38">
        <v>4.42</v>
      </c>
      <c r="BY16" s="38">
        <v>2.1800000000000002</v>
      </c>
      <c r="BZ16" s="38">
        <f>SUM(BV16:BY16)</f>
        <v>7.76</v>
      </c>
      <c r="CA16" s="38">
        <v>0.71</v>
      </c>
      <c r="CB16" s="38">
        <v>0.41</v>
      </c>
      <c r="CC16" s="38"/>
      <c r="CD16" s="38">
        <f>SUM(CA16:CC16)</f>
        <v>1.1199999999999999</v>
      </c>
      <c r="CE16" s="38">
        <f>CD16+BZ16</f>
        <v>8.879999999999999</v>
      </c>
      <c r="CF16" s="38">
        <v>11.41</v>
      </c>
      <c r="CG16" s="38">
        <v>4.55</v>
      </c>
      <c r="CH16" s="38">
        <f>CE16-CG16</f>
        <v>4.3299999999999992</v>
      </c>
      <c r="CI16" s="2" t="s">
        <v>17</v>
      </c>
      <c r="CJ16" s="7" t="s">
        <v>35</v>
      </c>
      <c r="CK16" s="8" t="s">
        <v>55</v>
      </c>
      <c r="CL16" s="11" t="s">
        <v>85</v>
      </c>
      <c r="CM16" s="7" t="s">
        <v>85</v>
      </c>
      <c r="CN16" s="7" t="s">
        <v>475</v>
      </c>
      <c r="CO16" s="7"/>
      <c r="CP16" s="7"/>
      <c r="CQ16" s="7"/>
    </row>
    <row r="17" spans="1:95">
      <c r="A17" s="42"/>
      <c r="B17" s="42"/>
      <c r="C17" s="42"/>
      <c r="D17" s="67"/>
      <c r="E17" s="42"/>
      <c r="F17" s="42"/>
      <c r="G17" s="42"/>
      <c r="H17" s="42"/>
      <c r="I17" s="42"/>
      <c r="J17" s="42"/>
      <c r="K17" s="42"/>
      <c r="L17" s="42"/>
      <c r="M17" s="43"/>
      <c r="N17" s="3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2"/>
      <c r="AQ17" s="43"/>
      <c r="AR17" s="43"/>
      <c r="AS17" s="43"/>
      <c r="AT17" s="43"/>
      <c r="AU17" s="34"/>
      <c r="AV17" s="33"/>
      <c r="AW17" s="33"/>
      <c r="AX17" s="33"/>
      <c r="AY17" s="43"/>
      <c r="AZ17" s="43"/>
      <c r="BA17" s="43"/>
      <c r="BB17" s="43"/>
      <c r="BC17" s="43"/>
      <c r="BD17" s="43"/>
      <c r="BE17" s="43"/>
      <c r="BF17" s="43"/>
      <c r="BG17" s="43"/>
      <c r="BH17" s="33"/>
      <c r="BI17" s="33"/>
      <c r="BJ17" s="3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72" t="s">
        <v>484</v>
      </c>
      <c r="CJ17" s="68"/>
      <c r="CK17" s="69"/>
      <c r="CL17" s="70"/>
      <c r="CM17" s="68"/>
      <c r="CN17" s="68"/>
      <c r="CO17" s="68" t="s">
        <v>485</v>
      </c>
      <c r="CP17" s="68"/>
      <c r="CQ17" s="68"/>
    </row>
    <row r="18" spans="1:95">
      <c r="A18" s="42"/>
      <c r="B18" s="42"/>
      <c r="C18" s="42"/>
      <c r="D18" s="67"/>
      <c r="E18" s="42"/>
      <c r="F18" s="42"/>
      <c r="G18" s="42"/>
      <c r="H18" s="42"/>
      <c r="I18" s="42"/>
      <c r="J18" s="42"/>
      <c r="K18" s="42"/>
      <c r="L18" s="42"/>
      <c r="M18" s="43"/>
      <c r="N18" s="3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2"/>
      <c r="AQ18" s="43"/>
      <c r="AR18" s="43"/>
      <c r="AS18" s="43"/>
      <c r="AT18" s="43"/>
      <c r="AU18" s="34"/>
      <c r="AV18" s="33"/>
      <c r="AW18" s="33"/>
      <c r="AX18" s="33"/>
      <c r="AY18" s="43"/>
      <c r="AZ18" s="43"/>
      <c r="BA18" s="43"/>
      <c r="BB18" s="43"/>
      <c r="BC18" s="43"/>
      <c r="BD18" s="43"/>
      <c r="BE18" s="43"/>
      <c r="BF18" s="43"/>
      <c r="BG18" s="43"/>
      <c r="BH18" s="33"/>
      <c r="BI18" s="33"/>
      <c r="BJ18" s="3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2" t="s">
        <v>487</v>
      </c>
      <c r="CJ18" s="68"/>
      <c r="CK18" s="69"/>
      <c r="CL18" s="70"/>
      <c r="CM18" s="68"/>
      <c r="CN18" s="68"/>
      <c r="CO18" s="68"/>
      <c r="CP18" s="68"/>
      <c r="CQ18" s="68"/>
    </row>
    <row r="19" spans="1:95">
      <c r="A19" s="65" t="s">
        <v>486</v>
      </c>
    </row>
    <row r="20" spans="1:95">
      <c r="A20" s="19" t="s">
        <v>480</v>
      </c>
      <c r="B20" s="19"/>
      <c r="C20" s="19"/>
    </row>
    <row r="21" spans="1:95">
      <c r="A21" s="20" t="s">
        <v>272</v>
      </c>
      <c r="B21" s="20"/>
      <c r="C21" s="20"/>
    </row>
    <row r="22" spans="1:95">
      <c r="A22" s="22"/>
    </row>
  </sheetData>
  <phoneticPr fontId="1" type="noConversion"/>
  <hyperlinks>
    <hyperlink ref="CK14" r:id="rId1" xr:uid="{00000000-0004-0000-0300-000000000000}"/>
    <hyperlink ref="CK16" r:id="rId2" xr:uid="{00000000-0004-0000-0300-000001000000}"/>
    <hyperlink ref="CK8" r:id="rId3" xr:uid="{00000000-0004-0000-0300-000002000000}"/>
    <hyperlink ref="CK3" r:id="rId4" xr:uid="{00000000-0004-0000-0300-000003000000}"/>
    <hyperlink ref="CK9" r:id="rId5" xr:uid="{00000000-0004-0000-0300-000004000000}"/>
    <hyperlink ref="CK13" r:id="rId6" xr:uid="{00000000-0004-0000-0300-000005000000}"/>
    <hyperlink ref="CK7" r:id="rId7" xr:uid="{00000000-0004-0000-0300-000006000000}"/>
    <hyperlink ref="CK12" r:id="rId8" xr:uid="{00000000-0004-0000-0300-000007000000}"/>
    <hyperlink ref="CK11" r:id="rId9" xr:uid="{00000000-0004-0000-0300-000008000000}"/>
    <hyperlink ref="CK10" r:id="rId10" xr:uid="{00000000-0004-0000-0300-000009000000}"/>
    <hyperlink ref="CK15" r:id="rId11" xr:uid="{00000000-0004-0000-0300-00000A000000}"/>
    <hyperlink ref="CK4" r:id="rId12" xr:uid="{00000000-0004-0000-0300-00000B000000}"/>
    <hyperlink ref="CK6" r:id="rId13" xr:uid="{00000000-0004-0000-0300-00000C000000}"/>
    <hyperlink ref="CK5" r:id="rId14" xr:uid="{00000000-0004-0000-03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BA_AGB</vt:lpstr>
      <vt:lpstr>Rawdata for dummy variable</vt:lpstr>
      <vt:lpstr>Japan</vt:lpstr>
      <vt:lpstr>Taiwan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Clethra</cp:lastModifiedBy>
  <cp:lastPrinted>2020-02-03T00:28:33Z</cp:lastPrinted>
  <dcterms:created xsi:type="dcterms:W3CDTF">2019-08-02T13:14:44Z</dcterms:created>
  <dcterms:modified xsi:type="dcterms:W3CDTF">2020-06-17T10:18:52Z</dcterms:modified>
</cp:coreProperties>
</file>