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8"/>
  <workbookPr/>
  <mc:AlternateContent xmlns:mc="http://schemas.openxmlformats.org/markup-compatibility/2006">
    <mc:Choice Requires="x15">
      <x15ac:absPath xmlns:x15ac="http://schemas.microsoft.com/office/spreadsheetml/2010/11/ac" url="/Volumes/SHITE/Submitted jurnal articles/學論重寫 (revising)/To Nature communications/"/>
    </mc:Choice>
  </mc:AlternateContent>
  <xr:revisionPtr revIDLastSave="0" documentId="13_ncr:1_{B9E7A8E5-296E-F743-B52A-0C589AEA12C6}" xr6:coauthVersionLast="45" xr6:coauthVersionMax="45" xr10:uidLastSave="{00000000-0000-0000-0000-000000000000}"/>
  <bookViews>
    <workbookView xWindow="6640" yWindow="2000" windowWidth="23760" windowHeight="13840" xr2:uid="{00000000-000D-0000-FFFF-FFFF00000000}"/>
  </bookViews>
  <sheets>
    <sheet name="Table S1" sheetId="2" r:id="rId1"/>
  </sheets>
  <definedNames>
    <definedName name="_xlnm.Print_Area" localSheetId="0">'Table S1'!$A$1:$CQ$116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X88" i="2" l="1"/>
  <c r="BZ88" i="2" s="1"/>
  <c r="BX87" i="2"/>
  <c r="BZ87" i="2" s="1"/>
  <c r="BX86" i="2"/>
  <c r="BZ86" i="2" s="1"/>
  <c r="BX85" i="2"/>
  <c r="BZ85" i="2" s="1"/>
  <c r="BY88" i="2"/>
  <c r="BY87" i="2"/>
  <c r="BY86" i="2"/>
  <c r="BY85" i="2"/>
  <c r="BU86" i="2"/>
  <c r="BU88" i="2"/>
  <c r="BP86" i="2"/>
  <c r="BP87" i="2"/>
  <c r="BU87" i="2" s="1"/>
  <c r="BP88" i="2"/>
  <c r="BU85" i="2"/>
  <c r="BP85" i="2"/>
  <c r="AZ86" i="2"/>
  <c r="AZ83" i="2"/>
  <c r="AW88" i="2"/>
  <c r="AZ88" i="2" s="1"/>
  <c r="AW87" i="2"/>
  <c r="AZ87" i="2" s="1"/>
  <c r="AW86" i="2"/>
  <c r="AW85" i="2"/>
  <c r="AZ85" i="2" s="1"/>
  <c r="P86" i="2"/>
  <c r="P87" i="2"/>
  <c r="P88" i="2"/>
  <c r="P85" i="2"/>
  <c r="CD89" i="2"/>
  <c r="CE89" i="2" s="1"/>
  <c r="CJ89" i="2" s="1"/>
  <c r="S89" i="2"/>
  <c r="BY89" i="2"/>
  <c r="BU89" i="2"/>
  <c r="BQ89" i="2" s="1"/>
  <c r="BP89" i="2"/>
  <c r="P89" i="2"/>
  <c r="AY90" i="2"/>
  <c r="AX90" i="2"/>
  <c r="P90" i="2"/>
  <c r="BV89" i="2" l="1"/>
  <c r="BS89" i="2" s="1"/>
  <c r="BM89" i="2"/>
  <c r="BR89" i="2"/>
  <c r="BO89" i="2"/>
  <c r="BN89" i="2"/>
  <c r="AZ98" i="2"/>
  <c r="AZ97" i="2"/>
  <c r="AZ96" i="2"/>
  <c r="AZ95" i="2"/>
  <c r="BZ15" i="2"/>
  <c r="BP96" i="2"/>
  <c r="CE96" i="2" s="1"/>
  <c r="BP97" i="2"/>
  <c r="CE97" i="2" s="1"/>
  <c r="BP98" i="2"/>
  <c r="BP95" i="2"/>
  <c r="CE95" i="2" s="1"/>
  <c r="BU96" i="2"/>
  <c r="BU97" i="2"/>
  <c r="BU98" i="2"/>
  <c r="BU95" i="2"/>
  <c r="BQ95" i="2" s="1"/>
  <c r="P98" i="2"/>
  <c r="P97" i="2"/>
  <c r="P96" i="2"/>
  <c r="P95" i="2"/>
  <c r="S98" i="2"/>
  <c r="S97" i="2"/>
  <c r="S96" i="2"/>
  <c r="S95" i="2"/>
  <c r="CK101" i="2"/>
  <c r="CK100" i="2"/>
  <c r="AZ101" i="2"/>
  <c r="AZ100" i="2"/>
  <c r="S99" i="2"/>
  <c r="S101" i="2"/>
  <c r="S100" i="2"/>
  <c r="P101" i="2"/>
  <c r="P100" i="2"/>
  <c r="AZ99" i="2"/>
  <c r="BQ96" i="2" l="1"/>
  <c r="BV98" i="2"/>
  <c r="BZ98" i="2" s="1"/>
  <c r="BV97" i="2"/>
  <c r="BZ97" i="2" s="1"/>
  <c r="CE98" i="2"/>
  <c r="BV96" i="2"/>
  <c r="BZ96" i="2" s="1"/>
  <c r="BV95" i="2"/>
  <c r="BZ95" i="2" s="1"/>
  <c r="BQ98" i="2"/>
  <c r="BQ97" i="2"/>
  <c r="CE99" i="2"/>
  <c r="CM99" i="2"/>
  <c r="CK99" i="2"/>
  <c r="CL58" i="2"/>
  <c r="P99" i="2" l="1"/>
  <c r="AZ92" i="2"/>
  <c r="AX107" i="2"/>
  <c r="AW107" i="2"/>
  <c r="P107" i="2"/>
  <c r="CL94" i="2"/>
  <c r="CL93" i="2"/>
  <c r="CL92" i="2"/>
  <c r="CL91" i="2"/>
  <c r="CK94" i="2"/>
  <c r="CK93" i="2"/>
  <c r="CK92" i="2"/>
  <c r="CK91" i="2"/>
  <c r="AZ94" i="2"/>
  <c r="AZ93" i="2"/>
  <c r="AK94" i="2"/>
  <c r="AJ94" i="2"/>
  <c r="AI94" i="2"/>
  <c r="AK93" i="2"/>
  <c r="AJ93" i="2"/>
  <c r="AI93" i="2"/>
  <c r="AK92" i="2"/>
  <c r="AJ92" i="2"/>
  <c r="AI92" i="2"/>
  <c r="S94" i="2"/>
  <c r="P94" i="2"/>
  <c r="S93" i="2"/>
  <c r="P93" i="2"/>
  <c r="S92" i="2"/>
  <c r="P92" i="2"/>
  <c r="Y91" i="2" l="1"/>
  <c r="AK91" i="2"/>
  <c r="AJ91" i="2"/>
  <c r="AI91" i="2"/>
  <c r="S91" i="2"/>
  <c r="P91" i="2"/>
  <c r="AZ91" i="2"/>
  <c r="AZ74" i="2"/>
  <c r="BP104" i="2"/>
  <c r="BP103" i="2"/>
  <c r="BO104" i="2"/>
  <c r="BO103" i="2"/>
  <c r="BN104" i="2"/>
  <c r="BN103" i="2"/>
  <c r="BM104" i="2"/>
  <c r="BM103" i="2"/>
  <c r="BP102" i="2"/>
  <c r="BO102" i="2"/>
  <c r="BN102" i="2"/>
  <c r="BM102" i="2"/>
  <c r="AZ102" i="2"/>
  <c r="BF108" i="2" l="1"/>
  <c r="BE108" i="2"/>
  <c r="BD108" i="2"/>
  <c r="AX108" i="2"/>
  <c r="AW108" i="2"/>
  <c r="P4" i="2" l="1"/>
  <c r="BN4" i="2"/>
  <c r="BO4" i="2"/>
  <c r="BR4" i="2"/>
  <c r="BU4" i="2" s="1"/>
  <c r="BS4" i="2"/>
  <c r="P5" i="2"/>
  <c r="BN5" i="2"/>
  <c r="BO5" i="2"/>
  <c r="BR5" i="2"/>
  <c r="BS5" i="2"/>
  <c r="P6" i="2"/>
  <c r="AQ6" i="2"/>
  <c r="AT6" i="2"/>
  <c r="AU6" i="2"/>
  <c r="AV6" i="2"/>
  <c r="BP6" i="2"/>
  <c r="BU6" i="2"/>
  <c r="CC6" i="2"/>
  <c r="CD6" i="2"/>
  <c r="P7" i="2"/>
  <c r="BN7" i="2"/>
  <c r="BO7" i="2"/>
  <c r="BR7" i="2"/>
  <c r="BS7" i="2"/>
  <c r="P8" i="2"/>
  <c r="AX8" i="2"/>
  <c r="AZ8" i="2" s="1"/>
  <c r="BM8" i="2"/>
  <c r="BN8" i="2"/>
  <c r="BO8" i="2"/>
  <c r="BR8" i="2"/>
  <c r="BT8" i="2"/>
  <c r="P9" i="2"/>
  <c r="S9" i="2"/>
  <c r="AX9" i="2"/>
  <c r="AZ9" i="2" s="1"/>
  <c r="BM9" i="2"/>
  <c r="BN9" i="2"/>
  <c r="BO9" i="2"/>
  <c r="BR9" i="2"/>
  <c r="BS9" i="2"/>
  <c r="BT9" i="2"/>
  <c r="CA9" i="2"/>
  <c r="CB9" i="2"/>
  <c r="CC9" i="2"/>
  <c r="CF9" i="2"/>
  <c r="CG9" i="2"/>
  <c r="CH9" i="2"/>
  <c r="P10" i="2"/>
  <c r="AX10" i="2"/>
  <c r="AZ10" i="2" s="1"/>
  <c r="BM10" i="2"/>
  <c r="BN10" i="2"/>
  <c r="BO10" i="2"/>
  <c r="BR10" i="2"/>
  <c r="BU10" i="2" s="1"/>
  <c r="BT10" i="2"/>
  <c r="P11" i="2"/>
  <c r="AX11" i="2"/>
  <c r="AZ11" i="2" s="1"/>
  <c r="BM11" i="2"/>
  <c r="BN11" i="2"/>
  <c r="BO11" i="2"/>
  <c r="BR11" i="2"/>
  <c r="BT11" i="2"/>
  <c r="P12" i="2"/>
  <c r="Q12" i="2"/>
  <c r="BK12" i="2"/>
  <c r="BL12" i="2"/>
  <c r="BP12" i="2"/>
  <c r="BR12" i="2"/>
  <c r="CD12" i="2"/>
  <c r="P13" i="2"/>
  <c r="Q13" i="2"/>
  <c r="BK13" i="2"/>
  <c r="BL13" i="2"/>
  <c r="BP13" i="2"/>
  <c r="BR13" i="2"/>
  <c r="CD13" i="2"/>
  <c r="P14" i="2"/>
  <c r="Q14" i="2"/>
  <c r="BK14" i="2"/>
  <c r="BL14" i="2"/>
  <c r="BP14" i="2"/>
  <c r="BQ14" i="2" s="1"/>
  <c r="BR14" i="2"/>
  <c r="CD14" i="2"/>
  <c r="P15" i="2"/>
  <c r="Q15" i="2"/>
  <c r="AC15" i="2"/>
  <c r="CE15" i="2"/>
  <c r="CI15" i="2"/>
  <c r="CK15" i="2"/>
  <c r="CL15" i="2"/>
  <c r="O16" i="2"/>
  <c r="AZ16" i="2"/>
  <c r="BP16" i="2"/>
  <c r="O17" i="2"/>
  <c r="P17" i="2" s="1"/>
  <c r="Q17" i="2"/>
  <c r="BP17" i="2"/>
  <c r="BU17" i="2"/>
  <c r="O18" i="2"/>
  <c r="P18" i="2" s="1"/>
  <c r="Q18" i="2"/>
  <c r="BP18" i="2"/>
  <c r="BU18" i="2"/>
  <c r="O19" i="2"/>
  <c r="P19" i="2" s="1"/>
  <c r="Q19" i="2"/>
  <c r="BP19" i="2"/>
  <c r="BU19" i="2"/>
  <c r="O20" i="2"/>
  <c r="P20" i="2" s="1"/>
  <c r="Q20" i="2"/>
  <c r="BP20" i="2"/>
  <c r="BU20" i="2"/>
  <c r="O21" i="2"/>
  <c r="P21" i="2" s="1"/>
  <c r="AX21" i="2"/>
  <c r="AZ21" i="2" s="1"/>
  <c r="AZ22" i="2"/>
  <c r="AZ23" i="2"/>
  <c r="AZ24" i="2"/>
  <c r="P25" i="2"/>
  <c r="S25" i="2"/>
  <c r="AW25" i="2"/>
  <c r="AX25" i="2"/>
  <c r="BP25" i="2"/>
  <c r="P26" i="2"/>
  <c r="BV26" i="2"/>
  <c r="BZ26" i="2" s="1"/>
  <c r="CM26" i="2"/>
  <c r="P27" i="2"/>
  <c r="BV27" i="2"/>
  <c r="BZ27" i="2" s="1"/>
  <c r="CM27" i="2"/>
  <c r="P28" i="2"/>
  <c r="BV28" i="2"/>
  <c r="BZ28" i="2" s="1"/>
  <c r="CM28" i="2"/>
  <c r="P29" i="2"/>
  <c r="BV29" i="2"/>
  <c r="BZ29" i="2" s="1"/>
  <c r="CM29" i="2"/>
  <c r="P30" i="2"/>
  <c r="BM30" i="2"/>
  <c r="BN30" i="2"/>
  <c r="BO30" i="2"/>
  <c r="BR30" i="2"/>
  <c r="BS30" i="2"/>
  <c r="BT30" i="2"/>
  <c r="CE30" i="2"/>
  <c r="P31" i="2"/>
  <c r="BM31" i="2"/>
  <c r="BN31" i="2"/>
  <c r="BO31" i="2"/>
  <c r="BR31" i="2"/>
  <c r="BS31" i="2"/>
  <c r="BT31" i="2"/>
  <c r="CE31" i="2"/>
  <c r="P32" i="2"/>
  <c r="AD32" i="2"/>
  <c r="AZ32" i="2"/>
  <c r="BM32" i="2"/>
  <c r="BN32" i="2"/>
  <c r="BO32" i="2"/>
  <c r="BR32" i="2"/>
  <c r="BS32" i="2"/>
  <c r="CD32" i="2"/>
  <c r="P33" i="2"/>
  <c r="AD33" i="2"/>
  <c r="AZ33" i="2"/>
  <c r="BM33" i="2"/>
  <c r="BN33" i="2"/>
  <c r="BO33" i="2"/>
  <c r="BR33" i="2"/>
  <c r="BS33" i="2"/>
  <c r="CD33" i="2"/>
  <c r="P34" i="2"/>
  <c r="AD34" i="2"/>
  <c r="AZ34" i="2"/>
  <c r="BM34" i="2"/>
  <c r="BN34" i="2"/>
  <c r="BO34" i="2"/>
  <c r="BR34" i="2"/>
  <c r="BS34" i="2"/>
  <c r="CD34" i="2"/>
  <c r="S35" i="2"/>
  <c r="AW35" i="2"/>
  <c r="AX35" i="2" s="1"/>
  <c r="AZ35" i="2" s="1"/>
  <c r="BP35" i="2"/>
  <c r="P36" i="2"/>
  <c r="AX36" i="2"/>
  <c r="AZ36" i="2" s="1"/>
  <c r="BP36" i="2"/>
  <c r="BR36" i="2"/>
  <c r="BS36" i="2"/>
  <c r="BT36" i="2"/>
  <c r="AZ37" i="2"/>
  <c r="BP37" i="2"/>
  <c r="BU37" i="2"/>
  <c r="AZ38" i="2"/>
  <c r="BP38" i="2"/>
  <c r="BU38" i="2"/>
  <c r="AZ39" i="2"/>
  <c r="BP39" i="2"/>
  <c r="BU39" i="2"/>
  <c r="P40" i="2"/>
  <c r="AW40" i="2"/>
  <c r="AX40" i="2"/>
  <c r="BP40" i="2"/>
  <c r="CD40" i="2"/>
  <c r="BP41" i="2"/>
  <c r="BP42" i="2"/>
  <c r="CD42" i="2"/>
  <c r="P43" i="2"/>
  <c r="S43" i="2"/>
  <c r="AW43" i="2"/>
  <c r="AX43" i="2"/>
  <c r="AY43" i="2"/>
  <c r="AZ43" i="2"/>
  <c r="BN43" i="2"/>
  <c r="BO43" i="2"/>
  <c r="CB43" i="2"/>
  <c r="CC43" i="2"/>
  <c r="P44" i="2"/>
  <c r="AW44" i="2"/>
  <c r="BN44" i="2"/>
  <c r="BO44" i="2"/>
  <c r="CB44" i="2"/>
  <c r="CC44" i="2"/>
  <c r="P45" i="2"/>
  <c r="S45" i="2"/>
  <c r="AW45" i="2"/>
  <c r="AX45" i="2"/>
  <c r="AY45" i="2"/>
  <c r="AZ45" i="2"/>
  <c r="BN45" i="2"/>
  <c r="BO45" i="2"/>
  <c r="CB45" i="2"/>
  <c r="CC45" i="2"/>
  <c r="P46" i="2"/>
  <c r="AW46" i="2"/>
  <c r="AX46" i="2"/>
  <c r="AZ46" i="2"/>
  <c r="BP46" i="2"/>
  <c r="P47" i="2"/>
  <c r="AW47" i="2"/>
  <c r="AX47" i="2"/>
  <c r="AZ47" i="2"/>
  <c r="BP47" i="2"/>
  <c r="BM48" i="2"/>
  <c r="BN48" i="2"/>
  <c r="BO48" i="2"/>
  <c r="BP48" i="2"/>
  <c r="CA48" i="2"/>
  <c r="CB48" i="2"/>
  <c r="CC48" i="2"/>
  <c r="CD48" i="2"/>
  <c r="CE48" i="2"/>
  <c r="AW49" i="2"/>
  <c r="AX49" i="2"/>
  <c r="AZ49" i="2"/>
  <c r="BO49" i="2"/>
  <c r="AZ50" i="2"/>
  <c r="BN50" i="2"/>
  <c r="BO50" i="2"/>
  <c r="BP50" i="2"/>
  <c r="AW52" i="2"/>
  <c r="AX52" i="2"/>
  <c r="AY52" i="2"/>
  <c r="BM52" i="2"/>
  <c r="BN52" i="2"/>
  <c r="BO52" i="2"/>
  <c r="CA52" i="2"/>
  <c r="CB52" i="2"/>
  <c r="CC52" i="2"/>
  <c r="CF52" i="2"/>
  <c r="CG52" i="2"/>
  <c r="BM53" i="2"/>
  <c r="BN53" i="2"/>
  <c r="CA53" i="2"/>
  <c r="CB53" i="2"/>
  <c r="CC53" i="2"/>
  <c r="CD53" i="2"/>
  <c r="CE53" i="2"/>
  <c r="AW54" i="2"/>
  <c r="AX54" i="2"/>
  <c r="AZ54" i="2"/>
  <c r="BO54" i="2"/>
  <c r="AW55" i="2"/>
  <c r="AX55" i="2"/>
  <c r="BO55" i="2"/>
  <c r="BO53" i="2" s="1"/>
  <c r="BM56" i="2"/>
  <c r="BN56" i="2"/>
  <c r="BO56" i="2"/>
  <c r="CA57" i="2"/>
  <c r="CB57" i="2"/>
  <c r="CC57" i="2"/>
  <c r="CD57" i="2"/>
  <c r="CE57" i="2"/>
  <c r="P58" i="2"/>
  <c r="AZ58" i="2"/>
  <c r="BM58" i="2"/>
  <c r="BM57" i="2" s="1"/>
  <c r="BN58" i="2"/>
  <c r="BN57" i="2" s="1"/>
  <c r="BO58" i="2"/>
  <c r="BO57" i="2" s="1"/>
  <c r="BR58" i="2"/>
  <c r="BS58" i="2"/>
  <c r="BX58" i="2"/>
  <c r="CA58" i="2"/>
  <c r="CD58" i="2"/>
  <c r="CI58" i="2"/>
  <c r="CK58" i="2"/>
  <c r="AX59" i="2"/>
  <c r="AZ59" i="2" s="1"/>
  <c r="AY59" i="2"/>
  <c r="BM59" i="2"/>
  <c r="BN59" i="2"/>
  <c r="BO59" i="2"/>
  <c r="AX60" i="2"/>
  <c r="AZ60" i="2" s="1"/>
  <c r="AY60" i="2"/>
  <c r="BM60" i="2"/>
  <c r="BN60" i="2"/>
  <c r="BO60" i="2"/>
  <c r="AX61" i="2"/>
  <c r="AZ61" i="2" s="1"/>
  <c r="AY61" i="2"/>
  <c r="BM61" i="2"/>
  <c r="BN61" i="2"/>
  <c r="BO61" i="2"/>
  <c r="AX62" i="2"/>
  <c r="AZ62" i="2" s="1"/>
  <c r="AY62" i="2"/>
  <c r="BM62" i="2"/>
  <c r="BN62" i="2"/>
  <c r="BO62" i="2"/>
  <c r="P63" i="2"/>
  <c r="BP63" i="2"/>
  <c r="BR63" i="2"/>
  <c r="BS63" i="2"/>
  <c r="BX63" i="2"/>
  <c r="AU64" i="2"/>
  <c r="BM64" i="2"/>
  <c r="BN64" i="2"/>
  <c r="BO64" i="2"/>
  <c r="CA64" i="2"/>
  <c r="CB64" i="2"/>
  <c r="CC64" i="2"/>
  <c r="CD64" i="2"/>
  <c r="P105" i="2"/>
  <c r="Y105" i="2"/>
  <c r="Z105" i="2"/>
  <c r="AC105" i="2"/>
  <c r="AF105" i="2"/>
  <c r="AG105" i="2"/>
  <c r="AH105" i="2"/>
  <c r="AI105" i="2"/>
  <c r="AJ105" i="2"/>
  <c r="AK105" i="2"/>
  <c r="AZ105" i="2"/>
  <c r="BU105" i="2"/>
  <c r="BV105" i="2" s="1"/>
  <c r="O65" i="2"/>
  <c r="P65" i="2" s="1"/>
  <c r="AZ65" i="2"/>
  <c r="BM65" i="2"/>
  <c r="BN65" i="2"/>
  <c r="BO65" i="2"/>
  <c r="BP65" i="2"/>
  <c r="BR65" i="2"/>
  <c r="BS65" i="2"/>
  <c r="BU65" i="2"/>
  <c r="O66" i="2"/>
  <c r="P66" i="2" s="1"/>
  <c r="AZ66" i="2"/>
  <c r="BM66" i="2"/>
  <c r="BN66" i="2"/>
  <c r="BO66" i="2"/>
  <c r="BP66" i="2"/>
  <c r="BR66" i="2"/>
  <c r="BS66" i="2"/>
  <c r="BU66" i="2"/>
  <c r="O67" i="2"/>
  <c r="P67" i="2" s="1"/>
  <c r="BM67" i="2"/>
  <c r="BN67" i="2"/>
  <c r="BO67" i="2"/>
  <c r="BP67" i="2"/>
  <c r="BR67" i="2"/>
  <c r="BS67" i="2"/>
  <c r="BU67" i="2"/>
  <c r="CA67" i="2"/>
  <c r="CB67" i="2"/>
  <c r="CC67" i="2"/>
  <c r="CE67" i="2"/>
  <c r="CF67" i="2"/>
  <c r="CG67" i="2"/>
  <c r="CI67" i="2"/>
  <c r="X68" i="2"/>
  <c r="Y68" i="2"/>
  <c r="Z68" i="2"/>
  <c r="AC68" i="2"/>
  <c r="AE68" i="2"/>
  <c r="AF68" i="2"/>
  <c r="AG68" i="2"/>
  <c r="AH68" i="2"/>
  <c r="AI68" i="2"/>
  <c r="AJ68" i="2"/>
  <c r="AK68" i="2"/>
  <c r="AZ68" i="2"/>
  <c r="BM68" i="2"/>
  <c r="BN68" i="2"/>
  <c r="BO68" i="2"/>
  <c r="P69" i="2"/>
  <c r="AZ69" i="2"/>
  <c r="BM69" i="2"/>
  <c r="BN69" i="2"/>
  <c r="BO69" i="2"/>
  <c r="BR69" i="2"/>
  <c r="BS69" i="2"/>
  <c r="BT69" i="2"/>
  <c r="CA69" i="2"/>
  <c r="CB69" i="2"/>
  <c r="CC69" i="2"/>
  <c r="P70" i="2"/>
  <c r="AZ70" i="2"/>
  <c r="BM70" i="2"/>
  <c r="BN70" i="2"/>
  <c r="BO70" i="2"/>
  <c r="BR70" i="2"/>
  <c r="BS70" i="2"/>
  <c r="BT70" i="2"/>
  <c r="CA70" i="2"/>
  <c r="CB70" i="2"/>
  <c r="CC70" i="2"/>
  <c r="P71" i="2"/>
  <c r="AZ71" i="2"/>
  <c r="BM71" i="2"/>
  <c r="BN71" i="2"/>
  <c r="BO71" i="2"/>
  <c r="BR71" i="2"/>
  <c r="BS71" i="2"/>
  <c r="BT71" i="2"/>
  <c r="CA71" i="2"/>
  <c r="CB71" i="2"/>
  <c r="CC71" i="2"/>
  <c r="O72" i="2"/>
  <c r="P72" i="2" s="1"/>
  <c r="Q72" i="2"/>
  <c r="S72" i="2"/>
  <c r="AZ72" i="2"/>
  <c r="BM72" i="2"/>
  <c r="BN72" i="2"/>
  <c r="BO72" i="2"/>
  <c r="X73" i="2"/>
  <c r="Y73" i="2"/>
  <c r="Z73" i="2"/>
  <c r="AC73" i="2"/>
  <c r="AE73" i="2"/>
  <c r="AF73" i="2"/>
  <c r="AG73" i="2"/>
  <c r="AH73" i="2"/>
  <c r="AI73" i="2"/>
  <c r="AJ73" i="2"/>
  <c r="AK73" i="2"/>
  <c r="AZ73" i="2"/>
  <c r="BM73" i="2"/>
  <c r="BN73" i="2"/>
  <c r="BO73" i="2"/>
  <c r="BU73" i="2"/>
  <c r="CE74" i="2"/>
  <c r="AZ75" i="2"/>
  <c r="CE75" i="2"/>
  <c r="CE73" i="2" s="1"/>
  <c r="AZ76" i="2"/>
  <c r="CE76" i="2"/>
  <c r="O77" i="2"/>
  <c r="P77" i="2" s="1"/>
  <c r="Q77" i="2"/>
  <c r="S77" i="2"/>
  <c r="AZ77" i="2"/>
  <c r="BM77" i="2"/>
  <c r="BN77" i="2"/>
  <c r="BO77" i="2"/>
  <c r="O78" i="2"/>
  <c r="P78" i="2" s="1"/>
  <c r="Q78" i="2"/>
  <c r="S78" i="2"/>
  <c r="AZ78" i="2"/>
  <c r="BM78" i="2"/>
  <c r="BN78" i="2"/>
  <c r="BO78" i="2"/>
  <c r="P79" i="2"/>
  <c r="AZ79" i="2"/>
  <c r="BM79" i="2"/>
  <c r="BN79" i="2"/>
  <c r="BO79" i="2"/>
  <c r="BR79" i="2"/>
  <c r="BS79" i="2"/>
  <c r="BT79" i="2"/>
  <c r="CA79" i="2"/>
  <c r="CB79" i="2"/>
  <c r="CC79" i="2"/>
  <c r="P80" i="2"/>
  <c r="AZ80" i="2"/>
  <c r="BM80" i="2"/>
  <c r="BN80" i="2"/>
  <c r="BO80" i="2"/>
  <c r="BR80" i="2"/>
  <c r="BS80" i="2"/>
  <c r="BT80" i="2"/>
  <c r="CA80" i="2"/>
  <c r="CB80" i="2"/>
  <c r="CC80" i="2"/>
  <c r="P81" i="2"/>
  <c r="AZ81" i="2"/>
  <c r="P82" i="2"/>
  <c r="AZ82" i="2"/>
  <c r="CE82" i="2"/>
  <c r="P83" i="2"/>
  <c r="BL83" i="2"/>
  <c r="BP83" i="2"/>
  <c r="CE83" i="2"/>
  <c r="CI83" i="2"/>
  <c r="P84" i="2"/>
  <c r="BL84" i="2"/>
  <c r="BP84" i="2"/>
  <c r="BU84" i="2"/>
  <c r="CE84" i="2"/>
  <c r="CI84" i="2"/>
  <c r="BV20" i="2" l="1"/>
  <c r="BV19" i="2"/>
  <c r="BQ84" i="2"/>
  <c r="CA61" i="2"/>
  <c r="CE9" i="2"/>
  <c r="AZ107" i="2"/>
  <c r="AZ52" i="2"/>
  <c r="AZ40" i="2"/>
  <c r="AZ108" i="2"/>
  <c r="BP33" i="2"/>
  <c r="CE45" i="2"/>
  <c r="BP44" i="2"/>
  <c r="CE43" i="2"/>
  <c r="BV37" i="2"/>
  <c r="BZ37" i="2" s="1"/>
  <c r="CJ84" i="2"/>
  <c r="CM84" i="2" s="1"/>
  <c r="BU69" i="2"/>
  <c r="BU58" i="2"/>
  <c r="BP57" i="2"/>
  <c r="BU33" i="2"/>
  <c r="BQ18" i="2"/>
  <c r="BQ17" i="2"/>
  <c r="BU11" i="2"/>
  <c r="BU9" i="2"/>
  <c r="CJ83" i="2"/>
  <c r="CM83" i="2" s="1"/>
  <c r="CE64" i="2"/>
  <c r="BU63" i="2"/>
  <c r="BQ63" i="2" s="1"/>
  <c r="CB62" i="2"/>
  <c r="CC61" i="2"/>
  <c r="CD52" i="2"/>
  <c r="BV39" i="2"/>
  <c r="BZ39" i="2" s="1"/>
  <c r="AZ25" i="2"/>
  <c r="BP78" i="2"/>
  <c r="BU70" i="2"/>
  <c r="BP69" i="2"/>
  <c r="BP62" i="2"/>
  <c r="BU34" i="2"/>
  <c r="BP32" i="2"/>
  <c r="BP10" i="2"/>
  <c r="BQ10" i="2" s="1"/>
  <c r="BU7" i="2"/>
  <c r="CE79" i="2"/>
  <c r="BP70" i="2"/>
  <c r="BQ70" i="2" s="1"/>
  <c r="CA62" i="2"/>
  <c r="CE6" i="2"/>
  <c r="BP4" i="2"/>
  <c r="BQ4" i="2" s="1"/>
  <c r="BU71" i="2"/>
  <c r="CE80" i="2"/>
  <c r="BP73" i="2"/>
  <c r="BV73" i="2" s="1"/>
  <c r="BZ73" i="2" s="1"/>
  <c r="BP71" i="2"/>
  <c r="CJ67" i="2"/>
  <c r="BP52" i="2"/>
  <c r="BV38" i="2"/>
  <c r="BZ38" i="2" s="1"/>
  <c r="BP11" i="2"/>
  <c r="CI9" i="2"/>
  <c r="CJ9" i="2" s="1"/>
  <c r="BP7" i="2"/>
  <c r="BV6" i="2"/>
  <c r="CJ15" i="2"/>
  <c r="CM15" i="2" s="1"/>
  <c r="BU8" i="2"/>
  <c r="BU80" i="2"/>
  <c r="BQ65" i="2"/>
  <c r="BP60" i="2"/>
  <c r="BP53" i="2"/>
  <c r="BU32" i="2"/>
  <c r="BP31" i="2"/>
  <c r="BP30" i="2"/>
  <c r="BU5" i="2"/>
  <c r="CE71" i="2"/>
  <c r="CE70" i="2"/>
  <c r="CE69" i="2"/>
  <c r="BP68" i="2"/>
  <c r="BP61" i="2"/>
  <c r="CE58" i="2"/>
  <c r="CJ58" i="2" s="1"/>
  <c r="CM58" i="2" s="1"/>
  <c r="BP56" i="2"/>
  <c r="CE52" i="2"/>
  <c r="BP45" i="2"/>
  <c r="CE44" i="2"/>
  <c r="BP43" i="2"/>
  <c r="BQ38" i="2"/>
  <c r="BU36" i="2"/>
  <c r="BQ36" i="2" s="1"/>
  <c r="BP34" i="2"/>
  <c r="BU31" i="2"/>
  <c r="BQ20" i="2"/>
  <c r="BV18" i="2"/>
  <c r="BP8" i="2"/>
  <c r="BU79" i="2"/>
  <c r="BP77" i="2"/>
  <c r="BP80" i="2"/>
  <c r="BP79" i="2"/>
  <c r="BP72" i="2"/>
  <c r="BQ67" i="2"/>
  <c r="BQ66" i="2"/>
  <c r="BP64" i="2"/>
  <c r="BP59" i="2"/>
  <c r="CI52" i="2"/>
  <c r="BQ39" i="2"/>
  <c r="BQ37" i="2"/>
  <c r="BU30" i="2"/>
  <c r="BV17" i="2"/>
  <c r="BP9" i="2"/>
  <c r="BP5" i="2"/>
  <c r="BV84" i="2"/>
  <c r="BZ84" i="2" s="1"/>
  <c r="BV66" i="2"/>
  <c r="BQ105" i="2"/>
  <c r="CC62" i="2"/>
  <c r="CB61" i="2"/>
  <c r="AY35" i="2"/>
  <c r="BQ19" i="2"/>
  <c r="BQ6" i="2"/>
  <c r="BV67" i="2"/>
  <c r="BV65" i="2"/>
  <c r="BP58" i="2"/>
  <c r="BQ33" i="2" l="1"/>
  <c r="BQ80" i="2"/>
  <c r="BQ8" i="2"/>
  <c r="BQ79" i="2"/>
  <c r="BQ34" i="2"/>
  <c r="BQ9" i="2"/>
  <c r="BV69" i="2"/>
  <c r="BV7" i="2"/>
  <c r="BZ7" i="2" s="1"/>
  <c r="BV63" i="2"/>
  <c r="BZ63" i="2" s="1"/>
  <c r="BQ73" i="2"/>
  <c r="BV4" i="2"/>
  <c r="BZ4" i="2" s="1"/>
  <c r="BQ5" i="2"/>
  <c r="BV33" i="2"/>
  <c r="BV5" i="2"/>
  <c r="BZ5" i="2" s="1"/>
  <c r="BQ71" i="2"/>
  <c r="BV32" i="2"/>
  <c r="BV80" i="2"/>
  <c r="BQ58" i="2"/>
  <c r="CE61" i="2"/>
  <c r="BQ32" i="2"/>
  <c r="BV34" i="2"/>
  <c r="BV11" i="2"/>
  <c r="BV71" i="2"/>
  <c r="BQ30" i="2"/>
  <c r="BQ11" i="2"/>
  <c r="BQ69" i="2"/>
  <c r="BV10" i="2"/>
  <c r="BV36" i="2"/>
  <c r="CE62" i="2"/>
  <c r="BV70" i="2"/>
  <c r="BV79" i="2"/>
  <c r="BV31" i="2"/>
  <c r="BV9" i="2"/>
  <c r="BV8" i="2"/>
  <c r="BV30" i="2"/>
  <c r="BQ7" i="2"/>
  <c r="CJ52" i="2"/>
  <c r="BV58" i="2"/>
  <c r="BZ58" i="2" s="1"/>
</calcChain>
</file>

<file path=xl/sharedStrings.xml><?xml version="1.0" encoding="utf-8"?>
<sst xmlns="http://schemas.openxmlformats.org/spreadsheetml/2006/main" count="1123" uniqueCount="574">
  <si>
    <t xml:space="preserve">3 Average or range reported unless otherwise stated </t>
    <phoneticPr fontId="1" type="noConversion"/>
  </si>
  <si>
    <t>V</t>
    <phoneticPr fontId="1" type="noConversion"/>
  </si>
  <si>
    <t>https://esj-journals.onlinelibrary.wiley.com/doi/full/10.1007/s11284-017-1497-5</t>
  </si>
  <si>
    <t>available</t>
    <phoneticPr fontId="1" type="noConversion"/>
  </si>
  <si>
    <t>Lin et al. (2017)</t>
    <phoneticPr fontId="1" type="noConversion"/>
  </si>
  <si>
    <t>TW-NTC-STNEA-UM</t>
    <phoneticPr fontId="1" type="noConversion"/>
  </si>
  <si>
    <t>Phyllostachys pubescens unmanaged between 2012-2015 (managed before 2012)</t>
    <phoneticPr fontId="1" type="noConversion"/>
  </si>
  <si>
    <t>SM</t>
  </si>
  <si>
    <t>Sitou Nature Education Area, Nantou County</t>
  </si>
  <si>
    <t>Taiwan</t>
  </si>
  <si>
    <t>Lin et al. (2017)</t>
    <phoneticPr fontId="1" type="noConversion"/>
  </si>
  <si>
    <t>TW-NTC-STNEA-M</t>
    <phoneticPr fontId="1" type="noConversion"/>
  </si>
  <si>
    <t>Phyllostachys pubescens managed before 2012</t>
    <phoneticPr fontId="1" type="noConversion"/>
  </si>
  <si>
    <t>https://www.researchgate.net/publication/306133854_The_trend_of_growth_characteristics_of_moso_bamboo_Phyllostachys_pubescens_forests_under_an_unmanaged_condition_in_central_Taiwan</t>
    <phoneticPr fontId="1" type="noConversion"/>
  </si>
  <si>
    <t>Chen et al. (2016)</t>
    <phoneticPr fontId="1" type="noConversion"/>
  </si>
  <si>
    <t>TW-NTC-SJL-UM</t>
    <phoneticPr fontId="1" type="noConversion"/>
  </si>
  <si>
    <t>SCf</t>
  </si>
  <si>
    <t>available</t>
    <phoneticPr fontId="1" type="noConversion"/>
  </si>
  <si>
    <t>TW-NTC-SJL-M</t>
    <phoneticPr fontId="1" type="noConversion"/>
  </si>
  <si>
    <t>http://www.airitilibrary.com/Publication/alDetailedMesh?docid=05781345-201406-201503020016-201503020016-181-192</t>
    <phoneticPr fontId="1" type="noConversion"/>
  </si>
  <si>
    <t>Chen et al. (2011)</t>
    <phoneticPr fontId="1" type="noConversion"/>
  </si>
  <si>
    <t>TW-NTC-SC</t>
    <phoneticPr fontId="1" type="noConversion"/>
  </si>
  <si>
    <t>Feng Huan mountain, Nantou County</t>
  </si>
  <si>
    <t>http://www.airitilibrary.com/Publication/alDetailedMesh?docid=05781345-201406-201503020016-201503020016-181-192</t>
    <phoneticPr fontId="1" type="noConversion"/>
  </si>
  <si>
    <t>TW-NTC-OF</t>
    <phoneticPr fontId="1" type="noConversion"/>
  </si>
  <si>
    <t>https://www.sciencedirect.com/science/article/pii/S0378112710007188</t>
  </si>
  <si>
    <t>Yen and Lee (2011)</t>
  </si>
  <si>
    <t>Yen and Lee (2011)</t>
    <phoneticPr fontId="1" type="noConversion"/>
  </si>
  <si>
    <t>TW-NTC-LA</t>
    <phoneticPr fontId="1" type="noConversion"/>
  </si>
  <si>
    <t>Daan, (600-900m) lower altitude of central Taiwan, Nantou County</t>
    <phoneticPr fontId="1" type="noConversion"/>
  </si>
  <si>
    <t>V</t>
    <phoneticPr fontId="1" type="noConversion"/>
  </si>
  <si>
    <t>http://ir.lib.nchu.edu.tw/bitstream/11455/74254/1/143838-3.pdf</t>
  </si>
  <si>
    <t>Wang et al. (2010)</t>
    <phoneticPr fontId="1" type="noConversion"/>
  </si>
  <si>
    <t>TW-NTC-HEFS-SC</t>
    <phoneticPr fontId="1" type="noConversion"/>
  </si>
  <si>
    <t>Huisun Experimental Forest Station, Nantou County</t>
    <phoneticPr fontId="1" type="noConversion"/>
  </si>
  <si>
    <t>TW-NTC-HEFS-CT</t>
    <phoneticPr fontId="1" type="noConversion"/>
  </si>
  <si>
    <t>Huisun Experimental Forest Station, Nantou County</t>
    <phoneticPr fontId="1" type="noConversion"/>
  </si>
  <si>
    <t>TW-NTC-HEFS-09-UM</t>
    <phoneticPr fontId="1" type="noConversion"/>
  </si>
  <si>
    <t>https://www.researchgate.net/publication/333507633_The_Structures_Aboveground_Biomass_Carbon_Storage_of_Phyllostachys_pubescens_Stand_in_Huisun_Experimental_Forest_Station_and_Shi-Zhuo</t>
    <phoneticPr fontId="1" type="noConversion"/>
  </si>
  <si>
    <t>TW-NTC-HEFS-07-UM</t>
    <phoneticPr fontId="1" type="noConversion"/>
  </si>
  <si>
    <t>TW-NTC-HA</t>
    <phoneticPr fontId="1" type="noConversion"/>
  </si>
  <si>
    <t>Chen et al. 2011</t>
    <phoneticPr fontId="1" type="noConversion"/>
  </si>
  <si>
    <t>TW-NTC-FHMNW-UM</t>
    <phoneticPr fontId="1" type="noConversion"/>
  </si>
  <si>
    <t>TW-NTC-FHMC-UM</t>
    <phoneticPr fontId="1" type="noConversion"/>
  </si>
  <si>
    <t>TW-NTC-BLM</t>
    <phoneticPr fontId="1" type="noConversion"/>
  </si>
  <si>
    <t>TW-CYC-MAL-SZ-UM</t>
    <phoneticPr fontId="1" type="noConversion"/>
  </si>
  <si>
    <t>SM</t>
    <phoneticPr fontId="1" type="noConversion"/>
  </si>
  <si>
    <t>Shi-Zhuo, Mountain Ali</t>
    <phoneticPr fontId="1" type="noConversion"/>
  </si>
  <si>
    <t>http://kiss.kstudy.com/thesis/thesis-view.asp?key=74524</t>
  </si>
  <si>
    <t>Park and Ryu (1996)</t>
    <phoneticPr fontId="1" type="noConversion"/>
  </si>
  <si>
    <t>KR-SC-UM</t>
    <phoneticPr fontId="1" type="noConversion"/>
  </si>
  <si>
    <t>Unmanaged</t>
    <phoneticPr fontId="1" type="noConversion"/>
  </si>
  <si>
    <t>TeDc</t>
    <phoneticPr fontId="1" type="noConversion"/>
  </si>
  <si>
    <t>Suncheon</t>
    <phoneticPr fontId="1" type="noConversion"/>
  </si>
  <si>
    <t>Korea</t>
    <phoneticPr fontId="1" type="noConversion"/>
  </si>
  <si>
    <t>http://kiss.kstudy.com/thesis/thesis-view.asp?key=3042038</t>
    <phoneticPr fontId="1" type="noConversion"/>
  </si>
  <si>
    <t>Lee et al. (2012)</t>
    <phoneticPr fontId="1" type="noConversion"/>
  </si>
  <si>
    <t>KR-JU-UM</t>
    <phoneticPr fontId="1" type="noConversion"/>
  </si>
  <si>
    <t>Gajwa National Experimental Forest, Forest Biomaterials Research Center, Jinju</t>
    <phoneticPr fontId="1" type="noConversion"/>
  </si>
  <si>
    <t>http://kiss.kstudy.com/thesis/thesis-view.asp?key=2459514</t>
    <phoneticPr fontId="1" type="noConversion"/>
  </si>
  <si>
    <t>Hwang et al. (2005)</t>
    <phoneticPr fontId="1" type="noConversion"/>
  </si>
  <si>
    <t>KR-JU-M</t>
    <phoneticPr fontId="1" type="noConversion"/>
  </si>
  <si>
    <t>Managed</t>
    <phoneticPr fontId="1" type="noConversion"/>
  </si>
  <si>
    <t>TeDc</t>
    <phoneticPr fontId="1" type="noConversion"/>
  </si>
  <si>
    <t>https://www.tandfonline.com/doi/full/10.1080/00380768.2014.942794,  https://www.jstage.jst.go.jp/article/jjfe/57/1/57_KJ00009983906/_pdf/-char/ja</t>
  </si>
  <si>
    <t>Ikegami et al. (2014); Ikegami et al.(2015)</t>
    <phoneticPr fontId="1" type="noConversion"/>
  </si>
  <si>
    <t>JP-SNP-MEC-Ab-UM</t>
    <phoneticPr fontId="1" type="noConversion"/>
  </si>
  <si>
    <t>Abandoned moso bamboo forests (Phyllostachys pubescens) in Matsue city, plot Ab</t>
    <phoneticPr fontId="1" type="noConversion"/>
  </si>
  <si>
    <t>TeDo</t>
  </si>
  <si>
    <t>Shimane Prefecture, Japan</t>
    <phoneticPr fontId="1" type="noConversion"/>
  </si>
  <si>
    <t>Japan</t>
    <phoneticPr fontId="1" type="noConversion"/>
  </si>
  <si>
    <t>https://esj-journals.onlinelibrary.wiley.com/doi/full/10.1111/1442-1984.12066</t>
  </si>
  <si>
    <t>Fukushima et al. (2015)</t>
    <phoneticPr fontId="1" type="noConversion"/>
  </si>
  <si>
    <t>JP-OSP-MTO-UMP-fs06</t>
    <phoneticPr fontId="1" type="noConversion"/>
  </si>
  <si>
    <t>Unmanaged Phyllostachys pubescens Mazel ex Houzeau forest in Mt Tennou (pure bamboo forest)</t>
    <phoneticPr fontId="1" type="noConversion"/>
  </si>
  <si>
    <t>Osaka Prefecture, Japan</t>
  </si>
  <si>
    <t>Japan</t>
  </si>
  <si>
    <t>https://www.jstage.jst.go.jp/article/jjsrt/35/1/35_1_57/_article/-char/ja</t>
    <phoneticPr fontId="1" type="noConversion"/>
  </si>
  <si>
    <t>Abe and Shibata (2009)</t>
  </si>
  <si>
    <t>JP-OSP-MTO-UM-abe08</t>
    <phoneticPr fontId="1" type="noConversion"/>
  </si>
  <si>
    <t>Unmanaged Phyllostachys pubescens Mazel ex Houzeau forest in Mt Tennou in 2008</t>
    <phoneticPr fontId="1" type="noConversion"/>
  </si>
  <si>
    <t>https://www.jstage.jst.go.jp/article/jjsrt/35/1/35_1_57/_article/-char/ja</t>
    <phoneticPr fontId="1" type="noConversion"/>
  </si>
  <si>
    <t>JP-OSP-MTO-UM-abe07</t>
    <phoneticPr fontId="1" type="noConversion"/>
  </si>
  <si>
    <t>Unmanaged Phyllostachys pubescens Mazel ex Houzeau forest in Mt Tennou in 2007</t>
    <phoneticPr fontId="1" type="noConversion"/>
  </si>
  <si>
    <t>JP-OSP-MTO-UM-abe06</t>
    <phoneticPr fontId="1" type="noConversion"/>
  </si>
  <si>
    <t>Unmanaged Phyllostachys pubescens Mazel ex Houzeau forest in Mt Tennou in 2006</t>
    <phoneticPr fontId="1" type="noConversion"/>
  </si>
  <si>
    <t>Abe and Shibata (2009)</t>
    <phoneticPr fontId="1" type="noConversion"/>
  </si>
  <si>
    <t>JP-OSP-MTO-UM-abe05</t>
    <phoneticPr fontId="1" type="noConversion"/>
  </si>
  <si>
    <t>Unmanaged Phyllostachys pubescens Mazel ex Houzeau forest in Mt Tennou in 2005</t>
    <phoneticPr fontId="1" type="noConversion"/>
  </si>
  <si>
    <t>https://link.springer.com/article/10.1023/A:1009711814070</t>
  </si>
  <si>
    <t>Isagi et al. (1997)</t>
    <phoneticPr fontId="1" type="noConversion"/>
  </si>
  <si>
    <t>JP-KTP-UM91</t>
    <phoneticPr fontId="1" type="noConversion"/>
  </si>
  <si>
    <t>Unmanaged Phyllostachys pubescens stand in the experimental forest of FFPRI Kansai, Kyoto city</t>
    <phoneticPr fontId="1" type="noConversion"/>
  </si>
  <si>
    <t>TeDo</t>
    <phoneticPr fontId="1" type="noConversion"/>
  </si>
  <si>
    <t>Kyoto Prefecture, Japan</t>
    <phoneticPr fontId="1" type="noConversion"/>
  </si>
  <si>
    <t>http://web.kyoto-inet.or.jp/people/j-bamboo/bj-5.html</t>
  </si>
  <si>
    <t>Kawahara et al. (1987)</t>
  </si>
  <si>
    <t>JP-KTP-UM89</t>
    <phoneticPr fontId="1" type="noConversion"/>
  </si>
  <si>
    <t>Unmanaged moso bamboo stands (controls) in the experimental forest of FFPRI Kansai, Kyoto city</t>
    <phoneticPr fontId="1" type="noConversion"/>
  </si>
  <si>
    <t>Kyoto Prefecture, Japan</t>
  </si>
  <si>
    <t>JP-KTP-UM84</t>
    <phoneticPr fontId="1" type="noConversion"/>
  </si>
  <si>
    <t>Unmanaged moso bamboo stands (original condition) in the experimental forest of FFPRI Kansai, Kyoto city</t>
    <phoneticPr fontId="1" type="noConversion"/>
  </si>
  <si>
    <t>http://web.kyoto-inet.or.jp/people/j-bamboo/bj-3.html</t>
  </si>
  <si>
    <t>Watanabe (1985)</t>
  </si>
  <si>
    <t>JP-KTP-NY-UM</t>
    <phoneticPr fontId="1" type="noConversion"/>
  </si>
  <si>
    <t>JP-KTP-MO-UM</t>
    <phoneticPr fontId="1" type="noConversion"/>
  </si>
  <si>
    <t>5 unmanaged Phyllostachys pubescens stands] in Matsuo, Kyoto city</t>
    <phoneticPr fontId="1" type="noConversion"/>
  </si>
  <si>
    <t>Kawahara et al. (1987)</t>
    <phoneticPr fontId="1" type="noConversion"/>
  </si>
  <si>
    <t>JP-KTP-M89</t>
    <phoneticPr fontId="1" type="noConversion"/>
  </si>
  <si>
    <t>Managed moso bamboo stands with selective cutting in the experimental forest of FFPRI Kansai, Kyoto city</t>
    <phoneticPr fontId="1" type="noConversion"/>
  </si>
  <si>
    <t>It is a precious data evenough it seems have not been peer-reviewed. But the auther discribed the process detailed enough compared with other peer-reviewed articles (Literature is in the Kyoto University Library)</t>
    <phoneticPr fontId="1" type="noConversion"/>
  </si>
  <si>
    <t>Suzuki (1976)</t>
    <phoneticPr fontId="1" type="noConversion"/>
  </si>
  <si>
    <t>JP-KTP-M71</t>
    <phoneticPr fontId="1" type="noConversion"/>
  </si>
  <si>
    <t>3 managed moso bamboo stands in the experimental forest of FFPRI Kansai, Kyoto city</t>
  </si>
  <si>
    <t>V</t>
  </si>
  <si>
    <t>This study (2021)</t>
    <phoneticPr fontId="1" type="noConversion"/>
  </si>
  <si>
    <t>JP-KTP-M2019</t>
  </si>
  <si>
    <t>Rough managed moso bamboo stands in the experimental forest of FFPRI Kansai, Kyoto city</t>
  </si>
  <si>
    <t>TeDo</t>
    <phoneticPr fontId="1" type="noConversion"/>
  </si>
  <si>
    <t>http://web.kyoto-inet.or.jp/people/j-bamboo/bj-27.html</t>
  </si>
  <si>
    <t>Fujii and Nakagawa (2010)</t>
    <phoneticPr fontId="1" type="noConversion"/>
  </si>
  <si>
    <t>JP-KTP-KOC-UM</t>
    <phoneticPr fontId="1" type="noConversion"/>
  </si>
  <si>
    <t>Unmanaged Moso bamboo forests in Kyoto Gakuen University, Sogabe-cho, Kameoka city</t>
    <phoneticPr fontId="1" type="noConversion"/>
  </si>
  <si>
    <t>Watanabe (1985)</t>
    <phoneticPr fontId="1" type="noConversion"/>
  </si>
  <si>
    <t>JP-KTP-GR-UM</t>
    <phoneticPr fontId="1" type="noConversion"/>
  </si>
  <si>
    <t>3 unmanaged Phyllostachys pubescens stands in Goryo, Kyoto city</t>
  </si>
  <si>
    <t>Kawahara et al. (1987)</t>
    <phoneticPr fontId="1" type="noConversion"/>
  </si>
  <si>
    <t>JP-KTP-CT89</t>
    <phoneticPr fontId="1" type="noConversion"/>
  </si>
  <si>
    <t>Managed moso bamboo stands with clear cutting in the experimental forest of FFPRI Kansai, Kyoto city</t>
    <phoneticPr fontId="1" type="noConversion"/>
  </si>
  <si>
    <t>https://catalog.lib.kyushu-u.ac.jp/opac_detail_md/?lang=0&amp;amode=MD100000&amp;bibid=1913975</t>
    <phoneticPr fontId="1" type="noConversion"/>
  </si>
  <si>
    <t>Katayama et al. (2018)</t>
    <phoneticPr fontId="1" type="noConversion"/>
  </si>
  <si>
    <t>JP-KRF-UM</t>
    <phoneticPr fontId="1" type="noConversion"/>
  </si>
  <si>
    <t>Unmanaged Phyllostachys pubescens forest (control)</t>
    <phoneticPr fontId="1" type="noConversion"/>
  </si>
  <si>
    <t>SCf</t>
    <phoneticPr fontId="1" type="noConversion"/>
  </si>
  <si>
    <t>Kasuya Research forest, Fukuoka Prefecture, Japan</t>
  </si>
  <si>
    <t>https://catalog.lib.kyushu-u.ac.jp/opac_detail_md/?lang=0&amp;amode=MD100000&amp;bibid=1913975</t>
  </si>
  <si>
    <t>Katayama et al. (2018)</t>
    <phoneticPr fontId="1" type="noConversion"/>
  </si>
  <si>
    <t>JP-KRF</t>
    <phoneticPr fontId="1" type="noConversion"/>
  </si>
  <si>
    <t>Managed Phyllostachys pubescens forest (bamboo shoot harvested forest)</t>
    <phoneticPr fontId="1" type="noConversion"/>
  </si>
  <si>
    <t>SCf</t>
    <phoneticPr fontId="1" type="noConversion"/>
  </si>
  <si>
    <t>https://ir.kagoshima-u.ac.jp/?action=pages_view_main&amp;active_action=repository_view_main_item_detail&amp;item_id=12611&amp;item_no=1&amp;page_id=13&amp;block_id=21</t>
  </si>
  <si>
    <t>Kumemura et al. (2009); Murakami et al. (2006)</t>
    <phoneticPr fontId="1" type="noConversion"/>
  </si>
  <si>
    <t>JP-KGSMP-KTMC-UM</t>
    <phoneticPr fontId="1" type="noConversion"/>
  </si>
  <si>
    <t>3 unmanaged Moso bamboo (Phyllostachys pubescens) forests in Satsuma cho (P1, P2, P5) (5</t>
  </si>
  <si>
    <t>Kagoshima Prefecture, Japan</t>
  </si>
  <si>
    <t>Kumemura et al. (2009); Murakami et al. (2006)</t>
    <phoneticPr fontId="1" type="noConversion"/>
  </si>
  <si>
    <t>JP-KGSMP-CRC-UM</t>
    <phoneticPr fontId="1" type="noConversion"/>
  </si>
  <si>
    <t>1 unmanaged Moso bamboo (Phyllostachys pubescens) forest in Minami-kyusyu city (P4) (5</t>
  </si>
  <si>
    <t>JP-KGSMP-AIRC-UM</t>
    <phoneticPr fontId="1" type="noConversion"/>
  </si>
  <si>
    <t>2 unmanaged Moso bamboo (Phyllostachys pubescens) forest in Aira cho (P3, P6) (5</t>
  </si>
  <si>
    <t>Kagoshima Prefecture, Japan</t>
    <phoneticPr fontId="1" type="noConversion"/>
  </si>
  <si>
    <t>https://www.jstage.jst.go.jp/article/jjsk/58/0/58_KJ00006203544/_article/-char/ja/</t>
  </si>
  <si>
    <t>Kobayashi and Tada (2010); a part of unpublished data of Kobayashi and Tada (2020)</t>
    <phoneticPr fontId="1" type="noConversion"/>
  </si>
  <si>
    <t>JP-KGP-TMC-UMIF</t>
    <phoneticPr fontId="1" type="noConversion"/>
  </si>
  <si>
    <t>5 unmanaged Moso bamboo (Phyllostachys pubescens) invading to forests in Takanmatsu city</t>
  </si>
  <si>
    <t>Kagawa Prefecture, Japan</t>
    <phoneticPr fontId="1" type="noConversion"/>
  </si>
  <si>
    <t>https://www.jstage.jst.go.jp/article/jjsk/58/0/58_KJ00006203544/_article/-char/ja/</t>
    <phoneticPr fontId="1" type="noConversion"/>
  </si>
  <si>
    <t>Kobayashi and Tada (2010); a part of unpublished data of Kobayashi and Tada (2020)</t>
    <phoneticPr fontId="1" type="noConversion"/>
  </si>
  <si>
    <t>JP-KGP-TMC-UM</t>
    <phoneticPr fontId="1" type="noConversion"/>
  </si>
  <si>
    <t>Unmanaged Moso bamboo (Phyllostachys pubescens) in Takanmatsu city</t>
    <phoneticPr fontId="1" type="noConversion"/>
  </si>
  <si>
    <t>Kagawa Prefecture, Japan</t>
  </si>
  <si>
    <t>https://www.jstage.jst.go.jp/article/jjfs/100/4/100_124/_article/-char/ja</t>
    <phoneticPr fontId="1" type="noConversion"/>
  </si>
  <si>
    <t>Itou et al. (2018)</t>
    <phoneticPr fontId="1" type="noConversion"/>
  </si>
  <si>
    <t>JP-KCP-UM</t>
    <phoneticPr fontId="1" type="noConversion"/>
  </si>
  <si>
    <t>Unmanaged Moso bamboo forests (0.43ha) in Kouchi city</t>
    <phoneticPr fontId="1" type="noConversion"/>
  </si>
  <si>
    <t>Kochi Prefecture, Japan</t>
    <phoneticPr fontId="1" type="noConversion"/>
  </si>
  <si>
    <t>https://www.jstage.jst.go.jp/article/jass/24/4/24_243/_article/-char/ja/</t>
    <phoneticPr fontId="1" type="noConversion"/>
  </si>
  <si>
    <t>Goto et al. (2008)</t>
    <phoneticPr fontId="1" type="noConversion"/>
  </si>
  <si>
    <t>JP-GFP-TY-UM</t>
    <phoneticPr fontId="1" type="noConversion"/>
  </si>
  <si>
    <t>Gifu Prefecture, Japan</t>
    <phoneticPr fontId="1" type="noConversion"/>
  </si>
  <si>
    <t>https://www.jstage.jst.go.jp/article/jass/24/4/24_243/_article/-char/ja/</t>
    <phoneticPr fontId="1" type="noConversion"/>
  </si>
  <si>
    <t>Goto et al. (2008)</t>
  </si>
  <si>
    <t>JP-GFP-TBK-UM</t>
    <phoneticPr fontId="1" type="noConversion"/>
  </si>
  <si>
    <t>Gifu Prefecture, Japan</t>
    <phoneticPr fontId="1" type="noConversion"/>
  </si>
  <si>
    <t>JP-GFP-TBK-M</t>
    <phoneticPr fontId="1" type="noConversion"/>
  </si>
  <si>
    <t>Managed Phyllostachys pubescens stand in Tsubakibora, Gifu city</t>
    <phoneticPr fontId="1" type="noConversion"/>
  </si>
  <si>
    <t>https://www.jstage.jst.go.jp/article/jass/21/1/21_65/_pdf/-char/ja</t>
    <phoneticPr fontId="1" type="noConversion"/>
  </si>
  <si>
    <t>Zhang et al. (2005)</t>
    <phoneticPr fontId="1" type="noConversion"/>
  </si>
  <si>
    <t>JP-GFP-FHM-UM</t>
    <phoneticPr fontId="1" type="noConversion"/>
  </si>
  <si>
    <t>Unmanaged Moso bamboo (Phyllostachys pubescens) with Hachiku bamboo (Phyllostachys nigra var. henonis) in Fujihashi mura</t>
    <phoneticPr fontId="1" type="noConversion"/>
  </si>
  <si>
    <t>https://www.jstage.jst.go.jp/article/jila/68/5/68_5_689/_article/-char/ja</t>
  </si>
  <si>
    <t>Fujii et al. (2005)</t>
    <phoneticPr fontId="1" type="noConversion"/>
  </si>
  <si>
    <t>JP-FOP-MKC-UM</t>
    <phoneticPr fontId="1" type="noConversion"/>
  </si>
  <si>
    <t>Unmanaged Phyllostachys pubescens stand in Munakata city</t>
    <phoneticPr fontId="1" type="noConversion"/>
  </si>
  <si>
    <t>Fukuoka Prefecture, Japan</t>
    <phoneticPr fontId="1" type="noConversion"/>
  </si>
  <si>
    <t>https://esj-journals.onlinelibrary.wiley.com/doi/pdf/10.1007/s11284-014-1150-5</t>
    <phoneticPr fontId="1" type="noConversion"/>
  </si>
  <si>
    <t>Umemura and Takenaka (2014); Umemura and Takenaka unpublished data</t>
    <phoneticPr fontId="1" type="noConversion"/>
  </si>
  <si>
    <t>JP-ACP-ST-UM</t>
    <phoneticPr fontId="1" type="noConversion"/>
  </si>
  <si>
    <t>Unmanaged Moso bamboo (Phyllostachys pubescens) in Seto, Seto city (nearby nagoya)</t>
    <phoneticPr fontId="1" type="noConversion"/>
  </si>
  <si>
    <t>Aichi Prefecture, Japan</t>
    <phoneticPr fontId="1" type="noConversion"/>
  </si>
  <si>
    <t>Japan</t>
    <phoneticPr fontId="1" type="noConversion"/>
  </si>
  <si>
    <t>Umemura and Takenaka (2014); Umemura and Takenaka unpublished data</t>
    <phoneticPr fontId="1" type="noConversion"/>
  </si>
  <si>
    <t>JP-ACP-NGC-UM</t>
    <phoneticPr fontId="1" type="noConversion"/>
  </si>
  <si>
    <t>Unmanaged Moso bamboo (Phyllostachys pubescens) in Noguchi, Toyota city</t>
    <phoneticPr fontId="1" type="noConversion"/>
  </si>
  <si>
    <t>JP-ACP-KPC-UM</t>
    <phoneticPr fontId="1" type="noConversion"/>
  </si>
  <si>
    <t>Unmanaged Moso bamboo (Phyllostachys pubescens) in Kanpachi, Toyota city</t>
    <phoneticPr fontId="1" type="noConversion"/>
  </si>
  <si>
    <t>http://kns.cnki.net/kcms/detail/detail.aspx?DbCode=CJFD&amp;dbname=CJFD9093&amp;filename=LYKX199305011</t>
    <phoneticPr fontId="1" type="noConversion"/>
  </si>
  <si>
    <t>Huang et al. (1993)</t>
    <phoneticPr fontId="1" type="noConversion"/>
  </si>
  <si>
    <t>CN-ZJP-MNR-MP</t>
    <phoneticPr fontId="1" type="noConversion"/>
  </si>
  <si>
    <t>Moso bamboo in managed stand with middle produciton</t>
    <phoneticPr fontId="1" type="noConversion"/>
  </si>
  <si>
    <t xml:space="preserve">Zhejiang province, Miaoshanwu Nature Reserve </t>
    <phoneticPr fontId="1" type="noConversion"/>
  </si>
  <si>
    <t>China</t>
  </si>
  <si>
    <t>CN-ZJP-MNR-HP</t>
    <phoneticPr fontId="1" type="noConversion"/>
  </si>
  <si>
    <t>Moso bamboo in managed stand with high produciton</t>
    <phoneticPr fontId="1" type="noConversion"/>
  </si>
  <si>
    <t>https://advances.sciencemag.org/content/6/12/eaaw5792</t>
  </si>
  <si>
    <t>Song et al. (2020)</t>
    <phoneticPr fontId="1" type="noConversion"/>
  </si>
  <si>
    <t>CN-ZJP-LAC-QST-MN</t>
    <phoneticPr fontId="1" type="noConversion"/>
  </si>
  <si>
    <t>3 plots for Moso bamboo midle N treatment</t>
    <phoneticPr fontId="1" type="noConversion"/>
  </si>
  <si>
    <t>Zhejiang province, Lin'an City, Qingshan Town</t>
    <phoneticPr fontId="1" type="noConversion"/>
  </si>
  <si>
    <t>https://advances.sciencemag.org/content/6/12/eaaw5791</t>
  </si>
  <si>
    <t>Song et al. (2020)</t>
    <phoneticPr fontId="1" type="noConversion"/>
  </si>
  <si>
    <t>CN-ZJP-LAC-QST-LN</t>
    <phoneticPr fontId="1" type="noConversion"/>
  </si>
  <si>
    <t>3 plots for Moso bamboo low N treatment</t>
    <phoneticPr fontId="1" type="noConversion"/>
  </si>
  <si>
    <t>Zhejiang province, Lin'an City, Qingshan Town</t>
    <phoneticPr fontId="1" type="noConversion"/>
  </si>
  <si>
    <t>https://advances.sciencemag.org/content/6/12/eaaw5793</t>
  </si>
  <si>
    <t>CN-ZJP-LAC-QST-HN</t>
    <phoneticPr fontId="1" type="noConversion"/>
  </si>
  <si>
    <t>3 plots for Moso bamboo high N treatment</t>
    <phoneticPr fontId="1" type="noConversion"/>
  </si>
  <si>
    <t>https://advances.sciencemag.org/content/6/12/eaaw5790</t>
    <phoneticPr fontId="1" type="noConversion"/>
  </si>
  <si>
    <t>CN-ZJP-LAC-QST-CON</t>
    <phoneticPr fontId="1" type="noConversion"/>
  </si>
  <si>
    <t>3 plots for Moso bamboo control</t>
    <phoneticPr fontId="1" type="noConversion"/>
  </si>
  <si>
    <t>http://zlxb.zafu.edu.cn/EN/10.11833/j.issn.2095-0756.2012.03.001#1</t>
    <phoneticPr fontId="1" type="noConversion"/>
  </si>
  <si>
    <t>Fan et al. (2012)</t>
    <phoneticPr fontId="1" type="noConversion"/>
  </si>
  <si>
    <t>CN-ZJP-LAC-BV-18P</t>
    <phoneticPr fontId="1" type="noConversion"/>
  </si>
  <si>
    <t>18 plots for Phyllostachys edulis stand.</t>
    <phoneticPr fontId="1" type="noConversion"/>
  </si>
  <si>
    <t>Zhejiang province , Lin'an city, Banqiao village</t>
    <phoneticPr fontId="1" type="noConversion"/>
  </si>
  <si>
    <t>https://link.springer.com/article/10.1007/s11368-013-0665-7</t>
  </si>
  <si>
    <t>Fu et al. (2014)</t>
  </si>
  <si>
    <t>CN-ZJP-AJC-MO</t>
    <phoneticPr fontId="1" type="noConversion"/>
  </si>
  <si>
    <t>19/73 plots for Moso bamboo (Phyllostachys pubescens) (moderate)</t>
    <phoneticPr fontId="1" type="noConversion"/>
  </si>
  <si>
    <t>Anji county, NW Zhejiang province, E China</t>
  </si>
  <si>
    <t>CN-ZJP-AJC-IN</t>
    <phoneticPr fontId="1" type="noConversion"/>
  </si>
  <si>
    <t>26/73 plots for Moso bamboo (Phyllostachys pubescens) (intensive)</t>
    <phoneticPr fontId="1" type="noConversion"/>
  </si>
  <si>
    <t>Fu et al. (2014)</t>
    <phoneticPr fontId="1" type="noConversion"/>
  </si>
  <si>
    <t>CN-ZJP-AJC-EX</t>
    <phoneticPr fontId="1" type="noConversion"/>
  </si>
  <si>
    <t>28/73 plots for Moso bamboo (Phyllostachys pubescens)(extensive)</t>
    <phoneticPr fontId="1" type="noConversion"/>
  </si>
  <si>
    <t>Anji county, NW Zhejiang province, E China</t>
    <phoneticPr fontId="1" type="noConversion"/>
  </si>
  <si>
    <t>http://html.rhhz.net/linyekexue/html/20131125.htm</t>
    <phoneticPr fontId="1" type="noConversion"/>
  </si>
  <si>
    <t>Fan et al. (2013)</t>
    <phoneticPr fontId="1" type="noConversion"/>
  </si>
  <si>
    <t>CN-ZJP-AJC-105P</t>
    <phoneticPr fontId="1" type="noConversion"/>
  </si>
  <si>
    <t>105 plots for Phyllostachys edulis forest</t>
    <phoneticPr fontId="1" type="noConversion"/>
  </si>
  <si>
    <t>Anji county and Longquan city, Zhejiang province</t>
  </si>
  <si>
    <t>https://www.jstor.org/stable/43595383?read-now=1&amp;seq=1#page_scan_tab_contents</t>
  </si>
  <si>
    <t>Wang et al. (2013) (He et al., 2008; Zheng et al., 2008)</t>
    <phoneticPr fontId="1" type="noConversion"/>
  </si>
  <si>
    <t>CN-SS-6P</t>
    <phoneticPr fontId="1" type="noConversion"/>
  </si>
  <si>
    <t>6 Phyllostachys pubescens study sites for south subtropical of China (SS)</t>
    <phoneticPr fontId="1" type="noConversion"/>
  </si>
  <si>
    <t>SM</t>
    <phoneticPr fontId="1" type="noConversion"/>
  </si>
  <si>
    <t>South subtropical of China</t>
    <phoneticPr fontId="1" type="noConversion"/>
  </si>
  <si>
    <t>Wang et al. (2013) (Qi et al., 2009)</t>
    <phoneticPr fontId="1" type="noConversion"/>
  </si>
  <si>
    <t>CN-SM-2P</t>
    <phoneticPr fontId="1" type="noConversion"/>
  </si>
  <si>
    <t>2 Phyllostachys pubescens study sites for southenwest mountain subtropical of China (SM)</t>
    <phoneticPr fontId="1" type="noConversion"/>
  </si>
  <si>
    <t>Southenwest mountain subtropical of China</t>
    <phoneticPr fontId="1" type="noConversion"/>
  </si>
  <si>
    <t>Wang et al. (2013) (Zhang&amp;Ding, 1997; Pan et al., 2010)</t>
    <phoneticPr fontId="1" type="noConversion"/>
  </si>
  <si>
    <t>CN-NS-4P</t>
    <phoneticPr fontId="1" type="noConversion"/>
  </si>
  <si>
    <t>4 Phyllostachys pubescens study sites for north subtropical of China (NS)</t>
    <phoneticPr fontId="1" type="noConversion"/>
  </si>
  <si>
    <t>North subtropical of China</t>
    <phoneticPr fontId="1" type="noConversion"/>
  </si>
  <si>
    <t>Wang et al. (2013) (Zhou&amp;Jiang, 2004; Gao, 2004; Wang et al., 2009; Xiao et al., 2010; Zhang, 2008)</t>
    <phoneticPr fontId="1" type="noConversion"/>
  </si>
  <si>
    <t>CN-MS-18P</t>
    <phoneticPr fontId="1" type="noConversion"/>
  </si>
  <si>
    <t>18 Phyllostachys pubescens study sites for middle subtropical of China (MS)</t>
    <phoneticPr fontId="1" type="noConversion"/>
  </si>
  <si>
    <t>Middle subtropical of China</t>
    <phoneticPr fontId="1" type="noConversion"/>
  </si>
  <si>
    <t>https://agupubs.onlinelibrary.wiley.com/doi/full/10.1029/2009JG001234</t>
    <phoneticPr fontId="1" type="noConversion"/>
  </si>
  <si>
    <t>Zhou et al. (2011)</t>
    <phoneticPr fontId="1" type="noConversion"/>
  </si>
  <si>
    <t>CN-JXP-FYC-MDASEA</t>
    <phoneticPr fontId="1" type="noConversion"/>
  </si>
  <si>
    <t>Mount Dagangshan experimental area within Subtropical Forest Experimental Center, Chinese Academy of Forestry, Fengyi county, Jiangxi province (huge cold damaged)</t>
    <phoneticPr fontId="1" type="noConversion"/>
  </si>
  <si>
    <t>Fengyi county, Jiangxi province</t>
    <phoneticPr fontId="1" type="noConversion"/>
  </si>
  <si>
    <t>http://www.airitilibrary.com/Publication/alDetailedMesh?DocID=10017488-201011-201101220039-201101220039-59-65</t>
    <phoneticPr fontId="1" type="noConversion"/>
  </si>
  <si>
    <t>Xiao et al. (2009); Xiao et al. (2010)</t>
    <phoneticPr fontId="1" type="noConversion"/>
  </si>
  <si>
    <t>CN-HNP-HTC</t>
    <phoneticPr fontId="1" type="noConversion"/>
  </si>
  <si>
    <t>Unmanaged before 1988</t>
    <phoneticPr fontId="1" type="noConversion"/>
  </si>
  <si>
    <t>http://www.sisef.it/iforest/contents/?id=ifor1674-008</t>
  </si>
  <si>
    <t>Tang et al. (2015)</t>
    <phoneticPr fontId="1" type="noConversion"/>
  </si>
  <si>
    <t>CN-HBP-CC-DMS</t>
    <phoneticPr fontId="1" type="noConversion"/>
  </si>
  <si>
    <t>Moso bamboo in unmanaged stand</t>
    <phoneticPr fontId="1" type="noConversion"/>
  </si>
  <si>
    <t>Dingmushan Forest Farm, Chibi city, Hubei province</t>
    <phoneticPr fontId="1" type="noConversion"/>
  </si>
  <si>
    <t>Tang et al. (2015)</t>
  </si>
  <si>
    <t>CN-HBP-CC-DFF-HW</t>
    <phoneticPr fontId="1" type="noConversion"/>
  </si>
  <si>
    <t>Moso bamboo in managed stand with hand-weeded</t>
    <phoneticPr fontId="1" type="noConversion"/>
  </si>
  <si>
    <t>Dingmushan Forest Farm, Chibi city, Hubei province</t>
  </si>
  <si>
    <t>CN-HBP-CC-DFF-AP</t>
    <phoneticPr fontId="1" type="noConversion"/>
  </si>
  <si>
    <t xml:space="preserve">Moso bamboo in managed stand with appling pesticides </t>
    <phoneticPr fontId="1" type="noConversion"/>
  </si>
  <si>
    <t>http://zlxb.zafu.edu.cn/CN/10.11833/j.issn.2095-0756.2012.01.010</t>
    <phoneticPr fontId="1" type="noConversion"/>
  </si>
  <si>
    <t>Chen et al. (2012)</t>
    <phoneticPr fontId="1" type="noConversion"/>
  </si>
  <si>
    <t>CN-FJP-YAC-TNNR-NF</t>
    <phoneticPr fontId="1" type="noConversion"/>
  </si>
  <si>
    <t>Phyllostachys pubescens stand, no fertilization. Management: bamboo shoots dug out in march, grass cut once during Jun - Sept.</t>
    <phoneticPr fontId="1" type="noConversion"/>
  </si>
  <si>
    <t>Fujian province, Yong'an county, Tianbaoyan National Nature Reserve</t>
  </si>
  <si>
    <t>CN-FJP-YAC-TNNR-5YF</t>
    <phoneticPr fontId="1" type="noConversion"/>
  </si>
  <si>
    <t>Phyllostachys pubescens stand, 5 years fertilization. Management: bamboo shoots dug out in march, grass cut once during Jun - Sept.</t>
    <phoneticPr fontId="1" type="noConversion"/>
  </si>
  <si>
    <t>http://ahnydxxb.ahau.edu.cn/ch/reader/view_abstract.aspx?file_no=201106005&amp;flag=1</t>
    <phoneticPr fontId="1" type="noConversion"/>
  </si>
  <si>
    <t>Fan et al. (2011)</t>
    <phoneticPr fontId="1" type="noConversion"/>
  </si>
  <si>
    <t>CN-FJP-YAC-TNNR-2YFEY</t>
    <phoneticPr fontId="1" type="noConversion"/>
  </si>
  <si>
    <t>Fujian province, Yong'an county, Tianbaoyan National Nature Reserve</t>
    <phoneticPr fontId="1" type="noConversion"/>
  </si>
  <si>
    <t>CN-FJP-YAC-TNNR-13YF</t>
    <phoneticPr fontId="1" type="noConversion"/>
  </si>
  <si>
    <t>Phyllostachys pubescens stand, 13 years fertilization. Management: bamboo shoots dug out in march, grass cut once during Jun - Sept.</t>
    <phoneticPr fontId="1" type="noConversion"/>
  </si>
  <si>
    <t>https://www.researchgate.net/profile/Shunyao_Zhuang/publication/281752141_Carbon_storage_estimation_of_Moso_bamboo_Phyllostachys_pubescens_forest_stands_in_Fujian_China/links/569591e908ae3ad8e33d8918.pdf</t>
    <phoneticPr fontId="1" type="noConversion"/>
  </si>
  <si>
    <t>Zhuang et al. (2015)</t>
    <phoneticPr fontId="1" type="noConversion"/>
  </si>
  <si>
    <t>CN-FJP-XQ-9P</t>
    <phoneticPr fontId="1" type="noConversion"/>
  </si>
  <si>
    <t>9 managed Moso bamboo (Phyllostachys pubescens) plots</t>
    <phoneticPr fontId="1" type="noConversion"/>
  </si>
  <si>
    <t>Xiaoqiao, north part of Fujian province (nearby Wu Yi Mount)</t>
    <phoneticPr fontId="1" type="noConversion"/>
  </si>
  <si>
    <t>V</t>
    <phoneticPr fontId="1" type="noConversion"/>
  </si>
  <si>
    <t>https://www.ncbi.nlm.nih.gov/pmc/articles/PMC1635818/</t>
    <phoneticPr fontId="1" type="noConversion"/>
  </si>
  <si>
    <t>available</t>
    <phoneticPr fontId="1" type="noConversion"/>
  </si>
  <si>
    <t>Li et al. (2006)</t>
    <phoneticPr fontId="1" type="noConversion"/>
  </si>
  <si>
    <t>CN-FJP-WYS</t>
    <phoneticPr fontId="1" type="noConversion"/>
  </si>
  <si>
    <t>Unmanaged Phyllostachys heterocycla var. pubescens stand</t>
    <phoneticPr fontId="1" type="noConversion"/>
  </si>
  <si>
    <t>Wuyishan Biosphere Reserv, Fujian</t>
    <phoneticPr fontId="1" type="noConversion"/>
  </si>
  <si>
    <t>available</t>
    <phoneticPr fontId="1" type="noConversion"/>
  </si>
  <si>
    <t>Zhuang et al. (2015)</t>
  </si>
  <si>
    <t>CN-FJP-ON-9P</t>
    <phoneticPr fontId="1" type="noConversion"/>
  </si>
  <si>
    <t>Ouning, north part of Fujian province (nearby Wu Yi Mount)</t>
    <phoneticPr fontId="1" type="noConversion"/>
  </si>
  <si>
    <t>Zhuang et al. (2015)</t>
    <phoneticPr fontId="1" type="noConversion"/>
  </si>
  <si>
    <t>CN-FJP-FD-9P</t>
    <phoneticPr fontId="1" type="noConversion"/>
  </si>
  <si>
    <t>SCf</t>
    <phoneticPr fontId="1" type="noConversion"/>
  </si>
  <si>
    <t>Fangdang, north part of Fujian province (nearby Wu Yi Mount)</t>
    <phoneticPr fontId="1" type="noConversion"/>
  </si>
  <si>
    <t>%</t>
    <phoneticPr fontId="1" type="noConversion"/>
  </si>
  <si>
    <t>%</t>
    <phoneticPr fontId="1" type="noConversion"/>
  </si>
  <si>
    <t>%</t>
    <phoneticPr fontId="1" type="noConversion"/>
  </si>
  <si>
    <t>LAI</t>
    <phoneticPr fontId="1" type="noConversion"/>
  </si>
  <si>
    <t>LAI</t>
    <phoneticPr fontId="1" type="noConversion"/>
  </si>
  <si>
    <t>m</t>
  </si>
  <si>
    <t>cm</t>
  </si>
  <si>
    <t>(%)</t>
    <phoneticPr fontId="1" type="noConversion"/>
  </si>
  <si>
    <t>KCl</t>
    <phoneticPr fontId="1" type="noConversion"/>
  </si>
  <si>
    <t>m</t>
    <phoneticPr fontId="1" type="noConversion"/>
  </si>
  <si>
    <t>mm</t>
  </si>
  <si>
    <t>°C</t>
    <phoneticPr fontId="1" type="noConversion"/>
  </si>
  <si>
    <t>Check data</t>
    <phoneticPr fontId="1" type="noConversion"/>
  </si>
  <si>
    <t>Link</t>
    <phoneticPr fontId="1" type="noConversion"/>
  </si>
  <si>
    <t>References</t>
    <phoneticPr fontId="1" type="noConversion"/>
  </si>
  <si>
    <t>NEP</t>
    <phoneticPr fontId="1" type="noConversion"/>
  </si>
  <si>
    <t>HR</t>
    <phoneticPr fontId="1" type="noConversion"/>
  </si>
  <si>
    <t>SR</t>
    <phoneticPr fontId="1" type="noConversion"/>
  </si>
  <si>
    <t>TNPP</t>
    <phoneticPr fontId="1" type="noConversion"/>
  </si>
  <si>
    <t>BNPP</t>
    <phoneticPr fontId="1" type="noConversion"/>
  </si>
  <si>
    <t>StNP</t>
    <phoneticPr fontId="1" type="noConversion"/>
  </si>
  <si>
    <t>RhNP</t>
    <phoneticPr fontId="1" type="noConversion"/>
  </si>
  <si>
    <t>RoNP</t>
    <phoneticPr fontId="1" type="noConversion"/>
  </si>
  <si>
    <t>ANPP</t>
    <phoneticPr fontId="1" type="noConversion"/>
  </si>
  <si>
    <t>Litterfall</t>
    <phoneticPr fontId="1" type="noConversion"/>
  </si>
  <si>
    <t>CNP</t>
    <phoneticPr fontId="1" type="noConversion"/>
  </si>
  <si>
    <t>BNP</t>
    <phoneticPr fontId="1" type="noConversion"/>
  </si>
  <si>
    <t>LNP</t>
    <phoneticPr fontId="1" type="noConversion"/>
  </si>
  <si>
    <t>TEC (Total ecosystem carbon)</t>
    <phoneticPr fontId="1" type="noConversion"/>
  </si>
  <si>
    <t>Undergrowth</t>
    <phoneticPr fontId="1" type="noConversion"/>
  </si>
  <si>
    <t>SC (soil carbon)</t>
    <phoneticPr fontId="1" type="noConversion"/>
  </si>
  <si>
    <t>TC (AGC+BGC)</t>
    <phoneticPr fontId="1" type="noConversion"/>
  </si>
  <si>
    <t>BGC</t>
    <phoneticPr fontId="1" type="noConversion"/>
  </si>
  <si>
    <t>Stumps</t>
    <phoneticPr fontId="1" type="noConversion"/>
  </si>
  <si>
    <t>Rhizomes</t>
    <phoneticPr fontId="1" type="noConversion"/>
  </si>
  <si>
    <t>Roots</t>
    <phoneticPr fontId="1" type="noConversion"/>
  </si>
  <si>
    <t>Root_Shoot Ratio</t>
    <phoneticPr fontId="1" type="noConversion"/>
  </si>
  <si>
    <t>AGC</t>
    <phoneticPr fontId="1" type="noConversion"/>
  </si>
  <si>
    <t>Culms</t>
    <phoneticPr fontId="1" type="noConversion"/>
  </si>
  <si>
    <t>Branches</t>
    <phoneticPr fontId="1" type="noConversion"/>
  </si>
  <si>
    <t>Foliages</t>
    <phoneticPr fontId="1" type="noConversion"/>
  </si>
  <si>
    <t>Soil C (10-30cm)</t>
    <phoneticPr fontId="1" type="noConversion"/>
  </si>
  <si>
    <t>Soil C (0-10cm)</t>
    <phoneticPr fontId="1" type="noConversion"/>
  </si>
  <si>
    <t>Stump C</t>
    <phoneticPr fontId="1" type="noConversion"/>
  </si>
  <si>
    <t>Rhizomes C</t>
    <phoneticPr fontId="1" type="noConversion"/>
  </si>
  <si>
    <t>Coarse root C</t>
    <phoneticPr fontId="1" type="noConversion"/>
  </si>
  <si>
    <t>Fine roots C</t>
    <phoneticPr fontId="1" type="noConversion"/>
  </si>
  <si>
    <t>Culms C</t>
    <phoneticPr fontId="1" type="noConversion"/>
  </si>
  <si>
    <t>Branches C</t>
    <phoneticPr fontId="1" type="noConversion"/>
  </si>
  <si>
    <t>Leaves C</t>
    <phoneticPr fontId="1" type="noConversion"/>
  </si>
  <si>
    <t>Leaf area index (leaf area scanner)</t>
    <phoneticPr fontId="1" type="noConversion"/>
  </si>
  <si>
    <t>Leaf area index (Fisheye lens)</t>
    <phoneticPr fontId="1" type="noConversion"/>
  </si>
  <si>
    <t>Relative luminosity</t>
    <phoneticPr fontId="1" type="noConversion"/>
  </si>
  <si>
    <t>Basal area (b.a.)</t>
    <phoneticPr fontId="1" type="noConversion"/>
  </si>
  <si>
    <t>Si (return to soil)</t>
    <phoneticPr fontId="1" type="noConversion"/>
  </si>
  <si>
    <t>Si (net sink in Plant annually)</t>
    <phoneticPr fontId="1" type="noConversion"/>
  </si>
  <si>
    <t>Si (primary sink in Plant annually)</t>
    <phoneticPr fontId="1" type="noConversion"/>
  </si>
  <si>
    <t>Si (storage in soil)</t>
    <phoneticPr fontId="1" type="noConversion"/>
  </si>
  <si>
    <t>Si (storage in Plant below ground)</t>
    <phoneticPr fontId="1" type="noConversion"/>
  </si>
  <si>
    <t>Si (storage in Plant above ground)</t>
    <phoneticPr fontId="1" type="noConversion"/>
  </si>
  <si>
    <t>P (litter)</t>
    <phoneticPr fontId="1" type="noConversion"/>
  </si>
  <si>
    <t>Mg (litter)</t>
    <phoneticPr fontId="1" type="noConversion"/>
  </si>
  <si>
    <t>K (litter)</t>
    <phoneticPr fontId="1" type="noConversion"/>
  </si>
  <si>
    <t>Ca (litter)</t>
    <phoneticPr fontId="1" type="noConversion"/>
  </si>
  <si>
    <t>N (litter)</t>
    <phoneticPr fontId="1" type="noConversion"/>
  </si>
  <si>
    <t>Clay</t>
    <phoneticPr fontId="1" type="noConversion"/>
  </si>
  <si>
    <t>Silt</t>
    <phoneticPr fontId="1" type="noConversion"/>
  </si>
  <si>
    <t>Sand</t>
    <phoneticPr fontId="1" type="noConversion"/>
  </si>
  <si>
    <t>Mg2+ (soil)</t>
    <phoneticPr fontId="1" type="noConversion"/>
  </si>
  <si>
    <t>Ca2+ (soil)</t>
    <phoneticPr fontId="1" type="noConversion"/>
  </si>
  <si>
    <t>K+ (soil)</t>
    <phoneticPr fontId="1" type="noConversion"/>
  </si>
  <si>
    <t>C.E.C (soil)</t>
    <phoneticPr fontId="1" type="noConversion"/>
  </si>
  <si>
    <t>Available SiO2 (soil)</t>
    <phoneticPr fontId="1" type="noConversion"/>
  </si>
  <si>
    <t>Total K (soil)</t>
    <phoneticPr fontId="1" type="noConversion"/>
  </si>
  <si>
    <t>Total P (soil)</t>
    <phoneticPr fontId="1" type="noConversion"/>
  </si>
  <si>
    <t>Total N (soil)</t>
    <phoneticPr fontId="1" type="noConversion"/>
  </si>
  <si>
    <t>pH (soil)</t>
    <phoneticPr fontId="1" type="noConversion"/>
  </si>
  <si>
    <t>pH (soil)</t>
    <phoneticPr fontId="1" type="noConversion"/>
  </si>
  <si>
    <t>water content (soil)</t>
    <phoneticPr fontId="1" type="noConversion"/>
  </si>
  <si>
    <t>wind speed</t>
    <phoneticPr fontId="1" type="noConversion"/>
  </si>
  <si>
    <t>sunshine duration</t>
    <phoneticPr fontId="1" type="noConversion"/>
  </si>
  <si>
    <t>relative humidity</t>
    <phoneticPr fontId="1" type="noConversion"/>
  </si>
  <si>
    <t>elevation (a.s.l.)</t>
    <phoneticPr fontId="1" type="noConversion"/>
  </si>
  <si>
    <t>snow</t>
    <phoneticPr fontId="1" type="noConversion"/>
  </si>
  <si>
    <t>warmth index</t>
    <phoneticPr fontId="1" type="noConversion"/>
  </si>
  <si>
    <t>mixed with other forests</t>
    <phoneticPr fontId="1" type="noConversion"/>
  </si>
  <si>
    <t>clear cutting</t>
    <phoneticPr fontId="1" type="noConversion"/>
  </si>
  <si>
    <t>shoots dug</t>
    <phoneticPr fontId="1" type="noConversion"/>
  </si>
  <si>
    <t>weeded and selective cutting</t>
    <phoneticPr fontId="1" type="noConversion"/>
  </si>
  <si>
    <t>fertilised</t>
    <phoneticPr fontId="1" type="noConversion"/>
  </si>
  <si>
    <t>managed</t>
    <phoneticPr fontId="1" type="noConversion"/>
  </si>
  <si>
    <t>Finishing year</t>
    <phoneticPr fontId="1" type="noConversion"/>
  </si>
  <si>
    <t>Beginning year</t>
    <phoneticPr fontId="1" type="noConversion"/>
  </si>
  <si>
    <t>ID</t>
    <phoneticPr fontId="1" type="noConversion"/>
  </si>
  <si>
    <t>Land use description</t>
    <phoneticPr fontId="1" type="noConversion"/>
  </si>
  <si>
    <t>Location</t>
  </si>
  <si>
    <t>Country</t>
    <phoneticPr fontId="1" type="noConversion"/>
  </si>
  <si>
    <t>Huitong County, Hunan province</t>
    <phoneticPr fontId="1" type="noConversion"/>
  </si>
  <si>
    <t>Ecological zone code</t>
    <phoneticPr fontId="1" type="noConversion"/>
  </si>
  <si>
    <t>Available or not</t>
    <phoneticPr fontId="1" type="noConversion"/>
  </si>
  <si>
    <t>Litter layer</t>
    <phoneticPr fontId="1" type="noConversion"/>
  </si>
  <si>
    <t>Unmanaged Phyllostachys pubescens stand in Tsubakibora, Gifu city</t>
    <phoneticPr fontId="1" type="noConversion"/>
  </si>
  <si>
    <t>Unmanaged Phyllostachys pubescens with Hachiku bamboo (Phyllostachys nigra var. henonis) stand, Tokuyama, Ibigawa cho</t>
    <phoneticPr fontId="1" type="noConversion"/>
  </si>
  <si>
    <t>3 Phyllostachys pubescens stand at the beginning (unmanaged)</t>
    <phoneticPr fontId="1" type="noConversion"/>
  </si>
  <si>
    <t>3 Board leaves forest mix Phyllostachys pubescens forest (northeast aspect)</t>
    <phoneticPr fontId="1" type="noConversion"/>
  </si>
  <si>
    <t>3 Phyllostachys pubescens in control (northeast aspect)</t>
    <phoneticPr fontId="1" type="noConversion"/>
  </si>
  <si>
    <t>3 Phyllostachys pubescens in northwest aspect</t>
    <phoneticPr fontId="1" type="noConversion"/>
  </si>
  <si>
    <t>3 Phyllostachys pubescens at the beginning (unmanaged) stands</t>
    <phoneticPr fontId="1" type="noConversion"/>
  </si>
  <si>
    <t>3 Phyllostachys pubescens controls after 2 years</t>
    <phoneticPr fontId="1" type="noConversion"/>
  </si>
  <si>
    <t>3 Phyllostachys pubescens clear cutting stands after 2 years</t>
    <phoneticPr fontId="1" type="noConversion"/>
  </si>
  <si>
    <t>3 Phyllostachys pubescens selective cutting stands after 2 years</t>
    <phoneticPr fontId="1" type="noConversion"/>
  </si>
  <si>
    <t>3 Managed Phyllostachys pubescebs stands in (600-900m) low altitude area</t>
    <phoneticPr fontId="1" type="noConversion"/>
  </si>
  <si>
    <t>3 Phyllostachys pubescens managed with organic fertilisation (northeast aspect)</t>
    <phoneticPr fontId="1" type="noConversion"/>
  </si>
  <si>
    <t>3 Phyllostachys pubescens managed with fertilising soybean chaff (northeast aspect)</t>
    <phoneticPr fontId="1" type="noConversion"/>
  </si>
  <si>
    <t>3 Phyllostachys pubescens stands managed before 2008. The moso bamboo forest of the study site was planted 30 yr ago.</t>
    <phoneticPr fontId="1" type="noConversion"/>
  </si>
  <si>
    <t>3 Phyllostachys pubescens stands unmanaged between 2008-2014 (managed before 2008). The moso bamboo forest of the study site was planted 30 yr ago.</t>
    <phoneticPr fontId="1" type="noConversion"/>
  </si>
  <si>
    <t>Japan</t>
    <phoneticPr fontId="1" type="noConversion"/>
  </si>
  <si>
    <t>KR-JU-F</t>
    <phoneticPr fontId="1" type="noConversion"/>
  </si>
  <si>
    <t>Korea</t>
  </si>
  <si>
    <t>Gajwa National Experimental Forest, Forest Biomaterials Research Center, Jinju</t>
  </si>
  <si>
    <t>TeDc</t>
  </si>
  <si>
    <t>Unfertilised</t>
  </si>
  <si>
    <t>KR-JU-UF</t>
  </si>
  <si>
    <t>Kim et al. (2018)</t>
  </si>
  <si>
    <t>available</t>
  </si>
  <si>
    <t>Taiwan</t>
    <phoneticPr fontId="1" type="noConversion"/>
  </si>
  <si>
    <t>Daan, (1,200-1,500m) high altitude area of central Taiwan, Nantou County</t>
    <phoneticPr fontId="1" type="noConversion"/>
  </si>
  <si>
    <t>Daan, (600-1,500m) high altitude area of central Taiwan, Nantou County</t>
    <phoneticPr fontId="1" type="noConversion"/>
  </si>
  <si>
    <t>SM</t>
    <phoneticPr fontId="1" type="noConversion"/>
  </si>
  <si>
    <t>3 Managed Phyllostachys pubescebs stands in (1,200-1,500m) high altitude area</t>
    <phoneticPr fontId="1" type="noConversion"/>
  </si>
  <si>
    <t>9 Managed Phyllostachys pubescebs stands in (600-1,500m)</t>
    <phoneticPr fontId="1" type="noConversion"/>
  </si>
  <si>
    <t>3 Managed Phyllostachys pubescebs stands in (900-1,200m) mid altitude area</t>
    <phoneticPr fontId="1" type="noConversion"/>
  </si>
  <si>
    <t>TW-NTC-MA</t>
    <phoneticPr fontId="1" type="noConversion"/>
  </si>
  <si>
    <t>TW-NTC-LMHA</t>
    <phoneticPr fontId="1" type="noConversion"/>
  </si>
  <si>
    <t>https://doi.org/10.1080/13504509.2013.811445</t>
    <phoneticPr fontId="1" type="noConversion"/>
  </si>
  <si>
    <t>Yen and Wang (2013)</t>
    <phoneticPr fontId="1" type="noConversion"/>
  </si>
  <si>
    <t>Kim et al. (2018)</t>
    <phoneticPr fontId="1" type="noConversion"/>
  </si>
  <si>
    <t>https://doi.org/10.3390/f9110671</t>
    <phoneticPr fontId="1" type="noConversion"/>
  </si>
  <si>
    <t>V</t>
    <phoneticPr fontId="1" type="noConversion"/>
  </si>
  <si>
    <t>V</t>
    <phoneticPr fontId="1" type="noConversion"/>
  </si>
  <si>
    <t>https://www.jstage.jst.go.jp/article/jjfs/96/6/96_351/_pdf/-char/ja
https://www.jstage.jst.go.jp/article/jfsc/118/0/118_0_465/_pdf/-char/ja</t>
    <phoneticPr fontId="1" type="noConversion"/>
  </si>
  <si>
    <t>Kasuya Research forest, Fukuoka Prefecture, Japan</t>
    <phoneticPr fontId="1" type="noConversion"/>
  </si>
  <si>
    <t>Yanai, Yamaguchi Prefecture</t>
    <phoneticPr fontId="1" type="noConversion"/>
  </si>
  <si>
    <t>Sanjiaolun, Nantou County</t>
    <phoneticPr fontId="1" type="noConversion"/>
  </si>
  <si>
    <t>Huisun Experimental Forest Station, Nantou County</t>
    <phoneticPr fontId="1" type="noConversion"/>
  </si>
  <si>
    <t>Korea Forest Research Institute, Jinyu</t>
    <phoneticPr fontId="1" type="noConversion"/>
  </si>
  <si>
    <t>Shinnanyo, Yamaguchi Prefecture</t>
    <phoneticPr fontId="1" type="noConversion"/>
  </si>
  <si>
    <t>Toyota, Yamaguchi Prefecture</t>
    <phoneticPr fontId="1" type="noConversion"/>
  </si>
  <si>
    <t>Unmanaged Phyllostachys pubescens stand in Nakayama, Kyoto city</t>
    <phoneticPr fontId="1" type="noConversion"/>
  </si>
  <si>
    <t>Unmanaged Phyllostachys pubescens stand</t>
    <phoneticPr fontId="1" type="noConversion"/>
  </si>
  <si>
    <t>JP-YGP-TYT-UM</t>
    <phoneticPr fontId="1" type="noConversion"/>
  </si>
  <si>
    <t>JP-YGP-YNI-UM</t>
    <phoneticPr fontId="1" type="noConversion"/>
  </si>
  <si>
    <t>JP-YGP-SNY-UM</t>
    <phoneticPr fontId="1" type="noConversion"/>
  </si>
  <si>
    <t>China</t>
    <phoneticPr fontId="1" type="noConversion"/>
  </si>
  <si>
    <t>Qingshan Township, Hangzhou City, Zhejiang Province, China</t>
    <phoneticPr fontId="1" type="noConversion"/>
  </si>
  <si>
    <t>CN-ZJP-HZC-QST-C</t>
    <phoneticPr fontId="1" type="noConversion"/>
  </si>
  <si>
    <t>CN-ZJP-HZC-QST-BF</t>
    <phoneticPr fontId="1" type="noConversion"/>
  </si>
  <si>
    <t>CN-ZJP-HZC-QST-CF</t>
    <phoneticPr fontId="1" type="noConversion"/>
  </si>
  <si>
    <t>CN-ZJP-HZC-QST-BCF</t>
    <phoneticPr fontId="1" type="noConversion"/>
  </si>
  <si>
    <t xml:space="preserve">4 no fertilizer application (control) Phyllostachys edulis stands, Red Soil (This plantation, which was transformed from a natural evergreen broadleaf forest 10 years prior to the study. After the land-use change, the Moso bamboo plantation was fertilized with 200 kg N ha−1, 39 kg P ha−1 and 75 kg K ha−1each July, usually in the forms of urea, superphosphate, and potassium chloride, respectively. no fertilizer was applied in the selected Moso bamboo plantation between December 2014 and December 2016). </t>
    <phoneticPr fontId="1" type="noConversion"/>
  </si>
  <si>
    <t xml:space="preserve">4 application of biochar-based fertiliser (BF) Phyllostachys edulis stands, Red Soil (This plantation, which was transformed from a natural evergreen broadleaf forest 10 years prior to the study. After the land-use change, the Moso bamboo plantation was fertilized with 200 kg N ha−1, 39 kg P ha−1 and 75 kg K ha−1each July, usually in the forms of urea, superphosphate, and potassium chloride, respectively. no fertilizer was applied in the selected Moso bamboo plantation between December 2014 and December 2016). </t>
    <phoneticPr fontId="1" type="noConversion"/>
  </si>
  <si>
    <t xml:space="preserve">4 application of chemical fertiliser (CF) Phyllostachys edulis stands, Red Soil (This plantation, which was transformed from a natural evergreen broadleaf forest 10 years prior to the study. After the land-use change, the Moso bamboo plantation was fertilized with 200 kg N ha−1, 39 kg P ha−1 and 75 kg K ha−1each July, usually in the forms of urea, superphosphate, and potassium chloride, respectively. no fertilizer was applied in the selected Moso bamboo plantation between December 2014 and December 2016). </t>
    <phoneticPr fontId="1" type="noConversion"/>
  </si>
  <si>
    <t xml:space="preserve">4 application of a mixture of BF and CF (BCF) Phyllostachys edulis stands, Red Soil (This plantation, which was transformed from a natural evergreen broadleaf forest 10 years prior to the study. After the land-use change, the Moso bamboo plantation was fertilized with 200 kg N ha−1, 39 kg P ha−1 and 75 kg K ha−1each July, usually in the forms of urea, superphosphate, and potassium chloride, respectively. no fertilizer was applied in the selected Moso bamboo plantation between December 2014 and December 2016). </t>
    <phoneticPr fontId="1" type="noConversion"/>
  </si>
  <si>
    <t>https://doi.org/10.1016/j.apsoil.2020.103758</t>
    <phoneticPr fontId="1" type="noConversion"/>
  </si>
  <si>
    <t>Taiwan</t>
    <phoneticPr fontId="1" type="noConversion"/>
  </si>
  <si>
    <t>58 Phyllostachys pubescens stands in Taiwan</t>
    <phoneticPr fontId="1" type="noConversion"/>
  </si>
  <si>
    <t>SCf</t>
    <phoneticPr fontId="1" type="noConversion"/>
  </si>
  <si>
    <t>SM/SCf</t>
    <phoneticPr fontId="1" type="noConversion"/>
  </si>
  <si>
    <t>Taiwan Province</t>
    <phoneticPr fontId="1" type="noConversion"/>
  </si>
  <si>
    <t>TW</t>
    <phoneticPr fontId="1" type="noConversion"/>
  </si>
  <si>
    <t>https://doi.org/10.1016/j.foreco.2020.118745</t>
    <phoneticPr fontId="1" type="noConversion"/>
  </si>
  <si>
    <t>Liu and Yen (2021)</t>
    <phoneticPr fontId="1" type="noConversion"/>
  </si>
  <si>
    <t>Shinohara et al. (2014) (Sado and Yamada, 2007)</t>
    <phoneticPr fontId="1" type="noConversion"/>
  </si>
  <si>
    <t>Shinohara et al. (2014) (Sado and Yamada, 2007)</t>
    <phoneticPr fontId="1" type="noConversion"/>
  </si>
  <si>
    <t>V</t>
    <phoneticPr fontId="1" type="noConversion"/>
  </si>
  <si>
    <t>Banqiao town, Lin an District, Hangzhou City, Zhejiang Province, China</t>
    <phoneticPr fontId="1" type="noConversion"/>
  </si>
  <si>
    <t>Zhang et al. (2021) a</t>
    <phoneticPr fontId="1" type="noConversion"/>
  </si>
  <si>
    <t>Zhang et al. (2021) a</t>
    <phoneticPr fontId="1" type="noConversion"/>
  </si>
  <si>
    <t>Zhang et al. (2021) a</t>
    <phoneticPr fontId="1" type="noConversion"/>
  </si>
  <si>
    <t>Zhang et al. (2021) a</t>
    <phoneticPr fontId="1" type="noConversion"/>
  </si>
  <si>
    <t>Xu et al. (2020)</t>
    <phoneticPr fontId="1" type="noConversion"/>
  </si>
  <si>
    <t>https://doi.org/10.1016/j.foreco.2020.118447</t>
    <phoneticPr fontId="1" type="noConversion"/>
  </si>
  <si>
    <t>3 unmanaged Phyllostachys pubescens stands</t>
    <phoneticPr fontId="1" type="noConversion"/>
  </si>
  <si>
    <t>V</t>
    <phoneticPr fontId="1" type="noConversion"/>
  </si>
  <si>
    <t>V</t>
    <phoneticPr fontId="1" type="noConversion"/>
  </si>
  <si>
    <t>V</t>
    <phoneticPr fontId="1" type="noConversion"/>
  </si>
  <si>
    <t>China</t>
    <phoneticPr fontId="1" type="noConversion"/>
  </si>
  <si>
    <t>Lin an Distric, Hangzhou City, Zhejiang Province, China</t>
    <phoneticPr fontId="1" type="noConversion"/>
  </si>
  <si>
    <t>CN-ZJP-HZC-LN-CM</t>
    <phoneticPr fontId="1" type="noConversion"/>
  </si>
  <si>
    <t>CN-ZJP-HZC-LN-C</t>
    <phoneticPr fontId="1" type="noConversion"/>
  </si>
  <si>
    <t>CN-ZJP-HZC-LN-IM</t>
    <phoneticPr fontId="1" type="noConversion"/>
  </si>
  <si>
    <t>Zhang et al. (2021) b</t>
    <phoneticPr fontId="1" type="noConversion"/>
  </si>
  <si>
    <t>https://doi.org/10.1186/s40663-021-00285-0</t>
    <phoneticPr fontId="1" type="noConversion"/>
  </si>
  <si>
    <t>https://doi.org/10.1186/s40663-021-00285-0</t>
    <phoneticPr fontId="1" type="noConversion"/>
  </si>
  <si>
    <t>3 conventional management Phyllostachys pubescens stands (Conventionally managed plantations are selectively and regularly harvested for bamboo stems and shoots according to demand, with no other management practices in place)</t>
    <phoneticPr fontId="1" type="noConversion"/>
  </si>
  <si>
    <t>3 intensive management Phyllostachys pubescens stand</t>
    <phoneticPr fontId="1" type="noConversion"/>
  </si>
  <si>
    <t>Longyou Distric, Hangzhou City, Zhejiang Province, China</t>
    <phoneticPr fontId="1" type="noConversion"/>
  </si>
  <si>
    <t>Fujian province, Yong'an county, Tianbaoyan National Nature Reserve</t>
    <phoneticPr fontId="1" type="noConversion"/>
  </si>
  <si>
    <t>Jian ou District, Fujian Ptovince, China</t>
    <phoneticPr fontId="1" type="noConversion"/>
  </si>
  <si>
    <t>Hua an District, Fujian Ptovince, China</t>
    <phoneticPr fontId="1" type="noConversion"/>
  </si>
  <si>
    <t>Xu et al. (2018)</t>
    <phoneticPr fontId="1" type="noConversion"/>
  </si>
  <si>
    <t>https://doi.org/10.1371/journal.pone.0193024</t>
    <phoneticPr fontId="1" type="noConversion"/>
  </si>
  <si>
    <t>9 managed Phyllostachys pubescens stands</t>
    <phoneticPr fontId="1" type="noConversion"/>
  </si>
  <si>
    <t>CN-ZJP-HZC-LN-M</t>
    <phoneticPr fontId="1" type="noConversion"/>
  </si>
  <si>
    <t>CN-ZJP-HZC-LY-M</t>
    <phoneticPr fontId="1" type="noConversion"/>
  </si>
  <si>
    <t>CN-FJP-JO-M</t>
    <phoneticPr fontId="1" type="noConversion"/>
  </si>
  <si>
    <t>CN-FJP-HA-M</t>
    <phoneticPr fontId="1" type="noConversion"/>
  </si>
  <si>
    <t>CN-ZJP-AJC-ST-M</t>
    <phoneticPr fontId="1" type="noConversion"/>
  </si>
  <si>
    <t>Sun et al. (2013)</t>
    <phoneticPr fontId="1" type="noConversion"/>
  </si>
  <si>
    <t>http://www.cjae.net/CN/Y2013/V24/I10/2717</t>
    <phoneticPr fontId="1" type="noConversion"/>
  </si>
  <si>
    <t>1 rough managed moso bamboo stands</t>
    <phoneticPr fontId="1" type="noConversion"/>
  </si>
  <si>
    <t>Santsuan, Anji county, Zhejiang province, China</t>
    <phoneticPr fontId="1" type="noConversion"/>
  </si>
  <si>
    <t>4 managed Phyllostachys pubescens stands</t>
    <phoneticPr fontId="1" type="noConversion"/>
  </si>
  <si>
    <t>Li et al. (1993)</t>
    <phoneticPr fontId="1" type="noConversion"/>
  </si>
  <si>
    <t>https://core.ac.uk/download/pdf/41355338.pdf</t>
    <phoneticPr fontId="1" type="noConversion"/>
  </si>
  <si>
    <t>Gaocai, Nanjing County, Fujian Province, China</t>
    <phoneticPr fontId="1" type="noConversion"/>
  </si>
  <si>
    <t>CN-FJP-NJC-GC-M</t>
    <phoneticPr fontId="1" type="noConversion"/>
  </si>
  <si>
    <t>https://www.cabdirect.org/cabdirect/abstract/20153321847</t>
    <phoneticPr fontId="1" type="noConversion"/>
  </si>
  <si>
    <t>Yin et al. (2019)</t>
    <phoneticPr fontId="1" type="noConversion"/>
  </si>
  <si>
    <t>https://doi.org/10.1016/j.foreco.2019.117449</t>
    <phoneticPr fontId="1" type="noConversion"/>
  </si>
  <si>
    <t>5 general management Phyllostachys pubescens stands</t>
    <phoneticPr fontId="1" type="noConversion"/>
  </si>
  <si>
    <t>11 abandoned Phyllostachys pubescens stands for 7–10 years</t>
    <phoneticPr fontId="1" type="noConversion"/>
  </si>
  <si>
    <t>7 abandoned Phyllostachys pubescens stands for 15–18 years</t>
    <phoneticPr fontId="1" type="noConversion"/>
  </si>
  <si>
    <t>5 abandoned Phyllostachys pubescens stands for 2 years</t>
    <phoneticPr fontId="1" type="noConversion"/>
  </si>
  <si>
    <t xml:space="preserve">Hangzhou City, Zhejiang Province, China </t>
    <phoneticPr fontId="1" type="noConversion"/>
  </si>
  <si>
    <t>CN-ZJP-HZC-M</t>
    <phoneticPr fontId="1" type="noConversion"/>
  </si>
  <si>
    <t>CN-ZJP-HZC-UM2</t>
    <phoneticPr fontId="1" type="noConversion"/>
  </si>
  <si>
    <t>CN-ZJP-HZC-UM7-10</t>
    <phoneticPr fontId="1" type="noConversion"/>
  </si>
  <si>
    <t>CN-ZJP-HZC-UM15-18</t>
    <phoneticPr fontId="1" type="noConversion"/>
  </si>
  <si>
    <t>Observation order</t>
    <phoneticPr fontId="1" type="noConversion"/>
  </si>
  <si>
    <r>
      <t>Supplementary Dataset 1. Raw data matrix of target and independent variables collected from Moso bamboo (</t>
    </r>
    <r>
      <rPr>
        <i/>
        <sz val="10"/>
        <color theme="1"/>
        <rFont val="Helvetica"/>
        <family val="2"/>
      </rPr>
      <t>Phyllostachys edulis</t>
    </r>
    <r>
      <rPr>
        <sz val="10"/>
        <color theme="1"/>
        <rFont val="Helvetica"/>
        <family val="2"/>
      </rPr>
      <t>) worldwide (East Asia)</t>
    </r>
    <phoneticPr fontId="1" type="noConversion"/>
  </si>
  <si>
    <r>
      <t>mean annual temperature</t>
    </r>
    <r>
      <rPr>
        <vertAlign val="superscript"/>
        <sz val="10"/>
        <color theme="1"/>
        <rFont val="Helvetica"/>
        <family val="2"/>
      </rPr>
      <t>4</t>
    </r>
    <phoneticPr fontId="1" type="noConversion"/>
  </si>
  <si>
    <r>
      <t>annual rainfall</t>
    </r>
    <r>
      <rPr>
        <vertAlign val="superscript"/>
        <sz val="10"/>
        <color theme="1"/>
        <rFont val="Helvetica"/>
        <family val="2"/>
      </rPr>
      <t>4</t>
    </r>
    <phoneticPr fontId="1" type="noConversion"/>
  </si>
  <si>
    <r>
      <t>Available P</t>
    </r>
    <r>
      <rPr>
        <vertAlign val="subscript"/>
        <sz val="10"/>
        <color theme="1"/>
        <rFont val="Helvetica"/>
        <family val="2"/>
      </rPr>
      <t>2</t>
    </r>
    <r>
      <rPr>
        <sz val="10"/>
        <color theme="1"/>
        <rFont val="Helvetica"/>
        <family val="2"/>
      </rPr>
      <t>O</t>
    </r>
    <r>
      <rPr>
        <vertAlign val="subscript"/>
        <sz val="10"/>
        <color theme="1"/>
        <rFont val="Helvetica"/>
        <family val="2"/>
      </rPr>
      <t>5</t>
    </r>
    <r>
      <rPr>
        <sz val="10"/>
        <color theme="1"/>
        <rFont val="Helvetica"/>
        <family val="2"/>
      </rPr>
      <t xml:space="preserve"> (soil)</t>
    </r>
    <phoneticPr fontId="1" type="noConversion"/>
  </si>
  <si>
    <r>
      <t>Culm density</t>
    </r>
    <r>
      <rPr>
        <vertAlign val="superscript"/>
        <sz val="10"/>
        <color theme="1"/>
        <rFont val="Helvetica"/>
        <family val="2"/>
      </rPr>
      <t>2</t>
    </r>
    <phoneticPr fontId="1" type="noConversion"/>
  </si>
  <si>
    <r>
      <t>Culm DBH</t>
    </r>
    <r>
      <rPr>
        <vertAlign val="superscript"/>
        <sz val="10"/>
        <color theme="1"/>
        <rFont val="Helvetica"/>
        <family val="2"/>
      </rPr>
      <t>3</t>
    </r>
    <phoneticPr fontId="1" type="noConversion"/>
  </si>
  <si>
    <r>
      <t>Culm height</t>
    </r>
    <r>
      <rPr>
        <vertAlign val="superscript"/>
        <sz val="10"/>
        <color theme="1"/>
        <rFont val="Helvetica"/>
        <family val="2"/>
      </rPr>
      <t>3</t>
    </r>
    <phoneticPr fontId="1" type="noConversion"/>
  </si>
  <si>
    <r>
      <t>hr yr</t>
    </r>
    <r>
      <rPr>
        <vertAlign val="superscript"/>
        <sz val="10"/>
        <color theme="1"/>
        <rFont val="Helvetica"/>
        <family val="2"/>
      </rPr>
      <t>-1</t>
    </r>
    <phoneticPr fontId="1" type="noConversion"/>
  </si>
  <si>
    <r>
      <t>m s</t>
    </r>
    <r>
      <rPr>
        <vertAlign val="superscript"/>
        <sz val="10"/>
        <color theme="1"/>
        <rFont val="Helvetica"/>
        <family val="2"/>
      </rPr>
      <t>-1</t>
    </r>
    <phoneticPr fontId="1" type="noConversion"/>
  </si>
  <si>
    <r>
      <t>kg kg</t>
    </r>
    <r>
      <rPr>
        <vertAlign val="superscript"/>
        <sz val="10"/>
        <color theme="1"/>
        <rFont val="Helvetica"/>
        <family val="2"/>
      </rPr>
      <t>-1</t>
    </r>
    <phoneticPr fontId="1" type="noConversion"/>
  </si>
  <si>
    <r>
      <t>(H</t>
    </r>
    <r>
      <rPr>
        <vertAlign val="subscript"/>
        <sz val="10"/>
        <color theme="1"/>
        <rFont val="Helvetica"/>
        <family val="2"/>
      </rPr>
      <t>2</t>
    </r>
    <r>
      <rPr>
        <sz val="10"/>
        <color theme="1"/>
        <rFont val="Helvetica"/>
        <family val="2"/>
      </rPr>
      <t>O 1:5)</t>
    </r>
    <phoneticPr fontId="1" type="noConversion"/>
  </si>
  <si>
    <r>
      <t>g kg</t>
    </r>
    <r>
      <rPr>
        <vertAlign val="superscript"/>
        <sz val="10"/>
        <color theme="1"/>
        <rFont val="Helvetica"/>
        <family val="2"/>
      </rPr>
      <t>-1</t>
    </r>
    <phoneticPr fontId="1" type="noConversion"/>
  </si>
  <si>
    <r>
      <t>mg kg</t>
    </r>
    <r>
      <rPr>
        <vertAlign val="superscript"/>
        <sz val="10"/>
        <color theme="1"/>
        <rFont val="Helvetica"/>
        <family val="2"/>
      </rPr>
      <t>-1</t>
    </r>
    <phoneticPr fontId="1" type="noConversion"/>
  </si>
  <si>
    <r>
      <t>cmole kg</t>
    </r>
    <r>
      <rPr>
        <vertAlign val="superscript"/>
        <sz val="10"/>
        <color theme="1"/>
        <rFont val="Helvetica"/>
        <family val="2"/>
      </rPr>
      <t>-1</t>
    </r>
    <phoneticPr fontId="1" type="noConversion"/>
  </si>
  <si>
    <r>
      <t>me 100g</t>
    </r>
    <r>
      <rPr>
        <vertAlign val="superscript"/>
        <sz val="10"/>
        <color theme="1"/>
        <rFont val="Helvetica"/>
        <family val="2"/>
      </rPr>
      <t>-1</t>
    </r>
    <phoneticPr fontId="1" type="noConversion"/>
  </si>
  <si>
    <r>
      <t>kg ha</t>
    </r>
    <r>
      <rPr>
        <vertAlign val="superscript"/>
        <sz val="10"/>
        <color theme="1"/>
        <rFont val="Helvetica"/>
        <family val="2"/>
      </rPr>
      <t>-1</t>
    </r>
    <phoneticPr fontId="1" type="noConversion"/>
  </si>
  <si>
    <r>
      <t>kg ha</t>
    </r>
    <r>
      <rPr>
        <vertAlign val="superscript"/>
        <sz val="10"/>
        <color theme="1"/>
        <rFont val="Helvetica"/>
        <family val="2"/>
      </rPr>
      <t xml:space="preserve">-1 </t>
    </r>
    <r>
      <rPr>
        <sz val="10"/>
        <color theme="1"/>
        <rFont val="Helvetica"/>
        <family val="2"/>
      </rPr>
      <t>yr</t>
    </r>
    <r>
      <rPr>
        <vertAlign val="superscript"/>
        <sz val="10"/>
        <color theme="1"/>
        <rFont val="Helvetica"/>
        <family val="2"/>
      </rPr>
      <t>-1</t>
    </r>
    <phoneticPr fontId="1" type="noConversion"/>
  </si>
  <si>
    <r>
      <t>culm ha</t>
    </r>
    <r>
      <rPr>
        <vertAlign val="superscript"/>
        <sz val="10"/>
        <color theme="1"/>
        <rFont val="Helvetica"/>
        <family val="2"/>
      </rPr>
      <t>-1</t>
    </r>
    <phoneticPr fontId="1" type="noConversion"/>
  </si>
  <si>
    <r>
      <t>m</t>
    </r>
    <r>
      <rPr>
        <vertAlign val="superscript"/>
        <sz val="10"/>
        <color theme="1"/>
        <rFont val="Helvetica"/>
        <family val="2"/>
      </rPr>
      <t xml:space="preserve">2 </t>
    </r>
    <r>
      <rPr>
        <sz val="10"/>
        <color theme="1"/>
        <rFont val="Helvetica"/>
        <family val="2"/>
      </rPr>
      <t>ha</t>
    </r>
    <r>
      <rPr>
        <vertAlign val="superscript"/>
        <sz val="10"/>
        <color theme="1"/>
        <rFont val="Helvetica"/>
        <family val="2"/>
      </rPr>
      <t>-1</t>
    </r>
    <phoneticPr fontId="1" type="noConversion"/>
  </si>
  <si>
    <r>
      <t>Mg C ha</t>
    </r>
    <r>
      <rPr>
        <vertAlign val="superscript"/>
        <sz val="10"/>
        <color theme="1"/>
        <rFont val="Helvetica"/>
        <family val="2"/>
      </rPr>
      <t>-1</t>
    </r>
    <phoneticPr fontId="1" type="noConversion"/>
  </si>
  <si>
    <r>
      <t>Mg C ha</t>
    </r>
    <r>
      <rPr>
        <vertAlign val="superscript"/>
        <sz val="10"/>
        <color theme="1"/>
        <rFont val="Helvetica"/>
        <family val="2"/>
      </rPr>
      <t>-1</t>
    </r>
    <r>
      <rPr>
        <sz val="10"/>
        <color theme="1"/>
        <rFont val="Helvetica"/>
        <family val="2"/>
      </rPr>
      <t xml:space="preserve"> yr</t>
    </r>
    <r>
      <rPr>
        <vertAlign val="superscript"/>
        <sz val="10"/>
        <color theme="1"/>
        <rFont val="Helvetica"/>
        <family val="2"/>
      </rPr>
      <t>-1</t>
    </r>
    <phoneticPr fontId="1" type="noConversion"/>
  </si>
  <si>
    <r>
      <t>Pure phyllostachys edulis stand. Weeded once a year, fertilised every 2 yrs. Amount of fertilizers added = 0.25 kg per culm (N:P</t>
    </r>
    <r>
      <rPr>
        <vertAlign val="subscript"/>
        <sz val="10"/>
        <color theme="1"/>
        <rFont val="Helvetica"/>
        <family val="2"/>
      </rPr>
      <t>2</t>
    </r>
    <r>
      <rPr>
        <sz val="10"/>
        <color theme="1"/>
        <rFont val="Helvetica"/>
        <family val="2"/>
      </rPr>
      <t>O</t>
    </r>
    <r>
      <rPr>
        <vertAlign val="subscript"/>
        <sz val="10"/>
        <color theme="1"/>
        <rFont val="Helvetica"/>
        <family val="2"/>
      </rPr>
      <t>5</t>
    </r>
    <r>
      <rPr>
        <sz val="10"/>
        <color theme="1"/>
        <rFont val="Helvetica"/>
        <family val="2"/>
      </rPr>
      <t>:K</t>
    </r>
    <r>
      <rPr>
        <vertAlign val="subscript"/>
        <sz val="10"/>
        <color theme="1"/>
        <rFont val="Helvetica"/>
        <family val="2"/>
      </rPr>
      <t>2</t>
    </r>
    <r>
      <rPr>
        <sz val="10"/>
        <color theme="1"/>
        <rFont val="Helvetica"/>
        <family val="2"/>
      </rPr>
      <t>O=9:5:6)</t>
    </r>
    <phoneticPr fontId="1" type="noConversion"/>
  </si>
  <si>
    <r>
      <t>Wang et al. (2009); This study (2021)</t>
    </r>
    <r>
      <rPr>
        <vertAlign val="superscript"/>
        <sz val="10"/>
        <color theme="1"/>
        <rFont val="Helvetica"/>
        <family val="2"/>
      </rPr>
      <t>6</t>
    </r>
    <phoneticPr fontId="1" type="noConversion"/>
  </si>
  <si>
    <r>
      <t xml:space="preserve">Daan, (900-1,200m) mid </t>
    </r>
    <r>
      <rPr>
        <b/>
        <sz val="10"/>
        <color theme="1"/>
        <rFont val="Helvetica"/>
        <family val="2"/>
      </rPr>
      <t>altitude</t>
    </r>
    <r>
      <rPr>
        <sz val="10"/>
        <color theme="1"/>
        <rFont val="Helvetica"/>
        <family val="2"/>
      </rPr>
      <t xml:space="preserve"> area of central Taiwan, Nantou County</t>
    </r>
    <phoneticPr fontId="1" type="noConversion"/>
  </si>
  <si>
    <r>
      <t>Fertilised - (N:P:K: 21:17:17; 244 kg N ha</t>
    </r>
    <r>
      <rPr>
        <vertAlign val="superscript"/>
        <sz val="10"/>
        <color theme="1"/>
        <rFont val="Helvetica"/>
        <family val="2"/>
      </rPr>
      <t>-1</t>
    </r>
    <r>
      <rPr>
        <sz val="10"/>
        <color theme="1"/>
        <rFont val="Helvetica"/>
        <family val="2"/>
      </rPr>
      <t xml:space="preserve"> yr</t>
    </r>
    <r>
      <rPr>
        <vertAlign val="superscript"/>
        <sz val="10"/>
        <color theme="1"/>
        <rFont val="Helvetica"/>
        <family val="2"/>
      </rPr>
      <t>-1</t>
    </r>
    <r>
      <rPr>
        <sz val="10"/>
        <color theme="1"/>
        <rFont val="Helvetica"/>
        <family val="2"/>
      </rPr>
      <t>, 196 kg P ha</t>
    </r>
    <r>
      <rPr>
        <vertAlign val="superscript"/>
        <sz val="10"/>
        <color theme="1"/>
        <rFont val="Helvetica"/>
        <family val="2"/>
      </rPr>
      <t>-1</t>
    </r>
    <r>
      <rPr>
        <sz val="10"/>
        <color theme="1"/>
        <rFont val="Helvetica"/>
        <family val="2"/>
      </rPr>
      <t xml:space="preserve"> yr</t>
    </r>
    <r>
      <rPr>
        <vertAlign val="superscript"/>
        <sz val="10"/>
        <color theme="1"/>
        <rFont val="Helvetica"/>
        <family val="2"/>
      </rPr>
      <t>-1</t>
    </r>
    <r>
      <rPr>
        <sz val="10"/>
        <color theme="1"/>
        <rFont val="Helvetica"/>
        <family val="2"/>
      </rPr>
      <t>, 196 kg K ha</t>
    </r>
    <r>
      <rPr>
        <vertAlign val="superscript"/>
        <sz val="10"/>
        <color theme="1"/>
        <rFont val="Helvetica"/>
        <family val="2"/>
      </rPr>
      <t>-1</t>
    </r>
    <r>
      <rPr>
        <sz val="10"/>
        <color theme="1"/>
        <rFont val="Helvetica"/>
        <family val="2"/>
      </rPr>
      <t xml:space="preserve"> yr</t>
    </r>
    <r>
      <rPr>
        <vertAlign val="superscript"/>
        <sz val="10"/>
        <color theme="1"/>
        <rFont val="Helvetica"/>
        <family val="2"/>
      </rPr>
      <t>-1</t>
    </r>
    <r>
      <rPr>
        <sz val="10"/>
        <color theme="1"/>
        <rFont val="Helvetica"/>
        <family val="2"/>
      </rPr>
      <t xml:space="preserve">) </t>
    </r>
    <phoneticPr fontId="1" type="noConversion"/>
  </si>
  <si>
    <r>
      <rPr>
        <vertAlign val="superscript"/>
        <sz val="12"/>
        <color theme="1"/>
        <rFont val="Helvetica"/>
        <family val="2"/>
      </rPr>
      <t>8</t>
    </r>
    <r>
      <rPr>
        <sz val="12"/>
        <color theme="1"/>
        <rFont val="Helvetica"/>
        <family val="2"/>
      </rPr>
      <t xml:space="preserve"> The holdout data set is from observation 82 to 105 which is not involved any validation and testing</t>
    </r>
    <phoneticPr fontId="1" type="noConversion"/>
  </si>
  <si>
    <r>
      <rPr>
        <vertAlign val="superscript"/>
        <sz val="12"/>
        <color theme="1"/>
        <rFont val="Helvetica"/>
        <family val="2"/>
      </rPr>
      <t>1</t>
    </r>
    <r>
      <rPr>
        <sz val="12"/>
        <color theme="1"/>
        <rFont val="Helvetica"/>
        <family val="2"/>
      </rPr>
      <t xml:space="preserve"> Components not attached to standing crop (Eg. litter, liana) excluded from AGC </t>
    </r>
    <phoneticPr fontId="1" type="noConversion"/>
  </si>
  <si>
    <r>
      <rPr>
        <vertAlign val="superscript"/>
        <sz val="12"/>
        <color theme="1"/>
        <rFont val="Helvetica"/>
        <family val="2"/>
      </rPr>
      <t>2</t>
    </r>
    <r>
      <rPr>
        <sz val="12"/>
        <color theme="1"/>
        <rFont val="Helvetica"/>
        <family val="2"/>
      </rPr>
      <t xml:space="preserve"> Average or range reported. Unit of measurement as specified unless otherwise stated </t>
    </r>
    <phoneticPr fontId="1" type="noConversion"/>
  </si>
  <si>
    <r>
      <rPr>
        <vertAlign val="superscript"/>
        <sz val="12"/>
        <color theme="1"/>
        <rFont val="Helvetica"/>
        <family val="2"/>
      </rPr>
      <t>4</t>
    </r>
    <r>
      <rPr>
        <sz val="12"/>
        <color theme="1"/>
        <rFont val="Helvetica"/>
        <family val="2"/>
      </rPr>
      <t xml:space="preserve"> Midpoint values reported (max+min/2) if a range was given </t>
    </r>
    <phoneticPr fontId="1" type="noConversion"/>
  </si>
  <si>
    <r>
      <rPr>
        <vertAlign val="superscript"/>
        <sz val="12"/>
        <color theme="1"/>
        <rFont val="Helvetica"/>
        <family val="2"/>
      </rPr>
      <t>5</t>
    </r>
    <r>
      <rPr>
        <sz val="12"/>
        <color theme="1"/>
        <rFont val="Helvetica"/>
        <family val="2"/>
      </rPr>
      <t xml:space="preserve"> Weather factors referance from the cloest weather station if they are not mentioned in original researh articles. We check the nearest weather station's data and input it the data sheet (in Japan https://www.data.jma.go.jp/gmd/risk/obsdl/index.php) (in Taiwan https://e-service.cwb.gov.tw/HistoryDataQuery/index.jsp)</t>
    </r>
    <phoneticPr fontId="1" type="noConversion"/>
  </si>
  <si>
    <r>
      <rPr>
        <vertAlign val="superscript"/>
        <sz val="12"/>
        <color theme="1"/>
        <rFont val="Helvetica"/>
        <family val="2"/>
      </rPr>
      <t>6</t>
    </r>
    <r>
      <rPr>
        <sz val="12"/>
        <color theme="1"/>
        <rFont val="Helvetica"/>
        <family val="2"/>
      </rPr>
      <t xml:space="preserve"> In this study, we reveal the soil nutrients and belowground carbon ratio in Huisun Experimental Forest Station</t>
    </r>
    <phoneticPr fontId="1" type="noConversion"/>
  </si>
  <si>
    <r>
      <rPr>
        <vertAlign val="superscript"/>
        <sz val="12"/>
        <color theme="1"/>
        <rFont val="Helvetica"/>
        <family val="2"/>
      </rPr>
      <t>7</t>
    </r>
    <r>
      <rPr>
        <sz val="12"/>
        <color theme="1"/>
        <rFont val="Helvetica"/>
        <family val="2"/>
      </rPr>
      <t xml:space="preserve"> Managed, fertilised, weeded and selective cutting, shoots dug, clear cutting, and mixed with other forests are dummy variables set via description of original resaerch articles. 1 means yes, and 0 means no.</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</si>
</sst>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_);[Red]\(0.00\)"/>
    <numFmt numFmtId="177" formatCode="0_);[Red]\(0\)"/>
  </numFmts>
  <fonts count="13">
    <font>
      <sz val="12"/>
      <color theme="1"/>
      <name val="新細明體"/>
      <family val="2"/>
      <charset val="136"/>
      <scheme val="minor"/>
    </font>
    <font>
      <sz val="9"/>
      <name val="新細明體"/>
      <family val="2"/>
      <charset val="136"/>
      <scheme val="minor"/>
    </font>
    <font>
      <sz val="10"/>
      <color theme="1"/>
      <name val="Times New Roman"/>
      <family val="1"/>
    </font>
    <font>
      <u/>
      <sz val="12"/>
      <color theme="10"/>
      <name val="新細明體"/>
      <family val="2"/>
      <charset val="136"/>
      <scheme val="minor"/>
    </font>
    <font>
      <sz val="12"/>
      <color theme="1"/>
      <name val="Times New Roman"/>
      <family val="1"/>
    </font>
    <font>
      <sz val="10"/>
      <color theme="1"/>
      <name val="Helvetica"/>
      <family val="2"/>
    </font>
    <font>
      <i/>
      <sz val="10"/>
      <color theme="1"/>
      <name val="Helvetica"/>
      <family val="2"/>
    </font>
    <font>
      <vertAlign val="superscript"/>
      <sz val="10"/>
      <color theme="1"/>
      <name val="Helvetica"/>
      <family val="2"/>
    </font>
    <font>
      <vertAlign val="subscript"/>
      <sz val="10"/>
      <color theme="1"/>
      <name val="Helvetica"/>
      <family val="2"/>
    </font>
    <font>
      <u/>
      <sz val="10"/>
      <color theme="1"/>
      <name val="Helvetica"/>
      <family val="2"/>
    </font>
    <font>
      <b/>
      <sz val="10"/>
      <color theme="1"/>
      <name val="Helvetica"/>
      <family val="2"/>
    </font>
    <font>
      <sz val="12"/>
      <color theme="1"/>
      <name val="Helvetica"/>
      <family val="2"/>
    </font>
    <font>
      <vertAlign val="superscript"/>
      <sz val="12"/>
      <color theme="1"/>
      <name val="Helvetica"/>
      <family val="2"/>
    </font>
  </fonts>
  <fills count="2">
    <fill>
      <patternFill patternType="none"/>
    </fill>
    <fill>
      <patternFill patternType="gray125"/>
    </fill>
  </fills>
  <borders count="11">
    <border>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medium">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40">
    <xf numFmtId="0" fontId="0" fillId="0" borderId="0" xfId="0">
      <alignment vertical="center"/>
    </xf>
    <xf numFmtId="0" fontId="2" fillId="0" borderId="0" xfId="0" applyFont="1">
      <alignment vertical="center"/>
    </xf>
    <xf numFmtId="0" fontId="4" fillId="0" borderId="0" xfId="0" applyFont="1">
      <alignment vertical="center"/>
    </xf>
    <xf numFmtId="0" fontId="0" fillId="0" borderId="0" xfId="0" applyFont="1">
      <alignment vertical="center"/>
    </xf>
    <xf numFmtId="176" fontId="4" fillId="0" borderId="0" xfId="0" applyNumberFormat="1" applyFont="1">
      <alignment vertical="center"/>
    </xf>
    <xf numFmtId="0" fontId="5" fillId="0" borderId="3" xfId="0" applyFont="1" applyBorder="1">
      <alignment vertical="center"/>
    </xf>
    <xf numFmtId="0" fontId="5" fillId="0" borderId="0" xfId="0" applyFont="1">
      <alignment vertical="center"/>
    </xf>
    <xf numFmtId="0" fontId="5" fillId="0" borderId="4" xfId="0" applyFont="1" applyFill="1" applyBorder="1" applyAlignment="1">
      <alignment horizontal="center" vertical="center"/>
    </xf>
    <xf numFmtId="176" fontId="5" fillId="0" borderId="4" xfId="0" applyNumberFormat="1" applyFont="1" applyFill="1" applyBorder="1" applyAlignment="1">
      <alignment horizontal="center" vertical="center"/>
    </xf>
    <xf numFmtId="176" fontId="5" fillId="0" borderId="5" xfId="0" applyNumberFormat="1" applyFont="1" applyFill="1" applyBorder="1">
      <alignment vertical="center"/>
    </xf>
    <xf numFmtId="0" fontId="5" fillId="0" borderId="4" xfId="0" applyFont="1" applyFill="1" applyBorder="1" applyAlignment="1">
      <alignment horizontal="left" vertical="center"/>
    </xf>
    <xf numFmtId="0" fontId="5" fillId="0" borderId="6" xfId="0" applyFont="1" applyFill="1" applyBorder="1" applyAlignment="1">
      <alignment horizontal="center" vertical="center"/>
    </xf>
    <xf numFmtId="0" fontId="5" fillId="0" borderId="0" xfId="0" applyFont="1" applyFill="1">
      <alignment vertical="center"/>
    </xf>
    <xf numFmtId="0" fontId="5" fillId="0" borderId="2" xfId="0" applyFont="1" applyFill="1" applyBorder="1" applyAlignment="1">
      <alignment horizontal="center" vertical="center"/>
    </xf>
    <xf numFmtId="176" fontId="5" fillId="0" borderId="2" xfId="0" applyNumberFormat="1" applyFont="1" applyFill="1" applyBorder="1" applyAlignment="1">
      <alignment horizontal="center" vertical="center"/>
    </xf>
    <xf numFmtId="176" fontId="5" fillId="0" borderId="0" xfId="0" applyNumberFormat="1" applyFont="1" applyFill="1" applyBorder="1">
      <alignment vertical="center"/>
    </xf>
    <xf numFmtId="0" fontId="5" fillId="0" borderId="2" xfId="0" applyFont="1" applyFill="1" applyBorder="1" applyAlignment="1">
      <alignment horizontal="left" vertical="center"/>
    </xf>
    <xf numFmtId="0" fontId="5" fillId="0" borderId="7" xfId="0" applyFont="1" applyFill="1" applyBorder="1" applyAlignment="1">
      <alignment horizontal="center" vertical="center"/>
    </xf>
    <xf numFmtId="0" fontId="5" fillId="0" borderId="0" xfId="0" applyFont="1" applyFill="1" applyBorder="1">
      <alignment vertical="center"/>
    </xf>
    <xf numFmtId="0" fontId="5" fillId="0" borderId="1" xfId="0" applyFont="1" applyFill="1" applyBorder="1">
      <alignment vertical="center"/>
    </xf>
    <xf numFmtId="176" fontId="5" fillId="0" borderId="1" xfId="0" applyNumberFormat="1" applyFont="1" applyFill="1" applyBorder="1">
      <alignment vertical="center"/>
    </xf>
    <xf numFmtId="0" fontId="9" fillId="0" borderId="1" xfId="1" applyFont="1" applyFill="1" applyBorder="1">
      <alignment vertical="center"/>
    </xf>
    <xf numFmtId="0" fontId="5" fillId="0" borderId="8" xfId="0" applyFont="1" applyFill="1" applyBorder="1" applyAlignment="1">
      <alignment horizontal="center" vertical="center"/>
    </xf>
    <xf numFmtId="0" fontId="5" fillId="0" borderId="9" xfId="0" applyFont="1" applyFill="1" applyBorder="1" applyAlignment="1">
      <alignment horizontal="center" vertical="center"/>
    </xf>
    <xf numFmtId="0" fontId="9" fillId="0" borderId="0" xfId="1" applyFont="1" applyFill="1" applyBorder="1">
      <alignment vertical="center"/>
    </xf>
    <xf numFmtId="177" fontId="5" fillId="0" borderId="0" xfId="0" applyNumberFormat="1" applyFont="1" applyFill="1" applyBorder="1">
      <alignment vertical="center"/>
    </xf>
    <xf numFmtId="177" fontId="5" fillId="0" borderId="0" xfId="0" applyNumberFormat="1" applyFont="1" applyFill="1" applyBorder="1" applyAlignment="1">
      <alignment horizontal="right" vertical="center"/>
    </xf>
    <xf numFmtId="176" fontId="5" fillId="0" borderId="0" xfId="0" applyNumberFormat="1" applyFont="1" applyFill="1" applyBorder="1" applyAlignment="1">
      <alignment horizontal="right" vertical="center"/>
    </xf>
    <xf numFmtId="0" fontId="5" fillId="0" borderId="0" xfId="0" applyFont="1" applyFill="1" applyBorder="1" applyAlignment="1">
      <alignment vertical="center" wrapText="1"/>
    </xf>
    <xf numFmtId="0" fontId="9" fillId="0" borderId="0" xfId="1" applyFont="1" applyFill="1" applyBorder="1" applyAlignment="1">
      <alignment vertical="center" wrapText="1"/>
    </xf>
    <xf numFmtId="0" fontId="5" fillId="0" borderId="3" xfId="0" applyFont="1" applyFill="1" applyBorder="1">
      <alignment vertical="center"/>
    </xf>
    <xf numFmtId="176" fontId="5" fillId="0" borderId="3" xfId="0" applyNumberFormat="1" applyFont="1" applyFill="1" applyBorder="1">
      <alignment vertical="center"/>
    </xf>
    <xf numFmtId="0" fontId="9" fillId="0" borderId="3" xfId="1" applyFont="1" applyFill="1" applyBorder="1">
      <alignment vertical="center"/>
    </xf>
    <xf numFmtId="0" fontId="5" fillId="0" borderId="10" xfId="0" applyFont="1" applyFill="1" applyBorder="1" applyAlignment="1">
      <alignment horizontal="center" vertical="center"/>
    </xf>
    <xf numFmtId="0" fontId="11" fillId="0" borderId="0" xfId="0" applyFont="1">
      <alignment vertical="center"/>
    </xf>
    <xf numFmtId="0" fontId="5" fillId="0" borderId="2" xfId="0" applyFont="1" applyFill="1" applyBorder="1">
      <alignment vertical="center"/>
    </xf>
    <xf numFmtId="176" fontId="5" fillId="0" borderId="2" xfId="0" applyNumberFormat="1" applyFont="1" applyFill="1" applyBorder="1">
      <alignment vertical="center"/>
    </xf>
    <xf numFmtId="0" fontId="5" fillId="0" borderId="2" xfId="0" applyFont="1" applyFill="1" applyBorder="1" applyAlignment="1">
      <alignment vertical="center" wrapText="1"/>
    </xf>
    <xf numFmtId="0" fontId="9" fillId="0" borderId="2" xfId="1" applyFont="1" applyFill="1" applyBorder="1">
      <alignment vertical="center"/>
    </xf>
    <xf numFmtId="0" fontId="5" fillId="0" borderId="7" xfId="0" applyFont="1" applyFill="1" applyBorder="1" applyAlignment="1">
      <alignment horizontal="center"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link.springer.com/article/10.1023/A:1009711814070" TargetMode="External"/><Relationship Id="rId21" Type="http://schemas.openxmlformats.org/officeDocument/2006/relationships/hyperlink" Target="https://agupubs.onlinelibrary.wiley.com/doi/full/10.1029/2009JG001234" TargetMode="External"/><Relationship Id="rId42" Type="http://schemas.openxmlformats.org/officeDocument/2006/relationships/hyperlink" Target="https://catalog.lib.kyushu-u.ac.jp/opac_detail_md/?lang=0&amp;amode=MD100000&amp;bibid=1913975" TargetMode="External"/><Relationship Id="rId47" Type="http://schemas.openxmlformats.org/officeDocument/2006/relationships/hyperlink" Target="https://www.jstage.jst.go.jp/article/jjfs/100/4/100_124/_article/-char/ja" TargetMode="External"/><Relationship Id="rId63" Type="http://schemas.openxmlformats.org/officeDocument/2006/relationships/hyperlink" Target="http://ir.lib.nchu.edu.tw/bitstream/11455/74254/1/143838-3.pdf" TargetMode="External"/><Relationship Id="rId68" Type="http://schemas.openxmlformats.org/officeDocument/2006/relationships/hyperlink" Target="https://advances.sciencemag.org/content/6/12/eaaw5790" TargetMode="External"/><Relationship Id="rId84" Type="http://schemas.openxmlformats.org/officeDocument/2006/relationships/hyperlink" Target="https://doi.org/10.1186/s40663-021-00285-0" TargetMode="External"/><Relationship Id="rId89" Type="http://schemas.openxmlformats.org/officeDocument/2006/relationships/hyperlink" Target="http://www.cjae.net/CN/Y2013/V24/I10/2717" TargetMode="External"/><Relationship Id="rId16" Type="http://schemas.openxmlformats.org/officeDocument/2006/relationships/hyperlink" Target="http://www.sisef.it/iforest/contents/?id=ifor1674-008" TargetMode="External"/><Relationship Id="rId11" Type="http://schemas.openxmlformats.org/officeDocument/2006/relationships/hyperlink" Target="http://kiss.kstudy.com/thesis/thesis-view.asp?key=3042038" TargetMode="External"/><Relationship Id="rId32" Type="http://schemas.openxmlformats.org/officeDocument/2006/relationships/hyperlink" Target="http://web.kyoto-inet.or.jp/people/j-bamboo/bj-5.html" TargetMode="External"/><Relationship Id="rId37" Type="http://schemas.openxmlformats.org/officeDocument/2006/relationships/hyperlink" Target="http://web.kyoto-inet.or.jp/people/j-bamboo/bj-3.html" TargetMode="External"/><Relationship Id="rId53" Type="http://schemas.openxmlformats.org/officeDocument/2006/relationships/hyperlink" Target="https://www.jstage.jst.go.jp/article/jjsk/58/0/58_KJ00006203544/_article/-char/ja/" TargetMode="External"/><Relationship Id="rId58" Type="http://schemas.openxmlformats.org/officeDocument/2006/relationships/hyperlink" Target="http://ir.lib.nchu.edu.tw/bitstream/11455/74254/1/143838-3.pdf" TargetMode="External"/><Relationship Id="rId74" Type="http://schemas.openxmlformats.org/officeDocument/2006/relationships/hyperlink" Target="https://esj-journals.onlinelibrary.wiley.com/doi/full/10.1007/s11284-017-1497-5" TargetMode="External"/><Relationship Id="rId79" Type="http://schemas.openxmlformats.org/officeDocument/2006/relationships/hyperlink" Target="https://doi.org/10.1016/j.apsoil.2020.103758" TargetMode="External"/><Relationship Id="rId5" Type="http://schemas.openxmlformats.org/officeDocument/2006/relationships/hyperlink" Target="https://link.springer.com/article/10.1007/s11368-013-0665-7" TargetMode="External"/><Relationship Id="rId90" Type="http://schemas.openxmlformats.org/officeDocument/2006/relationships/hyperlink" Target="https://core.ac.uk/download/pdf/41355338.pdf" TargetMode="External"/><Relationship Id="rId95" Type="http://schemas.openxmlformats.org/officeDocument/2006/relationships/hyperlink" Target="https://doi.org/10.1016/j.foreco.2019.117449" TargetMode="External"/><Relationship Id="rId22" Type="http://schemas.openxmlformats.org/officeDocument/2006/relationships/hyperlink" Target="http://kns.cnki.net/kcms/detail/detail.aspx?DbCode=CJFD&amp;dbname=CJFD9093&amp;filename=LYKX199305011" TargetMode="External"/><Relationship Id="rId27" Type="http://schemas.openxmlformats.org/officeDocument/2006/relationships/hyperlink" Target="https://www.jstage.jst.go.jp/article/jass/24/4/24_243/_article/-char/ja/" TargetMode="External"/><Relationship Id="rId43" Type="http://schemas.openxmlformats.org/officeDocument/2006/relationships/hyperlink" Target="https://ir.kagoshima-u.ac.jp/?action=pages_view_main&amp;active_action=repository_view_main_item_detail&amp;item_id=12611&amp;item_no=1&amp;page_id=13&amp;block_id=21" TargetMode="External"/><Relationship Id="rId48" Type="http://schemas.openxmlformats.org/officeDocument/2006/relationships/hyperlink" Target="https://esj-journals.onlinelibrary.wiley.com/doi/pdf/10.1007/s11284-014-1150-5" TargetMode="External"/><Relationship Id="rId64" Type="http://schemas.openxmlformats.org/officeDocument/2006/relationships/hyperlink" Target="https://www.researchgate.net/publication/333507633_The_Structures_Aboveground_Biomass_Carbon_Storage_of_Phyllostachys_pubescens_Stand_in_Huisun_Experimental_Forest_Station_and_Shi-Zhuo" TargetMode="External"/><Relationship Id="rId69" Type="http://schemas.openxmlformats.org/officeDocument/2006/relationships/hyperlink" Target="https://advances.sciencemag.org/content/6/12/eaaw5790" TargetMode="External"/><Relationship Id="rId80" Type="http://schemas.openxmlformats.org/officeDocument/2006/relationships/hyperlink" Target="https://doi.org/10.1016/j.apsoil.2020.103758" TargetMode="External"/><Relationship Id="rId85" Type="http://schemas.openxmlformats.org/officeDocument/2006/relationships/hyperlink" Target="https://doi.org/10.1371/journal.pone.0193024" TargetMode="External"/><Relationship Id="rId3" Type="http://schemas.openxmlformats.org/officeDocument/2006/relationships/hyperlink" Target="http://zlxb.zafu.edu.cn/EN/10.11833/j.issn.2095-0756.2012.03.001" TargetMode="External"/><Relationship Id="rId12" Type="http://schemas.openxmlformats.org/officeDocument/2006/relationships/hyperlink" Target="http://kiss.kstudy.com/thesis/thesis-view.asp?key=2459514" TargetMode="External"/><Relationship Id="rId17" Type="http://schemas.openxmlformats.org/officeDocument/2006/relationships/hyperlink" Target="https://link.springer.com/article/10.1007/s11368-013-0665-7" TargetMode="External"/><Relationship Id="rId25" Type="http://schemas.openxmlformats.org/officeDocument/2006/relationships/hyperlink" Target="https://www.jstage.jst.go.jp/article/jass/24/4/24_243/_article/-char/ja/" TargetMode="External"/><Relationship Id="rId33" Type="http://schemas.openxmlformats.org/officeDocument/2006/relationships/hyperlink" Target="http://web.kyoto-inet.or.jp/people/j-bamboo/bj-5.html" TargetMode="External"/><Relationship Id="rId38" Type="http://schemas.openxmlformats.org/officeDocument/2006/relationships/hyperlink" Target="http://web.kyoto-inet.or.jp/people/j-bamboo/bj-5.html" TargetMode="External"/><Relationship Id="rId46" Type="http://schemas.openxmlformats.org/officeDocument/2006/relationships/hyperlink" Target="https://catalog.lib.kyushu-u.ac.jp/opac_detail_md/?lang=0&amp;amode=MD100000&amp;bibid=1913975" TargetMode="External"/><Relationship Id="rId59" Type="http://schemas.openxmlformats.org/officeDocument/2006/relationships/hyperlink" Target="http://ir.lib.nchu.edu.tw/bitstream/11455/74254/1/143838-3.pdf" TargetMode="External"/><Relationship Id="rId67" Type="http://schemas.openxmlformats.org/officeDocument/2006/relationships/hyperlink" Target="http://www.airitilibrary.com/Publication/alDetailedMesh?docid=05781345-201406-201503020016-201503020016-181-192" TargetMode="External"/><Relationship Id="rId20" Type="http://schemas.openxmlformats.org/officeDocument/2006/relationships/hyperlink" Target="http://zlxb.zafu.edu.cn/CN/10.11833/j.issn.2095-0756.2012.01.010" TargetMode="External"/><Relationship Id="rId41" Type="http://schemas.openxmlformats.org/officeDocument/2006/relationships/hyperlink" Target="https://www.jstage.jst.go.jp/article/jjsrt/35/1/35_1_57/_article/-char/ja" TargetMode="External"/><Relationship Id="rId54" Type="http://schemas.openxmlformats.org/officeDocument/2006/relationships/hyperlink" Target="http://www.airitilibrary.com/Publication/alDetailedMesh?docid=05781345-201406-201503020016-201503020016-181-192" TargetMode="External"/><Relationship Id="rId62" Type="http://schemas.openxmlformats.org/officeDocument/2006/relationships/hyperlink" Target="https://www.sciencedirect.com/science/article/pii/S0378112710007188" TargetMode="External"/><Relationship Id="rId70" Type="http://schemas.openxmlformats.org/officeDocument/2006/relationships/hyperlink" Target="https://advances.sciencemag.org/content/6/12/eaaw5790" TargetMode="External"/><Relationship Id="rId75" Type="http://schemas.openxmlformats.org/officeDocument/2006/relationships/hyperlink" Target="https://doi.org/10.1080/13504509.2013.811445" TargetMode="External"/><Relationship Id="rId83" Type="http://schemas.openxmlformats.org/officeDocument/2006/relationships/hyperlink" Target="https://doi.org/10.1186/s40663-021-00285-0" TargetMode="External"/><Relationship Id="rId88" Type="http://schemas.openxmlformats.org/officeDocument/2006/relationships/hyperlink" Target="https://doi.org/10.1371/journal.pone.0193024" TargetMode="External"/><Relationship Id="rId91" Type="http://schemas.openxmlformats.org/officeDocument/2006/relationships/hyperlink" Target="https://www.cabdirect.org/cabdirect/abstract/20153321847" TargetMode="External"/><Relationship Id="rId96" Type="http://schemas.openxmlformats.org/officeDocument/2006/relationships/hyperlink" Target="https://doi.org/10.1016/j.foreco.2019.117449" TargetMode="External"/><Relationship Id="rId1" Type="http://schemas.openxmlformats.org/officeDocument/2006/relationships/hyperlink" Target="http://zlxb.zafu.edu.cn/CN/10.11833/j.issn.2095-0756.2012.01.010" TargetMode="External"/><Relationship Id="rId6" Type="http://schemas.openxmlformats.org/officeDocument/2006/relationships/hyperlink" Target="https://www.ncbi.nlm.nih.gov/pmc/articles/PMC1635818/" TargetMode="External"/><Relationship Id="rId15" Type="http://schemas.openxmlformats.org/officeDocument/2006/relationships/hyperlink" Target="http://www.sisef.it/iforest/contents/?id=ifor1674-008" TargetMode="External"/><Relationship Id="rId23" Type="http://schemas.openxmlformats.org/officeDocument/2006/relationships/hyperlink" Target="http://kns.cnki.net/kcms/detail/detail.aspx?DbCode=CJFD&amp;dbname=CJFD9093&amp;filename=LYKX199305011" TargetMode="External"/><Relationship Id="rId28" Type="http://schemas.openxmlformats.org/officeDocument/2006/relationships/hyperlink" Target="https://www.jstage.jst.go.jp/article/jjsrt/35/1/35_1_57/_article/-char/ja" TargetMode="External"/><Relationship Id="rId36" Type="http://schemas.openxmlformats.org/officeDocument/2006/relationships/hyperlink" Target="http://web.kyoto-inet.or.jp/people/j-bamboo/bj-3.html" TargetMode="External"/><Relationship Id="rId49" Type="http://schemas.openxmlformats.org/officeDocument/2006/relationships/hyperlink" Target="https://esj-journals.onlinelibrary.wiley.com/doi/pdf/10.1007/s11284-014-1150-5" TargetMode="External"/><Relationship Id="rId57" Type="http://schemas.openxmlformats.org/officeDocument/2006/relationships/hyperlink" Target="http://www.airitilibrary.com/Publication/alDetailedMesh?docid=05781345-201406-201503020016-201503020016-181-192" TargetMode="External"/><Relationship Id="rId10" Type="http://schemas.openxmlformats.org/officeDocument/2006/relationships/hyperlink" Target="https://www.jstor.org/stable/43595383?read-now=1&amp;seq=1" TargetMode="External"/><Relationship Id="rId31" Type="http://schemas.openxmlformats.org/officeDocument/2006/relationships/hyperlink" Target="https://www.jstage.jst.go.jp/article/jjfe/57/1/57_KJ00009983906/_pdf/-char/ja" TargetMode="External"/><Relationship Id="rId44" Type="http://schemas.openxmlformats.org/officeDocument/2006/relationships/hyperlink" Target="https://ir.kagoshima-u.ac.jp/?action=pages_view_main&amp;active_action=repository_view_main_item_detail&amp;item_id=12611&amp;item_no=1&amp;page_id=13&amp;block_id=21" TargetMode="External"/><Relationship Id="rId52" Type="http://schemas.openxmlformats.org/officeDocument/2006/relationships/hyperlink" Target="https://www.jstage.jst.go.jp/article/jjsk/58/0/58_KJ00006203544/_article/-char/ja/" TargetMode="External"/><Relationship Id="rId60" Type="http://schemas.openxmlformats.org/officeDocument/2006/relationships/hyperlink" Target="https://www.sciencedirect.com/science/article/pii/S0378112710007188" TargetMode="External"/><Relationship Id="rId65" Type="http://schemas.openxmlformats.org/officeDocument/2006/relationships/hyperlink" Target="https://www.researchgate.net/publication/333507633_The_Structures_Aboveground_Biomass_Carbon_Storage_of_Phyllostachys_pubescens_Stand_in_Huisun_Experimental_Forest_Station_and_Shi-Zhuo" TargetMode="External"/><Relationship Id="rId73" Type="http://schemas.openxmlformats.org/officeDocument/2006/relationships/hyperlink" Target="https://www.researchgate.net/publication/306133854_The_trend_of_growth_characteristics_of_moso_bamboo_Phyllostachys_pubescens_forests_under_an_unmanaged_condition_in_central_Taiwan" TargetMode="External"/><Relationship Id="rId78" Type="http://schemas.openxmlformats.org/officeDocument/2006/relationships/hyperlink" Target="https://doi.org/10.1016/j.apsoil.2020.103758" TargetMode="External"/><Relationship Id="rId81" Type="http://schemas.openxmlformats.org/officeDocument/2006/relationships/hyperlink" Target="https://doi.org/10.1016/j.foreco.2020.118745" TargetMode="External"/><Relationship Id="rId86" Type="http://schemas.openxmlformats.org/officeDocument/2006/relationships/hyperlink" Target="https://doi.org/10.1371/journal.pone.0193024" TargetMode="External"/><Relationship Id="rId94" Type="http://schemas.openxmlformats.org/officeDocument/2006/relationships/hyperlink" Target="https://doi.org/10.1016/j.foreco.2019.117449" TargetMode="External"/><Relationship Id="rId4" Type="http://schemas.openxmlformats.org/officeDocument/2006/relationships/hyperlink" Target="http://html.rhhz.net/linyekexue/html/20131125.htm" TargetMode="External"/><Relationship Id="rId9" Type="http://schemas.openxmlformats.org/officeDocument/2006/relationships/hyperlink" Target="https://www.jstor.org/stable/43595383?read-now=1&amp;seq=1" TargetMode="External"/><Relationship Id="rId13" Type="http://schemas.openxmlformats.org/officeDocument/2006/relationships/hyperlink" Target="http://kiss.kstudy.com/thesis/thesis-view.asp?key=74524" TargetMode="External"/><Relationship Id="rId18" Type="http://schemas.openxmlformats.org/officeDocument/2006/relationships/hyperlink" Target="https://link.springer.com/article/10.1007/s11368-013-0665-7" TargetMode="External"/><Relationship Id="rId39" Type="http://schemas.openxmlformats.org/officeDocument/2006/relationships/hyperlink" Target="https://www.jstage.jst.go.jp/article/jjsrt/35/1/35_1_57/_article/-char/ja" TargetMode="External"/><Relationship Id="rId34" Type="http://schemas.openxmlformats.org/officeDocument/2006/relationships/hyperlink" Target="http://web.kyoto-inet.or.jp/people/j-bamboo/bj-5.html" TargetMode="External"/><Relationship Id="rId50" Type="http://schemas.openxmlformats.org/officeDocument/2006/relationships/hyperlink" Target="https://esj-journals.onlinelibrary.wiley.com/doi/pdf/10.1007/s11284-014-1150-5" TargetMode="External"/><Relationship Id="rId55" Type="http://schemas.openxmlformats.org/officeDocument/2006/relationships/hyperlink" Target="http://www.airitilibrary.com/Publication/alDetailedMesh?docid=05781345-201406-201503020016-201503020016-181-192" TargetMode="External"/><Relationship Id="rId76" Type="http://schemas.openxmlformats.org/officeDocument/2006/relationships/hyperlink" Target="https://doi.org/10.3390/f9110671" TargetMode="External"/><Relationship Id="rId97" Type="http://schemas.openxmlformats.org/officeDocument/2006/relationships/hyperlink" Target="https://doi.org/10.1016/j.foreco.2019.117449" TargetMode="External"/><Relationship Id="rId7" Type="http://schemas.openxmlformats.org/officeDocument/2006/relationships/hyperlink" Target="http://www.sisef.it/iforest/contents/?id=ifor1674-008" TargetMode="External"/><Relationship Id="rId71" Type="http://schemas.openxmlformats.org/officeDocument/2006/relationships/hyperlink" Target="https://advances.sciencemag.org/content/6/12/eaaw5790" TargetMode="External"/><Relationship Id="rId92" Type="http://schemas.openxmlformats.org/officeDocument/2006/relationships/hyperlink" Target="https://www.cabdirect.org/cabdirect/abstract/20153321847" TargetMode="External"/><Relationship Id="rId2" Type="http://schemas.openxmlformats.org/officeDocument/2006/relationships/hyperlink" Target="http://ahnydxxb.ahau.edu.cn/ch/reader/view_abstract.aspx?file_no=201106005&amp;flag=1" TargetMode="External"/><Relationship Id="rId29" Type="http://schemas.openxmlformats.org/officeDocument/2006/relationships/hyperlink" Target="https://www.jstage.jst.go.jp/article/jila/68/5/68_5_689/_article/-char/ja" TargetMode="External"/><Relationship Id="rId24" Type="http://schemas.openxmlformats.org/officeDocument/2006/relationships/hyperlink" Target="http://www.airitilibrary.com/Publication/alDetailedMesh?DocID=10017488-201011-201101220039-201101220039-59-65" TargetMode="External"/><Relationship Id="rId40" Type="http://schemas.openxmlformats.org/officeDocument/2006/relationships/hyperlink" Target="https://www.jstage.jst.go.jp/article/jjsrt/35/1/35_1_57/_article/-char/ja" TargetMode="External"/><Relationship Id="rId45" Type="http://schemas.openxmlformats.org/officeDocument/2006/relationships/hyperlink" Target="https://ir.kagoshima-u.ac.jp/?action=pages_view_main&amp;active_action=repository_view_main_item_detail&amp;item_id=12611&amp;item_no=1&amp;page_id=13&amp;block_id=21" TargetMode="External"/><Relationship Id="rId66" Type="http://schemas.openxmlformats.org/officeDocument/2006/relationships/hyperlink" Target="https://esj-journals.onlinelibrary.wiley.com/doi/full/10.1007/s11284-017-1497-5" TargetMode="External"/><Relationship Id="rId87" Type="http://schemas.openxmlformats.org/officeDocument/2006/relationships/hyperlink" Target="https://doi.org/10.1371/journal.pone.0193024" TargetMode="External"/><Relationship Id="rId61" Type="http://schemas.openxmlformats.org/officeDocument/2006/relationships/hyperlink" Target="https://www.sciencedirect.com/science/article/pii/S0378112710007188" TargetMode="External"/><Relationship Id="rId82" Type="http://schemas.openxmlformats.org/officeDocument/2006/relationships/hyperlink" Target="https://doi.org/10.1016/j.foreco.2020.118447" TargetMode="External"/><Relationship Id="rId19" Type="http://schemas.openxmlformats.org/officeDocument/2006/relationships/hyperlink" Target="http://zlxb.zafu.edu.cn/CN/10.11833/j.issn.2095-0756.2012.01.010" TargetMode="External"/><Relationship Id="rId14" Type="http://schemas.openxmlformats.org/officeDocument/2006/relationships/hyperlink" Target="https://www.jstor.org/stable/43595383?read-now=1&amp;seq=1" TargetMode="External"/><Relationship Id="rId30" Type="http://schemas.openxmlformats.org/officeDocument/2006/relationships/hyperlink" Target="https://www.jstage.jst.go.jp/article/jass/21/1/21_65/_pdf/-char/ja" TargetMode="External"/><Relationship Id="rId35" Type="http://schemas.openxmlformats.org/officeDocument/2006/relationships/hyperlink" Target="http://web.kyoto-inet.or.jp/people/j-bamboo/bj-3.html" TargetMode="External"/><Relationship Id="rId56" Type="http://schemas.openxmlformats.org/officeDocument/2006/relationships/hyperlink" Target="http://www.airitilibrary.com/Publication/alDetailedMesh?docid=05781345-201406-201503020016-201503020016-181-192" TargetMode="External"/><Relationship Id="rId77" Type="http://schemas.openxmlformats.org/officeDocument/2006/relationships/hyperlink" Target="https://doi.org/10.3390/f9110671" TargetMode="External"/><Relationship Id="rId8" Type="http://schemas.openxmlformats.org/officeDocument/2006/relationships/hyperlink" Target="https://www.jstor.org/stable/43595383?read-now=1&amp;seq=1" TargetMode="External"/><Relationship Id="rId51" Type="http://schemas.openxmlformats.org/officeDocument/2006/relationships/hyperlink" Target="http://web.kyoto-inet.or.jp/people/j-bamboo/bj-27.html" TargetMode="External"/><Relationship Id="rId72" Type="http://schemas.openxmlformats.org/officeDocument/2006/relationships/hyperlink" Target="https://www.researchgate.net/publication/306133854_The_trend_of_growth_characteristics_of_moso_bamboo_Phyllostachys_pubescens_forests_under_an_unmanaged_condition_in_central_Taiwan" TargetMode="External"/><Relationship Id="rId93" Type="http://schemas.openxmlformats.org/officeDocument/2006/relationships/hyperlink" Target="https://doi.org/10.1016/j.apsoil.2020.103758" TargetMode="External"/><Relationship Id="rId98"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W523"/>
  <sheetViews>
    <sheetView tabSelected="1" view="pageBreakPreview" topLeftCell="A105" zoomScale="95" zoomScaleNormal="100" zoomScaleSheetLayoutView="95" workbookViewId="0">
      <selection activeCell="C79" sqref="C79"/>
    </sheetView>
  </sheetViews>
  <sheetFormatPr baseColWidth="10" defaultColWidth="8.83203125" defaultRowHeight="15"/>
  <cols>
    <col min="1" max="1" width="16" customWidth="1"/>
    <col min="2" max="2" width="7" style="1" bestFit="1" customWidth="1"/>
    <col min="3" max="3" width="58.1640625" style="1" bestFit="1" customWidth="1"/>
    <col min="4" max="4" width="18.5" style="1" customWidth="1"/>
    <col min="5" max="5" width="114.6640625" style="1" customWidth="1"/>
    <col min="6" max="6" width="21.1640625" style="1" bestFit="1" customWidth="1"/>
    <col min="7" max="7" width="12" style="1" bestFit="1" customWidth="1"/>
    <col min="8" max="8" width="11.33203125" style="1" bestFit="1" customWidth="1"/>
    <col min="9" max="9" width="7.83203125" style="1" bestFit="1" customWidth="1"/>
    <col min="10" max="10" width="7.5" style="1" bestFit="1" customWidth="1"/>
    <col min="11" max="11" width="26" style="1" customWidth="1"/>
    <col min="12" max="12" width="9.33203125" style="1" bestFit="1" customWidth="1"/>
    <col min="13" max="13" width="10" style="1" bestFit="1" customWidth="1"/>
    <col min="14" max="14" width="18.33203125" style="1" bestFit="1" customWidth="1"/>
    <col min="15" max="15" width="20" style="1" bestFit="1" customWidth="1"/>
    <col min="16" max="16" width="10.6640625" style="1" bestFit="1" customWidth="1"/>
    <col min="17" max="17" width="11.83203125" style="1" bestFit="1" customWidth="1"/>
    <col min="18" max="18" width="7.83203125" style="1" bestFit="1" customWidth="1"/>
    <col min="19" max="19" width="11.33203125" style="1" bestFit="1" customWidth="1"/>
    <col min="20" max="20" width="13" style="1" bestFit="1" customWidth="1"/>
    <col min="21" max="21" width="14.33203125" style="1" bestFit="1" customWidth="1"/>
    <col min="22" max="22" width="9.1640625" style="1" bestFit="1" customWidth="1"/>
    <col min="23" max="23" width="15" style="1" bestFit="1" customWidth="1"/>
    <col min="24" max="24" width="7.33203125" style="1" bestFit="1" customWidth="1"/>
    <col min="25" max="25" width="7.83203125" style="1" bestFit="1" customWidth="1"/>
    <col min="26" max="26" width="10.5" style="1" bestFit="1" customWidth="1"/>
    <col min="27" max="27" width="10.1640625" style="1" bestFit="1" customWidth="1"/>
    <col min="28" max="28" width="10.33203125" style="1" bestFit="1" customWidth="1"/>
    <col min="29" max="29" width="16.1640625" style="1" bestFit="1" customWidth="1"/>
    <col min="30" max="30" width="15.6640625" style="1" bestFit="1" customWidth="1"/>
    <col min="31" max="31" width="9" style="1" bestFit="1" customWidth="1"/>
    <col min="32" max="32" width="8" style="1" bestFit="1" customWidth="1"/>
    <col min="33" max="33" width="8.6640625" style="1" bestFit="1" customWidth="1"/>
    <col min="34" max="34" width="9.33203125" style="1" bestFit="1" customWidth="1"/>
    <col min="35" max="37" width="7.5" style="1" bestFit="1" customWidth="1"/>
    <col min="38" max="38" width="7.1640625" style="1" bestFit="1" customWidth="1"/>
    <col min="39" max="39" width="7.6640625" style="1" bestFit="1" customWidth="1"/>
    <col min="40" max="40" width="7.1640625" style="1" bestFit="1" customWidth="1"/>
    <col min="41" max="41" width="8.33203125" style="1" bestFit="1" customWidth="1"/>
    <col min="42" max="42" width="6.83203125" style="1" bestFit="1" customWidth="1"/>
    <col min="43" max="43" width="25.83203125" style="1" bestFit="1" customWidth="1"/>
    <col min="44" max="44" width="25.6640625" style="1" bestFit="1" customWidth="1"/>
    <col min="45" max="45" width="14" style="1" bestFit="1" customWidth="1"/>
    <col min="46" max="46" width="25.33203125" style="1" bestFit="1" customWidth="1"/>
    <col min="47" max="47" width="22.1640625" style="1" bestFit="1" customWidth="1"/>
    <col min="48" max="48" width="13" style="1" bestFit="1" customWidth="1"/>
    <col min="49" max="49" width="11.6640625" style="1" bestFit="1" customWidth="1"/>
    <col min="50" max="50" width="9.33203125" style="1" bestFit="1" customWidth="1"/>
    <col min="51" max="51" width="10.6640625" style="1" bestFit="1" customWidth="1"/>
    <col min="52" max="52" width="12.5" style="1" bestFit="1" customWidth="1"/>
    <col min="53" max="53" width="14.83203125" style="1" bestFit="1" customWidth="1"/>
    <col min="54" max="54" width="22.5" style="1" bestFit="1" customWidth="1"/>
    <col min="55" max="55" width="25.5" style="1" bestFit="1" customWidth="1"/>
    <col min="56" max="56" width="7.6640625" style="1" bestFit="1" customWidth="1"/>
    <col min="57" max="57" width="9.1640625" style="1" bestFit="1" customWidth="1"/>
    <col min="58" max="58" width="7.1640625" style="1" bestFit="1" customWidth="1"/>
    <col min="59" max="59" width="9.6640625" style="1" bestFit="1" customWidth="1"/>
    <col min="60" max="60" width="10.6640625" style="1" bestFit="1" customWidth="1"/>
    <col min="61" max="61" width="9.1640625" style="1" bestFit="1" customWidth="1"/>
    <col min="62" max="62" width="7.1640625" style="1" bestFit="1" customWidth="1"/>
    <col min="63" max="63" width="11.6640625" style="1" bestFit="1" customWidth="1"/>
    <col min="64" max="64" width="12.5" style="1" bestFit="1" customWidth="1"/>
    <col min="65" max="67" width="8.33203125" style="1" bestFit="1" customWidth="1"/>
    <col min="68" max="68" width="9.6640625" style="1" bestFit="1" customWidth="1"/>
    <col min="69" max="69" width="14" style="1" bestFit="1" customWidth="1"/>
    <col min="70" max="72" width="8.33203125" style="1" bestFit="1" customWidth="1"/>
    <col min="73" max="73" width="9.6640625" style="1" bestFit="1" customWidth="1"/>
    <col min="74" max="74" width="12.33203125" style="1" bestFit="1" customWidth="1"/>
    <col min="75" max="75" width="10.1640625" style="1" bestFit="1" customWidth="1"/>
    <col min="76" max="76" width="12.5" style="1" bestFit="1" customWidth="1"/>
    <col min="77" max="77" width="10.5" style="1" bestFit="1" customWidth="1"/>
    <col min="78" max="78" width="23.1640625" style="1" bestFit="1" customWidth="1"/>
    <col min="79" max="88" width="13" style="1" bestFit="1" customWidth="1"/>
    <col min="89" max="90" width="13.1640625" style="1" bestFit="1" customWidth="1"/>
    <col min="91" max="91" width="13" style="1" bestFit="1" customWidth="1"/>
    <col min="92" max="92" width="72.1640625" style="1" bestFit="1" customWidth="1"/>
    <col min="93" max="93" width="11.83203125" style="1" bestFit="1" customWidth="1"/>
    <col min="94" max="94" width="196.1640625" style="1" bestFit="1" customWidth="1"/>
    <col min="95" max="95" width="9" style="1"/>
  </cols>
  <sheetData>
    <row r="1" spans="1:95" s="6" customFormat="1" ht="14" thickBot="1">
      <c r="A1" s="5" t="s">
        <v>542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B1" s="5"/>
      <c r="CC1" s="5"/>
      <c r="CD1" s="5"/>
      <c r="CE1" s="5"/>
      <c r="CF1" s="5"/>
      <c r="CG1" s="5"/>
      <c r="CH1" s="5"/>
      <c r="CI1" s="5"/>
      <c r="CJ1" s="5"/>
      <c r="CK1" s="5"/>
      <c r="CL1" s="5"/>
      <c r="CM1" s="5"/>
      <c r="CN1" s="5"/>
      <c r="CO1" s="5"/>
      <c r="CP1" s="5"/>
      <c r="CQ1" s="5"/>
    </row>
    <row r="2" spans="1:95" s="12" customFormat="1" ht="17">
      <c r="A2" s="7" t="s">
        <v>541</v>
      </c>
      <c r="B2" s="7" t="s">
        <v>408</v>
      </c>
      <c r="C2" s="7" t="s">
        <v>407</v>
      </c>
      <c r="D2" s="8" t="s">
        <v>410</v>
      </c>
      <c r="E2" s="7" t="s">
        <v>406</v>
      </c>
      <c r="F2" s="7" t="s">
        <v>405</v>
      </c>
      <c r="G2" s="7" t="s">
        <v>404</v>
      </c>
      <c r="H2" s="7" t="s">
        <v>403</v>
      </c>
      <c r="I2" s="7" t="s">
        <v>402</v>
      </c>
      <c r="J2" s="7" t="s">
        <v>401</v>
      </c>
      <c r="K2" s="7" t="s">
        <v>400</v>
      </c>
      <c r="L2" s="7" t="s">
        <v>399</v>
      </c>
      <c r="M2" s="7" t="s">
        <v>398</v>
      </c>
      <c r="N2" s="7" t="s">
        <v>397</v>
      </c>
      <c r="O2" s="9" t="s">
        <v>543</v>
      </c>
      <c r="P2" s="9" t="s">
        <v>396</v>
      </c>
      <c r="Q2" s="9" t="s">
        <v>544</v>
      </c>
      <c r="R2" s="9" t="s">
        <v>395</v>
      </c>
      <c r="S2" s="9" t="s">
        <v>394</v>
      </c>
      <c r="T2" s="9" t="s">
        <v>393</v>
      </c>
      <c r="U2" s="9" t="s">
        <v>392</v>
      </c>
      <c r="V2" s="9" t="s">
        <v>391</v>
      </c>
      <c r="W2" s="9" t="s">
        <v>390</v>
      </c>
      <c r="X2" s="9" t="s">
        <v>389</v>
      </c>
      <c r="Y2" s="9" t="s">
        <v>388</v>
      </c>
      <c r="Z2" s="9" t="s">
        <v>387</v>
      </c>
      <c r="AA2" s="9" t="s">
        <v>386</v>
      </c>
      <c r="AB2" s="9" t="s">
        <v>385</v>
      </c>
      <c r="AC2" s="9" t="s">
        <v>545</v>
      </c>
      <c r="AD2" s="9" t="s">
        <v>384</v>
      </c>
      <c r="AE2" s="9" t="s">
        <v>383</v>
      </c>
      <c r="AF2" s="9" t="s">
        <v>382</v>
      </c>
      <c r="AG2" s="9" t="s">
        <v>381</v>
      </c>
      <c r="AH2" s="9" t="s">
        <v>380</v>
      </c>
      <c r="AI2" s="9" t="s">
        <v>379</v>
      </c>
      <c r="AJ2" s="9" t="s">
        <v>378</v>
      </c>
      <c r="AK2" s="9" t="s">
        <v>377</v>
      </c>
      <c r="AL2" s="9" t="s">
        <v>376</v>
      </c>
      <c r="AM2" s="9" t="s">
        <v>375</v>
      </c>
      <c r="AN2" s="9" t="s">
        <v>374</v>
      </c>
      <c r="AO2" s="9" t="s">
        <v>373</v>
      </c>
      <c r="AP2" s="9" t="s">
        <v>372</v>
      </c>
      <c r="AQ2" s="9" t="s">
        <v>371</v>
      </c>
      <c r="AR2" s="9" t="s">
        <v>370</v>
      </c>
      <c r="AS2" s="9" t="s">
        <v>369</v>
      </c>
      <c r="AT2" s="9" t="s">
        <v>368</v>
      </c>
      <c r="AU2" s="9" t="s">
        <v>367</v>
      </c>
      <c r="AV2" s="9" t="s">
        <v>366</v>
      </c>
      <c r="AW2" s="9" t="s">
        <v>546</v>
      </c>
      <c r="AX2" s="9" t="s">
        <v>547</v>
      </c>
      <c r="AY2" s="9" t="s">
        <v>548</v>
      </c>
      <c r="AZ2" s="9" t="s">
        <v>365</v>
      </c>
      <c r="BA2" s="9" t="s">
        <v>364</v>
      </c>
      <c r="BB2" s="9" t="s">
        <v>363</v>
      </c>
      <c r="BC2" s="9" t="s">
        <v>362</v>
      </c>
      <c r="BD2" s="9" t="s">
        <v>361</v>
      </c>
      <c r="BE2" s="9" t="s">
        <v>360</v>
      </c>
      <c r="BF2" s="9" t="s">
        <v>359</v>
      </c>
      <c r="BG2" s="9" t="s">
        <v>358</v>
      </c>
      <c r="BH2" s="9" t="s">
        <v>357</v>
      </c>
      <c r="BI2" s="9" t="s">
        <v>356</v>
      </c>
      <c r="BJ2" s="9" t="s">
        <v>355</v>
      </c>
      <c r="BK2" s="9" t="s">
        <v>354</v>
      </c>
      <c r="BL2" s="9" t="s">
        <v>353</v>
      </c>
      <c r="BM2" s="9" t="s">
        <v>352</v>
      </c>
      <c r="BN2" s="9" t="s">
        <v>351</v>
      </c>
      <c r="BO2" s="9" t="s">
        <v>350</v>
      </c>
      <c r="BP2" s="9" t="s">
        <v>349</v>
      </c>
      <c r="BQ2" s="9" t="s">
        <v>348</v>
      </c>
      <c r="BR2" s="9" t="s">
        <v>347</v>
      </c>
      <c r="BS2" s="9" t="s">
        <v>346</v>
      </c>
      <c r="BT2" s="9" t="s">
        <v>345</v>
      </c>
      <c r="BU2" s="9" t="s">
        <v>344</v>
      </c>
      <c r="BV2" s="9" t="s">
        <v>343</v>
      </c>
      <c r="BW2" s="9" t="s">
        <v>412</v>
      </c>
      <c r="BX2" s="9" t="s">
        <v>342</v>
      </c>
      <c r="BY2" s="9" t="s">
        <v>341</v>
      </c>
      <c r="BZ2" s="9" t="s">
        <v>340</v>
      </c>
      <c r="CA2" s="9" t="s">
        <v>339</v>
      </c>
      <c r="CB2" s="9" t="s">
        <v>338</v>
      </c>
      <c r="CC2" s="9" t="s">
        <v>337</v>
      </c>
      <c r="CD2" s="9" t="s">
        <v>336</v>
      </c>
      <c r="CE2" s="9" t="s">
        <v>335</v>
      </c>
      <c r="CF2" s="9" t="s">
        <v>334</v>
      </c>
      <c r="CG2" s="9" t="s">
        <v>333</v>
      </c>
      <c r="CH2" s="9" t="s">
        <v>332</v>
      </c>
      <c r="CI2" s="9" t="s">
        <v>331</v>
      </c>
      <c r="CJ2" s="9" t="s">
        <v>330</v>
      </c>
      <c r="CK2" s="9" t="s">
        <v>329</v>
      </c>
      <c r="CL2" s="9" t="s">
        <v>328</v>
      </c>
      <c r="CM2" s="9" t="s">
        <v>327</v>
      </c>
      <c r="CN2" s="10" t="s">
        <v>326</v>
      </c>
      <c r="CO2" s="10" t="s">
        <v>411</v>
      </c>
      <c r="CP2" s="10" t="s">
        <v>325</v>
      </c>
      <c r="CQ2" s="11" t="s">
        <v>324</v>
      </c>
    </row>
    <row r="3" spans="1:95" s="12" customFormat="1" ht="17">
      <c r="A3" s="13"/>
      <c r="B3" s="13"/>
      <c r="C3" s="13"/>
      <c r="D3" s="14"/>
      <c r="E3" s="13"/>
      <c r="F3" s="13"/>
      <c r="G3" s="13"/>
      <c r="H3" s="13"/>
      <c r="I3" s="13"/>
      <c r="J3" s="13"/>
      <c r="K3" s="13"/>
      <c r="L3" s="13"/>
      <c r="M3" s="13"/>
      <c r="N3" s="13"/>
      <c r="O3" s="15" t="s">
        <v>323</v>
      </c>
      <c r="P3" s="15"/>
      <c r="Q3" s="15" t="s">
        <v>322</v>
      </c>
      <c r="R3" s="15" t="s">
        <v>321</v>
      </c>
      <c r="S3" s="15" t="s">
        <v>317</v>
      </c>
      <c r="T3" s="15" t="s">
        <v>312</v>
      </c>
      <c r="U3" s="15" t="s">
        <v>549</v>
      </c>
      <c r="V3" s="15" t="s">
        <v>550</v>
      </c>
      <c r="W3" s="15" t="s">
        <v>551</v>
      </c>
      <c r="X3" s="15" t="s">
        <v>320</v>
      </c>
      <c r="Y3" s="15" t="s">
        <v>552</v>
      </c>
      <c r="Z3" s="15" t="s">
        <v>553</v>
      </c>
      <c r="AA3" s="15" t="s">
        <v>553</v>
      </c>
      <c r="AB3" s="15" t="s">
        <v>553</v>
      </c>
      <c r="AC3" s="15" t="s">
        <v>554</v>
      </c>
      <c r="AD3" s="15" t="s">
        <v>554</v>
      </c>
      <c r="AE3" s="15" t="s">
        <v>555</v>
      </c>
      <c r="AF3" s="15" t="s">
        <v>556</v>
      </c>
      <c r="AG3" s="15" t="s">
        <v>556</v>
      </c>
      <c r="AH3" s="15" t="s">
        <v>556</v>
      </c>
      <c r="AI3" s="15" t="s">
        <v>319</v>
      </c>
      <c r="AJ3" s="15" t="s">
        <v>319</v>
      </c>
      <c r="AK3" s="15" t="s">
        <v>319</v>
      </c>
      <c r="AL3" s="15" t="s">
        <v>557</v>
      </c>
      <c r="AM3" s="15" t="s">
        <v>557</v>
      </c>
      <c r="AN3" s="15" t="s">
        <v>557</v>
      </c>
      <c r="AO3" s="15" t="s">
        <v>557</v>
      </c>
      <c r="AP3" s="15" t="s">
        <v>557</v>
      </c>
      <c r="AQ3" s="15" t="s">
        <v>557</v>
      </c>
      <c r="AR3" s="15" t="s">
        <v>557</v>
      </c>
      <c r="AS3" s="15" t="s">
        <v>557</v>
      </c>
      <c r="AT3" s="15" t="s">
        <v>558</v>
      </c>
      <c r="AU3" s="15" t="s">
        <v>558</v>
      </c>
      <c r="AV3" s="15" t="s">
        <v>558</v>
      </c>
      <c r="AW3" s="15" t="s">
        <v>559</v>
      </c>
      <c r="AX3" s="15" t="s">
        <v>318</v>
      </c>
      <c r="AY3" s="15" t="s">
        <v>317</v>
      </c>
      <c r="AZ3" s="15" t="s">
        <v>560</v>
      </c>
      <c r="BA3" s="15" t="s">
        <v>312</v>
      </c>
      <c r="BB3" s="15" t="s">
        <v>316</v>
      </c>
      <c r="BC3" s="15" t="s">
        <v>315</v>
      </c>
      <c r="BD3" s="15" t="s">
        <v>314</v>
      </c>
      <c r="BE3" s="15" t="s">
        <v>312</v>
      </c>
      <c r="BF3" s="15" t="s">
        <v>314</v>
      </c>
      <c r="BG3" s="15" t="s">
        <v>314</v>
      </c>
      <c r="BH3" s="15" t="s">
        <v>314</v>
      </c>
      <c r="BI3" s="15" t="s">
        <v>314</v>
      </c>
      <c r="BJ3" s="15" t="s">
        <v>313</v>
      </c>
      <c r="BK3" s="15" t="s">
        <v>312</v>
      </c>
      <c r="BL3" s="15" t="s">
        <v>312</v>
      </c>
      <c r="BM3" s="15" t="s">
        <v>561</v>
      </c>
      <c r="BN3" s="15" t="s">
        <v>561</v>
      </c>
      <c r="BO3" s="15" t="s">
        <v>561</v>
      </c>
      <c r="BP3" s="15" t="s">
        <v>561</v>
      </c>
      <c r="BQ3" s="15"/>
      <c r="BR3" s="15" t="s">
        <v>561</v>
      </c>
      <c r="BS3" s="15" t="s">
        <v>561</v>
      </c>
      <c r="BT3" s="15" t="s">
        <v>561</v>
      </c>
      <c r="BU3" s="15" t="s">
        <v>561</v>
      </c>
      <c r="BV3" s="15" t="s">
        <v>561</v>
      </c>
      <c r="BW3" s="15" t="s">
        <v>561</v>
      </c>
      <c r="BX3" s="15" t="s">
        <v>561</v>
      </c>
      <c r="BY3" s="15" t="s">
        <v>561</v>
      </c>
      <c r="BZ3" s="15" t="s">
        <v>561</v>
      </c>
      <c r="CA3" s="15" t="s">
        <v>562</v>
      </c>
      <c r="CB3" s="15" t="s">
        <v>562</v>
      </c>
      <c r="CC3" s="15" t="s">
        <v>562</v>
      </c>
      <c r="CD3" s="15" t="s">
        <v>562</v>
      </c>
      <c r="CE3" s="15" t="s">
        <v>562</v>
      </c>
      <c r="CF3" s="15" t="s">
        <v>562</v>
      </c>
      <c r="CG3" s="15" t="s">
        <v>562</v>
      </c>
      <c r="CH3" s="15" t="s">
        <v>562</v>
      </c>
      <c r="CI3" s="15" t="s">
        <v>562</v>
      </c>
      <c r="CJ3" s="15" t="s">
        <v>562</v>
      </c>
      <c r="CK3" s="15" t="s">
        <v>562</v>
      </c>
      <c r="CL3" s="15" t="s">
        <v>562</v>
      </c>
      <c r="CM3" s="15" t="s">
        <v>562</v>
      </c>
      <c r="CN3" s="16"/>
      <c r="CO3" s="16"/>
      <c r="CP3" s="16"/>
      <c r="CQ3" s="17"/>
    </row>
    <row r="4" spans="1:95" s="12" customFormat="1" ht="13">
      <c r="A4" s="18">
        <v>1</v>
      </c>
      <c r="B4" s="19" t="s">
        <v>201</v>
      </c>
      <c r="C4" s="19" t="s">
        <v>311</v>
      </c>
      <c r="D4" s="20" t="s">
        <v>310</v>
      </c>
      <c r="E4" s="19" t="s">
        <v>295</v>
      </c>
      <c r="F4" s="19" t="s">
        <v>309</v>
      </c>
      <c r="G4" s="19">
        <v>2011</v>
      </c>
      <c r="H4" s="19">
        <v>2011</v>
      </c>
      <c r="I4" s="19">
        <v>1</v>
      </c>
      <c r="J4" s="19">
        <v>1</v>
      </c>
      <c r="K4" s="19">
        <v>1</v>
      </c>
      <c r="L4" s="19">
        <v>1</v>
      </c>
      <c r="M4" s="19">
        <v>0</v>
      </c>
      <c r="N4" s="19">
        <v>0</v>
      </c>
      <c r="O4" s="20">
        <v>19.3</v>
      </c>
      <c r="P4" s="20">
        <f t="shared" ref="P4:P15" si="0">(O4-5)*12</f>
        <v>171.60000000000002</v>
      </c>
      <c r="Q4" s="20">
        <v>1700</v>
      </c>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19"/>
      <c r="AV4" s="20"/>
      <c r="AW4" s="20">
        <v>3430</v>
      </c>
      <c r="AX4" s="20"/>
      <c r="AY4" s="20"/>
      <c r="AZ4" s="20"/>
      <c r="BA4" s="20"/>
      <c r="BB4" s="20"/>
      <c r="BC4" s="20"/>
      <c r="BD4" s="20"/>
      <c r="BE4" s="20"/>
      <c r="BF4" s="20"/>
      <c r="BG4" s="20"/>
      <c r="BH4" s="20"/>
      <c r="BI4" s="20"/>
      <c r="BJ4" s="20"/>
      <c r="BK4" s="20"/>
      <c r="BL4" s="20"/>
      <c r="BM4" s="20"/>
      <c r="BN4" s="20">
        <f>47.35*0.145</f>
        <v>6.8657499999999994</v>
      </c>
      <c r="BO4" s="20">
        <f>47.35*0.6</f>
        <v>28.41</v>
      </c>
      <c r="BP4" s="20">
        <f>SUM(BM4:BO4)</f>
        <v>35.275750000000002</v>
      </c>
      <c r="BQ4" s="20">
        <f t="shared" ref="BQ4:BQ11" si="1">BU4/BP4</f>
        <v>0.34228187919463082</v>
      </c>
      <c r="BR4" s="20">
        <f>47.35*0.125</f>
        <v>5.9187500000000002</v>
      </c>
      <c r="BS4" s="20">
        <f>47.35*0.13</f>
        <v>6.1555</v>
      </c>
      <c r="BT4" s="20"/>
      <c r="BU4" s="20">
        <f>SUM(BR4:BT4)</f>
        <v>12.074249999999999</v>
      </c>
      <c r="BV4" s="20">
        <f t="shared" ref="BV4:BV11" si="2">BU4+BP4</f>
        <v>47.35</v>
      </c>
      <c r="BW4" s="20"/>
      <c r="BX4" s="20">
        <v>96.45</v>
      </c>
      <c r="BY4" s="20"/>
      <c r="BZ4" s="20">
        <f>BV4+BX4</f>
        <v>143.80000000000001</v>
      </c>
      <c r="CA4" s="20"/>
      <c r="CB4" s="20"/>
      <c r="CC4" s="20"/>
      <c r="CD4" s="20">
        <v>1.63</v>
      </c>
      <c r="CE4" s="20"/>
      <c r="CF4" s="20"/>
      <c r="CG4" s="20"/>
      <c r="CH4" s="20"/>
      <c r="CI4" s="20"/>
      <c r="CJ4" s="20"/>
      <c r="CK4" s="20"/>
      <c r="CL4" s="20"/>
      <c r="CM4" s="20"/>
      <c r="CN4" s="19" t="s">
        <v>308</v>
      </c>
      <c r="CO4" s="19" t="s">
        <v>3</v>
      </c>
      <c r="CP4" s="21" t="s">
        <v>529</v>
      </c>
      <c r="CQ4" s="22" t="s">
        <v>1</v>
      </c>
    </row>
    <row r="5" spans="1:95" s="12" customFormat="1" ht="13">
      <c r="A5" s="18">
        <v>2</v>
      </c>
      <c r="B5" s="18" t="s">
        <v>201</v>
      </c>
      <c r="C5" s="18" t="s">
        <v>307</v>
      </c>
      <c r="D5" s="15" t="s">
        <v>133</v>
      </c>
      <c r="E5" s="18" t="s">
        <v>295</v>
      </c>
      <c r="F5" s="18" t="s">
        <v>306</v>
      </c>
      <c r="G5" s="18">
        <v>2011</v>
      </c>
      <c r="H5" s="18">
        <v>2011</v>
      </c>
      <c r="I5" s="18">
        <v>1</v>
      </c>
      <c r="J5" s="18">
        <v>1</v>
      </c>
      <c r="K5" s="18">
        <v>1</v>
      </c>
      <c r="L5" s="18">
        <v>1</v>
      </c>
      <c r="M5" s="18">
        <v>0</v>
      </c>
      <c r="N5" s="18">
        <v>0</v>
      </c>
      <c r="O5" s="15">
        <v>19.3</v>
      </c>
      <c r="P5" s="15">
        <f t="shared" si="0"/>
        <v>171.60000000000002</v>
      </c>
      <c r="Q5" s="15">
        <v>1700</v>
      </c>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8"/>
      <c r="AV5" s="15"/>
      <c r="AW5" s="15">
        <v>3800</v>
      </c>
      <c r="AX5" s="15"/>
      <c r="AY5" s="15"/>
      <c r="AZ5" s="15"/>
      <c r="BA5" s="15"/>
      <c r="BB5" s="15"/>
      <c r="BC5" s="15"/>
      <c r="BD5" s="15"/>
      <c r="BE5" s="15"/>
      <c r="BF5" s="15"/>
      <c r="BG5" s="15"/>
      <c r="BH5" s="15"/>
      <c r="BI5" s="15"/>
      <c r="BJ5" s="15"/>
      <c r="BK5" s="15"/>
      <c r="BL5" s="15"/>
      <c r="BM5" s="15"/>
      <c r="BN5" s="15">
        <f>51.95*0.145</f>
        <v>7.5327500000000001</v>
      </c>
      <c r="BO5" s="15">
        <f>51.95*0.6</f>
        <v>31.17</v>
      </c>
      <c r="BP5" s="15">
        <f>SUM(BM5:BO5)</f>
        <v>38.702750000000002</v>
      </c>
      <c r="BQ5" s="15">
        <f t="shared" si="1"/>
        <v>0.34228187919463088</v>
      </c>
      <c r="BR5" s="15">
        <f>51.95*0.125</f>
        <v>6.4937500000000004</v>
      </c>
      <c r="BS5" s="15">
        <f>51.95*0.13</f>
        <v>6.7535000000000007</v>
      </c>
      <c r="BT5" s="15"/>
      <c r="BU5" s="15">
        <f>SUM(BR5:BT5)</f>
        <v>13.247250000000001</v>
      </c>
      <c r="BV5" s="15">
        <f t="shared" si="2"/>
        <v>51.95</v>
      </c>
      <c r="BW5" s="15"/>
      <c r="BX5" s="15">
        <v>107.54</v>
      </c>
      <c r="BY5" s="15"/>
      <c r="BZ5" s="15">
        <f>BV5+BX5</f>
        <v>159.49</v>
      </c>
      <c r="CA5" s="15"/>
      <c r="CB5" s="15"/>
      <c r="CC5" s="15"/>
      <c r="CD5" s="15">
        <v>1.58</v>
      </c>
      <c r="CE5" s="15"/>
      <c r="CF5" s="15"/>
      <c r="CG5" s="15"/>
      <c r="CH5" s="15"/>
      <c r="CI5" s="15"/>
      <c r="CJ5" s="15"/>
      <c r="CK5" s="15"/>
      <c r="CL5" s="15"/>
      <c r="CM5" s="15"/>
      <c r="CN5" s="18" t="s">
        <v>305</v>
      </c>
      <c r="CO5" s="18" t="s">
        <v>304</v>
      </c>
      <c r="CP5" s="21" t="s">
        <v>529</v>
      </c>
      <c r="CQ5" s="23" t="s">
        <v>1</v>
      </c>
    </row>
    <row r="6" spans="1:95" s="12" customFormat="1" ht="13">
      <c r="A6" s="18">
        <v>3</v>
      </c>
      <c r="B6" s="18" t="s">
        <v>201</v>
      </c>
      <c r="C6" s="18" t="s">
        <v>303</v>
      </c>
      <c r="D6" s="15" t="s">
        <v>46</v>
      </c>
      <c r="E6" s="18" t="s">
        <v>302</v>
      </c>
      <c r="F6" s="18" t="s">
        <v>301</v>
      </c>
      <c r="G6" s="18">
        <v>1993</v>
      </c>
      <c r="H6" s="18">
        <v>2000</v>
      </c>
      <c r="I6" s="18">
        <v>0</v>
      </c>
      <c r="J6" s="18">
        <v>0</v>
      </c>
      <c r="K6" s="18">
        <v>0</v>
      </c>
      <c r="L6" s="18">
        <v>0</v>
      </c>
      <c r="M6" s="18">
        <v>0</v>
      </c>
      <c r="N6" s="18">
        <v>0</v>
      </c>
      <c r="O6" s="15">
        <v>12.8</v>
      </c>
      <c r="P6" s="15">
        <f t="shared" si="0"/>
        <v>93.600000000000009</v>
      </c>
      <c r="Q6" s="15">
        <v>2678.8</v>
      </c>
      <c r="R6" s="15"/>
      <c r="S6" s="15">
        <v>1100</v>
      </c>
      <c r="T6" s="15">
        <v>86.6</v>
      </c>
      <c r="U6" s="15">
        <v>1434.3</v>
      </c>
      <c r="V6" s="15">
        <v>0.91</v>
      </c>
      <c r="W6" s="15"/>
      <c r="X6" s="15"/>
      <c r="Y6" s="15">
        <v>5</v>
      </c>
      <c r="Z6" s="15"/>
      <c r="AA6" s="15"/>
      <c r="AB6" s="15"/>
      <c r="AC6" s="15"/>
      <c r="AD6" s="15"/>
      <c r="AE6" s="15"/>
      <c r="AF6" s="15"/>
      <c r="AG6" s="15"/>
      <c r="AH6" s="15"/>
      <c r="AI6" s="15"/>
      <c r="AJ6" s="15"/>
      <c r="AK6" s="15"/>
      <c r="AL6" s="15"/>
      <c r="AM6" s="15"/>
      <c r="AN6" s="15"/>
      <c r="AO6" s="15"/>
      <c r="AP6" s="15"/>
      <c r="AQ6" s="15">
        <f>(448.91/1000/1000)*10000</f>
        <v>4.4891000000000005</v>
      </c>
      <c r="AR6" s="15"/>
      <c r="AS6" s="15"/>
      <c r="AT6" s="15">
        <f>(95.75/1000/1000)*10000</f>
        <v>0.95750000000000002</v>
      </c>
      <c r="AU6" s="15">
        <f>(68.43/1000/1000)*10000</f>
        <v>0.68430000000000002</v>
      </c>
      <c r="AV6" s="15">
        <f>(27.32/1000/1000)*10000</f>
        <v>0.2732</v>
      </c>
      <c r="AW6" s="15"/>
      <c r="AX6" s="15"/>
      <c r="AY6" s="15"/>
      <c r="AZ6" s="15"/>
      <c r="BA6" s="15"/>
      <c r="BB6" s="15"/>
      <c r="BC6" s="15"/>
      <c r="BD6" s="15"/>
      <c r="BE6" s="15"/>
      <c r="BF6" s="15"/>
      <c r="BG6" s="15"/>
      <c r="BH6" s="15"/>
      <c r="BI6" s="15"/>
      <c r="BJ6" s="15"/>
      <c r="BK6" s="15"/>
      <c r="BL6" s="15"/>
      <c r="BM6" s="15"/>
      <c r="BN6" s="15"/>
      <c r="BO6" s="15"/>
      <c r="BP6" s="15">
        <f>71.6*0.5</f>
        <v>35.799999999999997</v>
      </c>
      <c r="BQ6" s="15">
        <f t="shared" si="1"/>
        <v>0.85474860335195546</v>
      </c>
      <c r="BR6" s="15"/>
      <c r="BS6" s="15"/>
      <c r="BT6" s="15"/>
      <c r="BU6" s="15">
        <f>61.2*0.5</f>
        <v>30.6</v>
      </c>
      <c r="BV6" s="15">
        <f t="shared" si="2"/>
        <v>66.400000000000006</v>
      </c>
      <c r="BW6" s="15"/>
      <c r="BX6" s="15"/>
      <c r="BY6" s="15"/>
      <c r="BZ6" s="15"/>
      <c r="CA6" s="15"/>
      <c r="CB6" s="15"/>
      <c r="CC6" s="15">
        <f>16.1281*0.5</f>
        <v>8.0640499999999999</v>
      </c>
      <c r="CD6" s="15">
        <f>(1.2989+0.2015+0.296)*0.5</f>
        <v>0.8982</v>
      </c>
      <c r="CE6" s="15">
        <f>SUM(CA6:CD6)</f>
        <v>8.9622499999999992</v>
      </c>
      <c r="CF6" s="15"/>
      <c r="CG6" s="15"/>
      <c r="CH6" s="15"/>
      <c r="CI6" s="15"/>
      <c r="CJ6" s="15"/>
      <c r="CK6" s="15"/>
      <c r="CL6" s="15"/>
      <c r="CM6" s="15"/>
      <c r="CN6" s="18" t="s">
        <v>300</v>
      </c>
      <c r="CO6" s="18" t="s">
        <v>299</v>
      </c>
      <c r="CP6" s="24" t="s">
        <v>298</v>
      </c>
      <c r="CQ6" s="23" t="s">
        <v>297</v>
      </c>
    </row>
    <row r="7" spans="1:95" s="12" customFormat="1" ht="13">
      <c r="A7" s="18">
        <v>4</v>
      </c>
      <c r="B7" s="18" t="s">
        <v>201</v>
      </c>
      <c r="C7" s="18" t="s">
        <v>296</v>
      </c>
      <c r="D7" s="15" t="s">
        <v>133</v>
      </c>
      <c r="E7" s="18" t="s">
        <v>295</v>
      </c>
      <c r="F7" s="18" t="s">
        <v>294</v>
      </c>
      <c r="G7" s="18">
        <v>2011</v>
      </c>
      <c r="H7" s="18">
        <v>2011</v>
      </c>
      <c r="I7" s="18">
        <v>1</v>
      </c>
      <c r="J7" s="18">
        <v>1</v>
      </c>
      <c r="K7" s="18">
        <v>1</v>
      </c>
      <c r="L7" s="18">
        <v>1</v>
      </c>
      <c r="M7" s="18">
        <v>0</v>
      </c>
      <c r="N7" s="18">
        <v>0</v>
      </c>
      <c r="O7" s="15">
        <v>19.3</v>
      </c>
      <c r="P7" s="15">
        <f t="shared" si="0"/>
        <v>171.60000000000002</v>
      </c>
      <c r="Q7" s="15">
        <v>1700</v>
      </c>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8"/>
      <c r="AV7" s="15"/>
      <c r="AW7" s="15">
        <v>3330</v>
      </c>
      <c r="AX7" s="15"/>
      <c r="AY7" s="15"/>
      <c r="AZ7" s="15"/>
      <c r="BA7" s="15"/>
      <c r="BB7" s="15"/>
      <c r="BC7" s="15"/>
      <c r="BD7" s="15"/>
      <c r="BE7" s="15"/>
      <c r="BF7" s="15"/>
      <c r="BG7" s="15"/>
      <c r="BH7" s="15"/>
      <c r="BI7" s="15"/>
      <c r="BJ7" s="15"/>
      <c r="BK7" s="15"/>
      <c r="BL7" s="15"/>
      <c r="BM7" s="15"/>
      <c r="BN7" s="15">
        <f>58.7*0.145</f>
        <v>8.5114999999999998</v>
      </c>
      <c r="BO7" s="15">
        <f>58.7*0.6</f>
        <v>35.22</v>
      </c>
      <c r="BP7" s="15">
        <f>SUM(BM7:BO7)</f>
        <v>43.731499999999997</v>
      </c>
      <c r="BQ7" s="15">
        <f t="shared" si="1"/>
        <v>0.34228187919463093</v>
      </c>
      <c r="BR7" s="15">
        <f>58.7*0.125</f>
        <v>7.3375000000000004</v>
      </c>
      <c r="BS7" s="15">
        <f>58.7*0.13</f>
        <v>7.6310000000000002</v>
      </c>
      <c r="BT7" s="15"/>
      <c r="BU7" s="15">
        <f>SUM(BR7:BT7)</f>
        <v>14.968500000000001</v>
      </c>
      <c r="BV7" s="15">
        <f t="shared" si="2"/>
        <v>58.699999999999996</v>
      </c>
      <c r="BW7" s="15"/>
      <c r="BX7" s="15">
        <v>79.14</v>
      </c>
      <c r="BY7" s="15"/>
      <c r="BZ7" s="15">
        <f>BV7+BX7</f>
        <v>137.84</v>
      </c>
      <c r="CA7" s="15"/>
      <c r="CB7" s="15"/>
      <c r="CC7" s="15"/>
      <c r="CD7" s="15">
        <v>1.71</v>
      </c>
      <c r="CE7" s="15"/>
      <c r="CF7" s="15"/>
      <c r="CG7" s="15"/>
      <c r="CH7" s="15"/>
      <c r="CI7" s="15"/>
      <c r="CJ7" s="15"/>
      <c r="CK7" s="15"/>
      <c r="CL7" s="15"/>
      <c r="CM7" s="15"/>
      <c r="CN7" s="18" t="s">
        <v>293</v>
      </c>
      <c r="CO7" s="18" t="s">
        <v>3</v>
      </c>
      <c r="CP7" s="24" t="s">
        <v>292</v>
      </c>
      <c r="CQ7" s="23" t="s">
        <v>1</v>
      </c>
    </row>
    <row r="8" spans="1:95" s="12" customFormat="1" ht="13">
      <c r="A8" s="18">
        <v>5</v>
      </c>
      <c r="B8" s="18" t="s">
        <v>201</v>
      </c>
      <c r="C8" s="18" t="s">
        <v>283</v>
      </c>
      <c r="D8" s="15" t="s">
        <v>245</v>
      </c>
      <c r="E8" s="18" t="s">
        <v>291</v>
      </c>
      <c r="F8" s="18" t="s">
        <v>290</v>
      </c>
      <c r="G8" s="18">
        <v>1995</v>
      </c>
      <c r="H8" s="18">
        <v>2008</v>
      </c>
      <c r="I8" s="18">
        <v>1</v>
      </c>
      <c r="J8" s="18">
        <v>1</v>
      </c>
      <c r="K8" s="18">
        <v>1</v>
      </c>
      <c r="L8" s="18">
        <v>1</v>
      </c>
      <c r="M8" s="18">
        <v>0</v>
      </c>
      <c r="N8" s="18">
        <v>0</v>
      </c>
      <c r="O8" s="15">
        <v>23</v>
      </c>
      <c r="P8" s="15">
        <f t="shared" si="0"/>
        <v>216</v>
      </c>
      <c r="Q8" s="15">
        <v>2000</v>
      </c>
      <c r="R8" s="15"/>
      <c r="S8" s="15">
        <v>800</v>
      </c>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8"/>
      <c r="AV8" s="18"/>
      <c r="AW8" s="15">
        <v>2566.67</v>
      </c>
      <c r="AX8" s="15">
        <f>(10.5+13.5)/2</f>
        <v>12</v>
      </c>
      <c r="AY8" s="15"/>
      <c r="AZ8" s="15">
        <f>(AX8/2)^2*PI()*AW8/10000</f>
        <v>29.028353818281531</v>
      </c>
      <c r="BA8" s="15"/>
      <c r="BB8" s="15"/>
      <c r="BC8" s="15"/>
      <c r="BD8" s="15"/>
      <c r="BE8" s="15"/>
      <c r="BF8" s="15"/>
      <c r="BG8" s="15"/>
      <c r="BH8" s="15"/>
      <c r="BI8" s="15"/>
      <c r="BJ8" s="15"/>
      <c r="BK8" s="15"/>
      <c r="BL8" s="15"/>
      <c r="BM8" s="15">
        <f>4.825*0.5</f>
        <v>2.4125000000000001</v>
      </c>
      <c r="BN8" s="15">
        <f>9.3586*0.5</f>
        <v>4.6792999999999996</v>
      </c>
      <c r="BO8" s="15">
        <f>58.5427*0.5</f>
        <v>29.271350000000002</v>
      </c>
      <c r="BP8" s="15">
        <f>SUM(BM8:BO8)</f>
        <v>36.363150000000005</v>
      </c>
      <c r="BQ8" s="15">
        <f t="shared" si="1"/>
        <v>0.25643267978709211</v>
      </c>
      <c r="BR8" s="15">
        <f>9.7892*0.5</f>
        <v>4.8945999999999996</v>
      </c>
      <c r="BS8" s="15"/>
      <c r="BT8" s="15">
        <f>8.8602*0.5</f>
        <v>4.4301000000000004</v>
      </c>
      <c r="BU8" s="15">
        <f>SUM(BR8:BT8)</f>
        <v>9.3247</v>
      </c>
      <c r="BV8" s="15">
        <f t="shared" si="2"/>
        <v>45.687850000000005</v>
      </c>
      <c r="BW8" s="15"/>
      <c r="BX8" s="15"/>
      <c r="BY8" s="15"/>
      <c r="BZ8" s="15"/>
      <c r="CA8" s="15"/>
      <c r="CB8" s="15"/>
      <c r="CC8" s="15"/>
      <c r="CD8" s="15"/>
      <c r="CE8" s="15"/>
      <c r="CF8" s="15"/>
      <c r="CG8" s="15"/>
      <c r="CH8" s="15"/>
      <c r="CI8" s="15"/>
      <c r="CJ8" s="15"/>
      <c r="CK8" s="15"/>
      <c r="CL8" s="15"/>
      <c r="CM8" s="15"/>
      <c r="CN8" s="18" t="s">
        <v>280</v>
      </c>
      <c r="CO8" s="18" t="s">
        <v>3</v>
      </c>
      <c r="CP8" s="24" t="s">
        <v>279</v>
      </c>
      <c r="CQ8" s="23" t="s">
        <v>30</v>
      </c>
    </row>
    <row r="9" spans="1:95" s="12" customFormat="1" ht="17">
      <c r="A9" s="18">
        <v>6</v>
      </c>
      <c r="B9" s="18" t="s">
        <v>201</v>
      </c>
      <c r="C9" s="18" t="s">
        <v>289</v>
      </c>
      <c r="D9" s="15" t="s">
        <v>245</v>
      </c>
      <c r="E9" s="18" t="s">
        <v>563</v>
      </c>
      <c r="F9" s="18" t="s">
        <v>288</v>
      </c>
      <c r="G9" s="18">
        <v>2007</v>
      </c>
      <c r="H9" s="18">
        <v>2008</v>
      </c>
      <c r="I9" s="18">
        <v>1</v>
      </c>
      <c r="J9" s="18">
        <v>1</v>
      </c>
      <c r="K9" s="18">
        <v>1</v>
      </c>
      <c r="L9" s="18">
        <v>1</v>
      </c>
      <c r="M9" s="18">
        <v>0</v>
      </c>
      <c r="N9" s="18">
        <v>0</v>
      </c>
      <c r="O9" s="15">
        <v>23</v>
      </c>
      <c r="P9" s="15">
        <f t="shared" si="0"/>
        <v>216</v>
      </c>
      <c r="Q9" s="15">
        <v>2000</v>
      </c>
      <c r="R9" s="15"/>
      <c r="S9" s="15">
        <f>(580+1604.8)/2</f>
        <v>1092.4000000000001</v>
      </c>
      <c r="T9" s="15">
        <v>80</v>
      </c>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8"/>
      <c r="AV9" s="18"/>
      <c r="AW9" s="15">
        <v>2770.33</v>
      </c>
      <c r="AX9" s="15">
        <f>(10.5+12.5)/2</f>
        <v>11.5</v>
      </c>
      <c r="AY9" s="15"/>
      <c r="AZ9" s="15">
        <f>(AX9/2)^2*PI()*AW9/10000</f>
        <v>28.775114943214181</v>
      </c>
      <c r="BA9" s="15"/>
      <c r="BB9" s="15"/>
      <c r="BC9" s="15"/>
      <c r="BD9" s="15"/>
      <c r="BE9" s="15"/>
      <c r="BF9" s="15"/>
      <c r="BG9" s="15"/>
      <c r="BH9" s="15"/>
      <c r="BI9" s="15"/>
      <c r="BJ9" s="15"/>
      <c r="BK9" s="15"/>
      <c r="BL9" s="15"/>
      <c r="BM9" s="15">
        <f>6.537*0.5</f>
        <v>3.2685</v>
      </c>
      <c r="BN9" s="15">
        <f>12.664*0.5</f>
        <v>6.3319999999999999</v>
      </c>
      <c r="BO9" s="15">
        <f>85.905*0.5</f>
        <v>42.952500000000001</v>
      </c>
      <c r="BP9" s="15">
        <f>SUM(BM9:BO9)</f>
        <v>52.552999999999997</v>
      </c>
      <c r="BQ9" s="15">
        <f t="shared" si="1"/>
        <v>0.36447015393983223</v>
      </c>
      <c r="BR9" s="15">
        <f>(13.56+3.552)*0.5</f>
        <v>8.5560000000000009</v>
      </c>
      <c r="BS9" s="15">
        <f>9.17*0.5</f>
        <v>4.585</v>
      </c>
      <c r="BT9" s="15">
        <f>12.026*0.5</f>
        <v>6.0129999999999999</v>
      </c>
      <c r="BU9" s="15">
        <f>SUM(BR9:BT9)</f>
        <v>19.154000000000003</v>
      </c>
      <c r="BV9" s="15">
        <f t="shared" si="2"/>
        <v>71.706999999999994</v>
      </c>
      <c r="BW9" s="15"/>
      <c r="BX9" s="15"/>
      <c r="BY9" s="15"/>
      <c r="BZ9" s="15"/>
      <c r="CA9" s="15">
        <f>5.886*0.5</f>
        <v>2.9430000000000001</v>
      </c>
      <c r="CB9" s="15">
        <f>5.53581*0.5</f>
        <v>2.7679049999999998</v>
      </c>
      <c r="CC9" s="15">
        <f>35.28824*0.5</f>
        <v>17.644120000000001</v>
      </c>
      <c r="CD9" s="15"/>
      <c r="CE9" s="15">
        <f>SUM(CA9:CD9)</f>
        <v>23.355025000000001</v>
      </c>
      <c r="CF9" s="15">
        <f>(3.18106+1.45924)*0.5</f>
        <v>2.3201499999999999</v>
      </c>
      <c r="CG9" s="15">
        <f>3.76702*0.5</f>
        <v>1.88351</v>
      </c>
      <c r="CH9" s="15">
        <f>4.66874*0.5</f>
        <v>2.3343699999999998</v>
      </c>
      <c r="CI9" s="15">
        <f>SUM(CF9:CH9)</f>
        <v>6.53803</v>
      </c>
      <c r="CJ9" s="15">
        <f>CI9+CE9</f>
        <v>29.893055</v>
      </c>
      <c r="CK9" s="15"/>
      <c r="CL9" s="15"/>
      <c r="CM9" s="15"/>
      <c r="CN9" s="18" t="s">
        <v>287</v>
      </c>
      <c r="CO9" s="18" t="s">
        <v>3</v>
      </c>
      <c r="CP9" s="24" t="s">
        <v>286</v>
      </c>
      <c r="CQ9" s="23" t="s">
        <v>30</v>
      </c>
    </row>
    <row r="10" spans="1:95" s="12" customFormat="1" ht="13">
      <c r="A10" s="18">
        <v>7</v>
      </c>
      <c r="B10" s="18" t="s">
        <v>201</v>
      </c>
      <c r="C10" s="18" t="s">
        <v>283</v>
      </c>
      <c r="D10" s="15" t="s">
        <v>245</v>
      </c>
      <c r="E10" s="18" t="s">
        <v>285</v>
      </c>
      <c r="F10" s="18" t="s">
        <v>284</v>
      </c>
      <c r="G10" s="18">
        <v>1995</v>
      </c>
      <c r="H10" s="18">
        <v>2008</v>
      </c>
      <c r="I10" s="18">
        <v>1</v>
      </c>
      <c r="J10" s="18">
        <v>1</v>
      </c>
      <c r="K10" s="18">
        <v>1</v>
      </c>
      <c r="L10" s="18">
        <v>1</v>
      </c>
      <c r="M10" s="18">
        <v>0</v>
      </c>
      <c r="N10" s="18">
        <v>0</v>
      </c>
      <c r="O10" s="15">
        <v>23</v>
      </c>
      <c r="P10" s="15">
        <f t="shared" si="0"/>
        <v>216</v>
      </c>
      <c r="Q10" s="15">
        <v>2000</v>
      </c>
      <c r="R10" s="15"/>
      <c r="S10" s="15">
        <v>800</v>
      </c>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8"/>
      <c r="AV10" s="18"/>
      <c r="AW10" s="15">
        <v>2833.33</v>
      </c>
      <c r="AX10" s="15">
        <f>(10.5+13.5)/2</f>
        <v>12</v>
      </c>
      <c r="AY10" s="15"/>
      <c r="AZ10" s="15">
        <f>(AX10/2)^2*PI()*AW10/10000</f>
        <v>32.044207367504043</v>
      </c>
      <c r="BA10" s="15"/>
      <c r="BB10" s="15"/>
      <c r="BC10" s="15"/>
      <c r="BD10" s="15"/>
      <c r="BE10" s="15"/>
      <c r="BF10" s="15"/>
      <c r="BG10" s="15"/>
      <c r="BH10" s="15"/>
      <c r="BI10" s="15"/>
      <c r="BJ10" s="15"/>
      <c r="BK10" s="15"/>
      <c r="BL10" s="15"/>
      <c r="BM10" s="15">
        <f>5.1296*0.5</f>
        <v>2.5648</v>
      </c>
      <c r="BN10" s="15">
        <f>9.8915*0.5</f>
        <v>4.9457500000000003</v>
      </c>
      <c r="BO10" s="15">
        <f>66.7851*0.5</f>
        <v>33.39255</v>
      </c>
      <c r="BP10" s="15">
        <f>SUM(BM10:BO10)</f>
        <v>40.903100000000002</v>
      </c>
      <c r="BQ10" s="15">
        <f t="shared" si="1"/>
        <v>0.23887798235341573</v>
      </c>
      <c r="BR10" s="15">
        <f>10.1972*0.5</f>
        <v>5.0986000000000002</v>
      </c>
      <c r="BS10" s="15"/>
      <c r="BT10" s="15">
        <f>9.3445*0.5</f>
        <v>4.67225</v>
      </c>
      <c r="BU10" s="15">
        <f>SUM(BR10:BT10)</f>
        <v>9.7708499999999994</v>
      </c>
      <c r="BV10" s="15">
        <f t="shared" si="2"/>
        <v>50.673950000000005</v>
      </c>
      <c r="BW10" s="15"/>
      <c r="BX10" s="15"/>
      <c r="BY10" s="15"/>
      <c r="BZ10" s="15"/>
      <c r="CA10" s="15"/>
      <c r="CB10" s="15"/>
      <c r="CC10" s="15"/>
      <c r="CD10" s="15"/>
      <c r="CE10" s="15"/>
      <c r="CF10" s="15"/>
      <c r="CG10" s="15"/>
      <c r="CH10" s="15"/>
      <c r="CI10" s="15"/>
      <c r="CJ10" s="15"/>
      <c r="CK10" s="15"/>
      <c r="CL10" s="15"/>
      <c r="CM10" s="15"/>
      <c r="CN10" s="18" t="s">
        <v>280</v>
      </c>
      <c r="CO10" s="18" t="s">
        <v>3</v>
      </c>
      <c r="CP10" s="24" t="s">
        <v>279</v>
      </c>
      <c r="CQ10" s="23" t="s">
        <v>30</v>
      </c>
    </row>
    <row r="11" spans="1:95" s="12" customFormat="1" ht="13">
      <c r="A11" s="18">
        <v>8</v>
      </c>
      <c r="B11" s="18" t="s">
        <v>201</v>
      </c>
      <c r="C11" s="18" t="s">
        <v>509</v>
      </c>
      <c r="D11" s="15" t="s">
        <v>245</v>
      </c>
      <c r="E11" s="18" t="s">
        <v>282</v>
      </c>
      <c r="F11" s="18" t="s">
        <v>281</v>
      </c>
      <c r="G11" s="18">
        <v>1995</v>
      </c>
      <c r="H11" s="18">
        <v>2008</v>
      </c>
      <c r="I11" s="18">
        <v>1</v>
      </c>
      <c r="J11" s="18">
        <v>0</v>
      </c>
      <c r="K11" s="18">
        <v>1</v>
      </c>
      <c r="L11" s="18">
        <v>1</v>
      </c>
      <c r="M11" s="18">
        <v>0</v>
      </c>
      <c r="N11" s="18">
        <v>0</v>
      </c>
      <c r="O11" s="15">
        <v>23</v>
      </c>
      <c r="P11" s="15">
        <f t="shared" si="0"/>
        <v>216</v>
      </c>
      <c r="Q11" s="15">
        <v>2000</v>
      </c>
      <c r="R11" s="15"/>
      <c r="S11" s="15">
        <v>800</v>
      </c>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8"/>
      <c r="AV11" s="18"/>
      <c r="AW11" s="15">
        <v>2629</v>
      </c>
      <c r="AX11" s="15">
        <f>(8.5+11.5)/2</f>
        <v>10</v>
      </c>
      <c r="AY11" s="15"/>
      <c r="AZ11" s="15">
        <f>(AX11/2)^2*PI()*AW11/10000</f>
        <v>20.648117715718918</v>
      </c>
      <c r="BA11" s="15"/>
      <c r="BB11" s="15"/>
      <c r="BC11" s="15"/>
      <c r="BD11" s="15"/>
      <c r="BE11" s="15"/>
      <c r="BF11" s="15"/>
      <c r="BG11" s="15"/>
      <c r="BH11" s="15"/>
      <c r="BI11" s="15"/>
      <c r="BJ11" s="15"/>
      <c r="BK11" s="15"/>
      <c r="BL11" s="15"/>
      <c r="BM11" s="15">
        <f>3.0425*0.5</f>
        <v>1.52125</v>
      </c>
      <c r="BN11" s="15">
        <f>5.962*0.5</f>
        <v>2.9809999999999999</v>
      </c>
      <c r="BO11" s="15">
        <f>39.9792*0.5</f>
        <v>19.989599999999999</v>
      </c>
      <c r="BP11" s="15">
        <f>SUM(BM11:BO11)</f>
        <v>24.491849999999999</v>
      </c>
      <c r="BQ11" s="15">
        <f t="shared" si="1"/>
        <v>0.23912648493274294</v>
      </c>
      <c r="BR11" s="15">
        <f>6.2232*0.5</f>
        <v>3.1116000000000001</v>
      </c>
      <c r="BS11" s="15"/>
      <c r="BT11" s="15">
        <f>5.4901*0.5</f>
        <v>2.74505</v>
      </c>
      <c r="BU11" s="15">
        <f>SUM(BR11:BT11)</f>
        <v>5.8566500000000001</v>
      </c>
      <c r="BV11" s="15">
        <f t="shared" si="2"/>
        <v>30.348500000000001</v>
      </c>
      <c r="BW11" s="15"/>
      <c r="BX11" s="15"/>
      <c r="BY11" s="15"/>
      <c r="BZ11" s="15"/>
      <c r="CA11" s="15"/>
      <c r="CB11" s="15"/>
      <c r="CC11" s="15"/>
      <c r="CD11" s="15"/>
      <c r="CE11" s="15"/>
      <c r="CF11" s="15"/>
      <c r="CG11" s="15"/>
      <c r="CH11" s="15"/>
      <c r="CI11" s="15"/>
      <c r="CJ11" s="15"/>
      <c r="CK11" s="15"/>
      <c r="CL11" s="15"/>
      <c r="CM11" s="15"/>
      <c r="CN11" s="18" t="s">
        <v>280</v>
      </c>
      <c r="CO11" s="18" t="s">
        <v>3</v>
      </c>
      <c r="CP11" s="24" t="s">
        <v>279</v>
      </c>
      <c r="CQ11" s="23" t="s">
        <v>30</v>
      </c>
    </row>
    <row r="12" spans="1:95" s="12" customFormat="1" ht="13">
      <c r="A12" s="18">
        <v>9</v>
      </c>
      <c r="B12" s="18" t="s">
        <v>201</v>
      </c>
      <c r="C12" s="18" t="s">
        <v>276</v>
      </c>
      <c r="D12" s="15" t="s">
        <v>139</v>
      </c>
      <c r="E12" s="18" t="s">
        <v>278</v>
      </c>
      <c r="F12" s="18" t="s">
        <v>277</v>
      </c>
      <c r="G12" s="18">
        <v>2000</v>
      </c>
      <c r="H12" s="18">
        <v>2011</v>
      </c>
      <c r="I12" s="18">
        <v>1</v>
      </c>
      <c r="J12" s="18">
        <v>0</v>
      </c>
      <c r="K12" s="18">
        <v>1</v>
      </c>
      <c r="L12" s="18">
        <v>1</v>
      </c>
      <c r="M12" s="18">
        <v>0</v>
      </c>
      <c r="N12" s="18">
        <v>0</v>
      </c>
      <c r="O12" s="15">
        <v>16.899999999999999</v>
      </c>
      <c r="P12" s="15">
        <f t="shared" si="0"/>
        <v>142.79999999999998</v>
      </c>
      <c r="Q12" s="15">
        <f>(1251+1608)/2</f>
        <v>1429.5</v>
      </c>
      <c r="R12" s="15"/>
      <c r="S12" s="15">
        <v>112</v>
      </c>
      <c r="T12" s="15"/>
      <c r="U12" s="15"/>
      <c r="V12" s="15"/>
      <c r="W12" s="15"/>
      <c r="X12" s="15"/>
      <c r="Y12" s="15"/>
      <c r="Z12" s="15">
        <v>2.0299999999999998</v>
      </c>
      <c r="AA12" s="15">
        <v>0.37</v>
      </c>
      <c r="AB12" s="15">
        <v>15</v>
      </c>
      <c r="AC12" s="15"/>
      <c r="AD12" s="15"/>
      <c r="AE12" s="15"/>
      <c r="AF12" s="15"/>
      <c r="AG12" s="15"/>
      <c r="AH12" s="15"/>
      <c r="AI12" s="15"/>
      <c r="AJ12" s="15"/>
      <c r="AK12" s="15"/>
      <c r="AL12" s="15"/>
      <c r="AM12" s="15"/>
      <c r="AN12" s="15"/>
      <c r="AO12" s="15"/>
      <c r="AP12" s="15"/>
      <c r="AQ12" s="15"/>
      <c r="AR12" s="15"/>
      <c r="AS12" s="15"/>
      <c r="AT12" s="15"/>
      <c r="AU12" s="18"/>
      <c r="AV12" s="15"/>
      <c r="AW12" s="15"/>
      <c r="AX12" s="15">
        <v>8.3000000000000007</v>
      </c>
      <c r="AY12" s="15">
        <v>13.1</v>
      </c>
      <c r="AZ12" s="15"/>
      <c r="BA12" s="15"/>
      <c r="BB12" s="15"/>
      <c r="BC12" s="15"/>
      <c r="BD12" s="15"/>
      <c r="BE12" s="15"/>
      <c r="BF12" s="15"/>
      <c r="BG12" s="15"/>
      <c r="BH12" s="15"/>
      <c r="BI12" s="15"/>
      <c r="BJ12" s="15"/>
      <c r="BK12" s="15">
        <f>25.86/1000*100</f>
        <v>2.5860000000000003</v>
      </c>
      <c r="BL12" s="15">
        <f>25.86/1000*100</f>
        <v>2.5860000000000003</v>
      </c>
      <c r="BM12" s="15"/>
      <c r="BN12" s="15"/>
      <c r="BO12" s="15"/>
      <c r="BP12" s="15">
        <f>4006.1*10000/1000/1000*0.5</f>
        <v>20.0305</v>
      </c>
      <c r="BQ12" s="15"/>
      <c r="BR12" s="15">
        <f>(419.2+249.3)*10000/1000/1000*0.5</f>
        <v>3.3424999999999998</v>
      </c>
      <c r="BS12" s="15"/>
      <c r="BT12" s="15"/>
      <c r="BU12" s="15"/>
      <c r="BV12" s="15"/>
      <c r="BW12" s="15"/>
      <c r="BX12" s="15"/>
      <c r="BY12" s="15"/>
      <c r="BZ12" s="15"/>
      <c r="CA12" s="15"/>
      <c r="CB12" s="15"/>
      <c r="CC12" s="15"/>
      <c r="CD12" s="15">
        <f>384.9*10000/1000/1000*0.5</f>
        <v>1.9245000000000001</v>
      </c>
      <c r="CE12" s="15"/>
      <c r="CF12" s="15"/>
      <c r="CG12" s="15"/>
      <c r="CH12" s="15"/>
      <c r="CI12" s="15"/>
      <c r="CJ12" s="15"/>
      <c r="CK12" s="15"/>
      <c r="CL12" s="15"/>
      <c r="CM12" s="15"/>
      <c r="CN12" s="18" t="s">
        <v>269</v>
      </c>
      <c r="CO12" s="18" t="s">
        <v>3</v>
      </c>
      <c r="CP12" s="24" t="s">
        <v>268</v>
      </c>
      <c r="CQ12" s="23" t="s">
        <v>30</v>
      </c>
    </row>
    <row r="13" spans="1:95" s="12" customFormat="1" ht="13">
      <c r="A13" s="18">
        <v>10</v>
      </c>
      <c r="B13" s="18" t="s">
        <v>201</v>
      </c>
      <c r="C13" s="18" t="s">
        <v>276</v>
      </c>
      <c r="D13" s="15" t="s">
        <v>139</v>
      </c>
      <c r="E13" s="18" t="s">
        <v>275</v>
      </c>
      <c r="F13" s="18" t="s">
        <v>274</v>
      </c>
      <c r="G13" s="18">
        <v>2000</v>
      </c>
      <c r="H13" s="18">
        <v>2011</v>
      </c>
      <c r="I13" s="18">
        <v>1</v>
      </c>
      <c r="J13" s="18">
        <v>0</v>
      </c>
      <c r="K13" s="18">
        <v>1</v>
      </c>
      <c r="L13" s="18">
        <v>1</v>
      </c>
      <c r="M13" s="18">
        <v>0</v>
      </c>
      <c r="N13" s="18">
        <v>0</v>
      </c>
      <c r="O13" s="15">
        <v>16.899999999999999</v>
      </c>
      <c r="P13" s="15">
        <f t="shared" si="0"/>
        <v>142.79999999999998</v>
      </c>
      <c r="Q13" s="15">
        <f>(1251+1608)/2</f>
        <v>1429.5</v>
      </c>
      <c r="R13" s="15"/>
      <c r="S13" s="15">
        <v>168</v>
      </c>
      <c r="T13" s="15"/>
      <c r="U13" s="15"/>
      <c r="V13" s="15"/>
      <c r="W13" s="15"/>
      <c r="X13" s="15"/>
      <c r="Y13" s="15"/>
      <c r="Z13" s="15">
        <v>1.1200000000000001</v>
      </c>
      <c r="AA13" s="15">
        <v>0.31</v>
      </c>
      <c r="AB13" s="15">
        <v>12.7</v>
      </c>
      <c r="AC13" s="15"/>
      <c r="AD13" s="15"/>
      <c r="AE13" s="15"/>
      <c r="AF13" s="15"/>
      <c r="AG13" s="15"/>
      <c r="AH13" s="15"/>
      <c r="AI13" s="15"/>
      <c r="AJ13" s="15"/>
      <c r="AK13" s="15"/>
      <c r="AL13" s="15"/>
      <c r="AM13" s="15"/>
      <c r="AN13" s="15"/>
      <c r="AO13" s="15"/>
      <c r="AP13" s="15"/>
      <c r="AQ13" s="15"/>
      <c r="AR13" s="15"/>
      <c r="AS13" s="15"/>
      <c r="AT13" s="15"/>
      <c r="AU13" s="18"/>
      <c r="AV13" s="15"/>
      <c r="AW13" s="15"/>
      <c r="AX13" s="15">
        <v>8.8000000000000007</v>
      </c>
      <c r="AY13" s="15">
        <v>12.3</v>
      </c>
      <c r="AZ13" s="15"/>
      <c r="BA13" s="15"/>
      <c r="BB13" s="15"/>
      <c r="BC13" s="15"/>
      <c r="BD13" s="15"/>
      <c r="BE13" s="15"/>
      <c r="BF13" s="15"/>
      <c r="BG13" s="15"/>
      <c r="BH13" s="15"/>
      <c r="BI13" s="15"/>
      <c r="BJ13" s="15"/>
      <c r="BK13" s="15">
        <f>23.72/1000*100</f>
        <v>2.3719999999999999</v>
      </c>
      <c r="BL13" s="15">
        <f>23.72/1000*100</f>
        <v>2.3719999999999999</v>
      </c>
      <c r="BM13" s="15"/>
      <c r="BN13" s="15"/>
      <c r="BO13" s="15"/>
      <c r="BP13" s="15">
        <f>3421.4*10000/1000/1000*0.5</f>
        <v>17.106999999999999</v>
      </c>
      <c r="BQ13" s="15"/>
      <c r="BR13" s="15">
        <f>(638.7+372.1)*10000/1000/1000*0.5</f>
        <v>5.0540000000000003</v>
      </c>
      <c r="BS13" s="15"/>
      <c r="BT13" s="15"/>
      <c r="BU13" s="15"/>
      <c r="BV13" s="15"/>
      <c r="BW13" s="15"/>
      <c r="BX13" s="15"/>
      <c r="BY13" s="15"/>
      <c r="BZ13" s="15"/>
      <c r="CA13" s="15"/>
      <c r="CB13" s="15"/>
      <c r="CC13" s="15"/>
      <c r="CD13" s="15">
        <f>246.1*10000/1000/1000*0.5</f>
        <v>1.2304999999999999</v>
      </c>
      <c r="CE13" s="15"/>
      <c r="CF13" s="15"/>
      <c r="CG13" s="15"/>
      <c r="CH13" s="15"/>
      <c r="CI13" s="15"/>
      <c r="CJ13" s="15"/>
      <c r="CK13" s="15"/>
      <c r="CL13" s="15"/>
      <c r="CM13" s="15"/>
      <c r="CN13" s="18" t="s">
        <v>273</v>
      </c>
      <c r="CO13" s="18" t="s">
        <v>17</v>
      </c>
      <c r="CP13" s="24" t="s">
        <v>268</v>
      </c>
      <c r="CQ13" s="23" t="s">
        <v>30</v>
      </c>
    </row>
    <row r="14" spans="1:95" s="12" customFormat="1" ht="13">
      <c r="A14" s="18">
        <v>11</v>
      </c>
      <c r="B14" s="18" t="s">
        <v>201</v>
      </c>
      <c r="C14" s="18" t="s">
        <v>272</v>
      </c>
      <c r="D14" s="15" t="s">
        <v>139</v>
      </c>
      <c r="E14" s="18" t="s">
        <v>271</v>
      </c>
      <c r="F14" s="18" t="s">
        <v>270</v>
      </c>
      <c r="G14" s="18">
        <v>2000</v>
      </c>
      <c r="H14" s="18">
        <v>2011</v>
      </c>
      <c r="I14" s="18">
        <v>0</v>
      </c>
      <c r="J14" s="18">
        <v>0</v>
      </c>
      <c r="K14" s="18">
        <v>0</v>
      </c>
      <c r="L14" s="18">
        <v>0</v>
      </c>
      <c r="M14" s="18">
        <v>0</v>
      </c>
      <c r="N14" s="18">
        <v>0</v>
      </c>
      <c r="O14" s="15">
        <v>16.899999999999999</v>
      </c>
      <c r="P14" s="15">
        <f t="shared" si="0"/>
        <v>142.79999999999998</v>
      </c>
      <c r="Q14" s="15">
        <f>(1251+1608)/2</f>
        <v>1429.5</v>
      </c>
      <c r="R14" s="15"/>
      <c r="S14" s="15">
        <v>161</v>
      </c>
      <c r="T14" s="15"/>
      <c r="U14" s="15"/>
      <c r="V14" s="15"/>
      <c r="W14" s="15"/>
      <c r="X14" s="15"/>
      <c r="Y14" s="15"/>
      <c r="Z14" s="15">
        <v>1.33</v>
      </c>
      <c r="AA14" s="15">
        <v>0.32</v>
      </c>
      <c r="AB14" s="15">
        <v>9.68</v>
      </c>
      <c r="AC14" s="15"/>
      <c r="AD14" s="15"/>
      <c r="AE14" s="15"/>
      <c r="AF14" s="15"/>
      <c r="AG14" s="15"/>
      <c r="AH14" s="15"/>
      <c r="AI14" s="15"/>
      <c r="AJ14" s="15"/>
      <c r="AK14" s="15"/>
      <c r="AL14" s="15"/>
      <c r="AM14" s="15"/>
      <c r="AN14" s="15"/>
      <c r="AO14" s="15"/>
      <c r="AP14" s="15"/>
      <c r="AQ14" s="15"/>
      <c r="AR14" s="15"/>
      <c r="AS14" s="15"/>
      <c r="AT14" s="15"/>
      <c r="AU14" s="18"/>
      <c r="AV14" s="15"/>
      <c r="AW14" s="15"/>
      <c r="AX14" s="15">
        <v>8.1999999999999993</v>
      </c>
      <c r="AY14" s="15">
        <v>11.1</v>
      </c>
      <c r="AZ14" s="15"/>
      <c r="BA14" s="15"/>
      <c r="BB14" s="15"/>
      <c r="BC14" s="15"/>
      <c r="BD14" s="15"/>
      <c r="BE14" s="15"/>
      <c r="BF14" s="15"/>
      <c r="BG14" s="15"/>
      <c r="BH14" s="15"/>
      <c r="BI14" s="15"/>
      <c r="BJ14" s="15"/>
      <c r="BK14" s="15">
        <f>26.41/1000*100</f>
        <v>2.641</v>
      </c>
      <c r="BL14" s="15">
        <f>26.41/1000*100</f>
        <v>2.641</v>
      </c>
      <c r="BM14" s="15"/>
      <c r="BN14" s="15"/>
      <c r="BO14" s="15"/>
      <c r="BP14" s="15">
        <f>2857.7*10000/1000/1000*0.5</f>
        <v>14.288500000000001</v>
      </c>
      <c r="BQ14" s="15">
        <f>BU14/BP14</f>
        <v>0.27361164572908281</v>
      </c>
      <c r="BR14" s="15">
        <f>(781.9+371.3)*10000/1000/1000*0.5</f>
        <v>5.766</v>
      </c>
      <c r="BS14" s="15"/>
      <c r="BT14" s="15"/>
      <c r="BU14" s="15">
        <v>3.9095</v>
      </c>
      <c r="BV14" s="15">
        <v>18.1995</v>
      </c>
      <c r="BW14" s="15"/>
      <c r="BX14" s="15">
        <v>86.17</v>
      </c>
      <c r="BY14" s="15"/>
      <c r="BZ14" s="15">
        <v>104.3695</v>
      </c>
      <c r="CA14" s="15"/>
      <c r="CB14" s="15"/>
      <c r="CC14" s="15"/>
      <c r="CD14" s="15">
        <f>401.8*10000/1000/1000*0.5</f>
        <v>2.0089999999999999</v>
      </c>
      <c r="CE14" s="15"/>
      <c r="CF14" s="15"/>
      <c r="CG14" s="15"/>
      <c r="CH14" s="15"/>
      <c r="CI14" s="15"/>
      <c r="CJ14" s="15"/>
      <c r="CK14" s="15"/>
      <c r="CL14" s="15"/>
      <c r="CM14" s="15"/>
      <c r="CN14" s="18" t="s">
        <v>269</v>
      </c>
      <c r="CO14" s="18" t="s">
        <v>3</v>
      </c>
      <c r="CP14" s="24" t="s">
        <v>268</v>
      </c>
      <c r="CQ14" s="23" t="s">
        <v>30</v>
      </c>
    </row>
    <row r="15" spans="1:95" s="12" customFormat="1" ht="13">
      <c r="A15" s="18">
        <v>12</v>
      </c>
      <c r="B15" s="18" t="s">
        <v>201</v>
      </c>
      <c r="C15" s="18" t="s">
        <v>409</v>
      </c>
      <c r="D15" s="15" t="s">
        <v>139</v>
      </c>
      <c r="E15" s="18" t="s">
        <v>267</v>
      </c>
      <c r="F15" s="18" t="s">
        <v>266</v>
      </c>
      <c r="G15" s="18">
        <v>2005</v>
      </c>
      <c r="H15" s="18">
        <v>2006</v>
      </c>
      <c r="I15" s="18">
        <v>1</v>
      </c>
      <c r="J15" s="18">
        <v>0</v>
      </c>
      <c r="K15" s="18">
        <v>1</v>
      </c>
      <c r="L15" s="18">
        <v>0</v>
      </c>
      <c r="M15" s="18">
        <v>0</v>
      </c>
      <c r="N15" s="18">
        <v>0</v>
      </c>
      <c r="O15" s="15">
        <v>16.5</v>
      </c>
      <c r="P15" s="15">
        <f t="shared" si="0"/>
        <v>138</v>
      </c>
      <c r="Q15" s="15">
        <f>1300</f>
        <v>1300</v>
      </c>
      <c r="R15" s="15"/>
      <c r="S15" s="15">
        <v>379</v>
      </c>
      <c r="T15" s="15">
        <v>80</v>
      </c>
      <c r="U15" s="15">
        <v>1445.4</v>
      </c>
      <c r="V15" s="15"/>
      <c r="W15" s="15"/>
      <c r="X15" s="15"/>
      <c r="Y15" s="15"/>
      <c r="Z15" s="15">
        <v>1.33</v>
      </c>
      <c r="AA15" s="15">
        <v>0.57999999999999996</v>
      </c>
      <c r="AB15" s="15">
        <v>21.6</v>
      </c>
      <c r="AC15" s="15">
        <f>((30.973762*2+15.999*5)/30.973762)*1.96</f>
        <v>8.9820328263644562</v>
      </c>
      <c r="AD15" s="15"/>
      <c r="AE15" s="15"/>
      <c r="AF15" s="15"/>
      <c r="AG15" s="15"/>
      <c r="AH15" s="15"/>
      <c r="AI15" s="15"/>
      <c r="AJ15" s="15"/>
      <c r="AK15" s="15"/>
      <c r="AL15" s="15"/>
      <c r="AM15" s="15"/>
      <c r="AN15" s="15"/>
      <c r="AO15" s="15"/>
      <c r="AP15" s="15"/>
      <c r="AQ15" s="15"/>
      <c r="AR15" s="15"/>
      <c r="AS15" s="15"/>
      <c r="AT15" s="15"/>
      <c r="AU15" s="18"/>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c r="BT15" s="15"/>
      <c r="BU15" s="15"/>
      <c r="BV15" s="15">
        <v>31.97</v>
      </c>
      <c r="BW15" s="15">
        <v>0.74</v>
      </c>
      <c r="BX15" s="15">
        <v>110.95</v>
      </c>
      <c r="BY15" s="15">
        <v>0.64</v>
      </c>
      <c r="BZ15" s="15">
        <f>SUM(BV15:BY15)</f>
        <v>144.29999999999998</v>
      </c>
      <c r="CA15" s="15"/>
      <c r="CB15" s="15"/>
      <c r="CC15" s="15">
        <v>8.2899999999999991</v>
      </c>
      <c r="CD15" s="15">
        <v>1.1100000000000001</v>
      </c>
      <c r="CE15" s="15">
        <f>SUM(CA15:CD15)</f>
        <v>9.3999999999999986</v>
      </c>
      <c r="CF15" s="15">
        <v>0.96</v>
      </c>
      <c r="CG15" s="15"/>
      <c r="CH15" s="15"/>
      <c r="CI15" s="15">
        <f>SUM(CF15:CH15)</f>
        <v>0.96</v>
      </c>
      <c r="CJ15" s="15">
        <f>CI15+CE15</f>
        <v>10.36</v>
      </c>
      <c r="CK15" s="15">
        <f>33.941*12/44</f>
        <v>9.256636363636364</v>
      </c>
      <c r="CL15" s="15">
        <f>20.19*12/44</f>
        <v>5.5063636363636368</v>
      </c>
      <c r="CM15" s="15">
        <f>CJ15-CL15</f>
        <v>4.8536363636363626</v>
      </c>
      <c r="CN15" s="18" t="s">
        <v>265</v>
      </c>
      <c r="CO15" s="18" t="s">
        <v>17</v>
      </c>
      <c r="CP15" s="24" t="s">
        <v>264</v>
      </c>
      <c r="CQ15" s="23" t="s">
        <v>30</v>
      </c>
    </row>
    <row r="16" spans="1:95" s="12" customFormat="1" ht="13">
      <c r="A16" s="18">
        <v>13</v>
      </c>
      <c r="B16" s="18" t="s">
        <v>201</v>
      </c>
      <c r="C16" s="18" t="s">
        <v>263</v>
      </c>
      <c r="D16" s="15" t="s">
        <v>139</v>
      </c>
      <c r="E16" s="18" t="s">
        <v>262</v>
      </c>
      <c r="F16" s="18" t="s">
        <v>261</v>
      </c>
      <c r="G16" s="18">
        <v>2011</v>
      </c>
      <c r="H16" s="18">
        <v>2011</v>
      </c>
      <c r="I16" s="18">
        <v>0</v>
      </c>
      <c r="J16" s="18">
        <v>0</v>
      </c>
      <c r="K16" s="18">
        <v>0</v>
      </c>
      <c r="L16" s="18">
        <v>0</v>
      </c>
      <c r="M16" s="18">
        <v>0</v>
      </c>
      <c r="N16" s="18">
        <v>0</v>
      </c>
      <c r="O16" s="15">
        <f>(15.8+17.7)/2</f>
        <v>16.75</v>
      </c>
      <c r="P16" s="15">
        <v>141</v>
      </c>
      <c r="Q16" s="15">
        <v>1590.9</v>
      </c>
      <c r="R16" s="15"/>
      <c r="S16" s="15">
        <v>500</v>
      </c>
      <c r="T16" s="15"/>
      <c r="U16" s="15">
        <v>1657</v>
      </c>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8"/>
      <c r="AV16" s="15"/>
      <c r="AW16" s="15">
        <v>3000</v>
      </c>
      <c r="AX16" s="15">
        <v>9.5</v>
      </c>
      <c r="AY16" s="15"/>
      <c r="AZ16" s="15">
        <f>(AX16/2)^2*PI()*AW16/10000</f>
        <v>21.264655273985909</v>
      </c>
      <c r="BA16" s="15"/>
      <c r="BB16" s="15"/>
      <c r="BC16" s="15"/>
      <c r="BD16" s="15"/>
      <c r="BE16" s="15"/>
      <c r="BF16" s="15"/>
      <c r="BG16" s="15"/>
      <c r="BH16" s="15"/>
      <c r="BI16" s="15"/>
      <c r="BJ16" s="15"/>
      <c r="BK16" s="15"/>
      <c r="BL16" s="15"/>
      <c r="BM16" s="15"/>
      <c r="BN16" s="15"/>
      <c r="BO16" s="15"/>
      <c r="BP16" s="15">
        <f>16.42*100/37.73*0.5</f>
        <v>21.759872780280947</v>
      </c>
      <c r="BQ16" s="15"/>
      <c r="BR16" s="15"/>
      <c r="BS16" s="15"/>
      <c r="BT16" s="15"/>
      <c r="BU16" s="15"/>
      <c r="BV16" s="15"/>
      <c r="BW16" s="15"/>
      <c r="BX16" s="15"/>
      <c r="BY16" s="15"/>
      <c r="BZ16" s="15"/>
      <c r="CA16" s="15"/>
      <c r="CB16" s="15"/>
      <c r="CC16" s="15"/>
      <c r="CD16" s="15"/>
      <c r="CE16" s="15"/>
      <c r="CF16" s="15"/>
      <c r="CG16" s="15"/>
      <c r="CH16" s="15"/>
      <c r="CI16" s="15"/>
      <c r="CJ16" s="15"/>
      <c r="CK16" s="15"/>
      <c r="CL16" s="15"/>
      <c r="CM16" s="15"/>
      <c r="CN16" s="18" t="s">
        <v>260</v>
      </c>
      <c r="CO16" s="18" t="s">
        <v>3</v>
      </c>
      <c r="CP16" s="24" t="s">
        <v>259</v>
      </c>
      <c r="CQ16" s="23" t="s">
        <v>30</v>
      </c>
    </row>
    <row r="17" spans="1:95" s="12" customFormat="1" ht="13">
      <c r="A17" s="18">
        <v>14</v>
      </c>
      <c r="B17" s="18" t="s">
        <v>201</v>
      </c>
      <c r="C17" s="18" t="s">
        <v>258</v>
      </c>
      <c r="D17" s="15" t="s">
        <v>139</v>
      </c>
      <c r="E17" s="18" t="s">
        <v>257</v>
      </c>
      <c r="F17" s="18" t="s">
        <v>256</v>
      </c>
      <c r="G17" s="18">
        <v>1977</v>
      </c>
      <c r="H17" s="18">
        <v>2008</v>
      </c>
      <c r="I17" s="18">
        <v>1</v>
      </c>
      <c r="J17" s="18">
        <v>1</v>
      </c>
      <c r="K17" s="18">
        <v>1</v>
      </c>
      <c r="L17" s="18">
        <v>1</v>
      </c>
      <c r="M17" s="18">
        <v>0</v>
      </c>
      <c r="N17" s="18">
        <v>0</v>
      </c>
      <c r="O17" s="15">
        <f>(15.9+16.2+(15.8+17.7)/2+16.5+18.7)/5</f>
        <v>16.809999999999999</v>
      </c>
      <c r="P17" s="15">
        <f>(O17-5)*12</f>
        <v>141.71999999999997</v>
      </c>
      <c r="Q17" s="15">
        <f>(1424+1350+1591+1300+1568)/5</f>
        <v>1446.6</v>
      </c>
      <c r="R17" s="15"/>
      <c r="S17" s="15">
        <v>3</v>
      </c>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8"/>
      <c r="AV17" s="15"/>
      <c r="AW17" s="15"/>
      <c r="AX17" s="15"/>
      <c r="AY17" s="15"/>
      <c r="AZ17" s="15"/>
      <c r="BA17" s="15"/>
      <c r="BB17" s="15"/>
      <c r="BC17" s="15"/>
      <c r="BD17" s="15"/>
      <c r="BE17" s="15"/>
      <c r="BF17" s="15"/>
      <c r="BG17" s="15"/>
      <c r="BH17" s="15"/>
      <c r="BI17" s="15"/>
      <c r="BJ17" s="15"/>
      <c r="BK17" s="15"/>
      <c r="BL17" s="15"/>
      <c r="BM17" s="15"/>
      <c r="BN17" s="15"/>
      <c r="BO17" s="15"/>
      <c r="BP17" s="15">
        <f>105.76*0.5</f>
        <v>52.88</v>
      </c>
      <c r="BQ17" s="15">
        <f>BU17/BP17</f>
        <v>0.63350983358547652</v>
      </c>
      <c r="BR17" s="15"/>
      <c r="BS17" s="15"/>
      <c r="BT17" s="15"/>
      <c r="BU17" s="15">
        <f>67*0.5</f>
        <v>33.5</v>
      </c>
      <c r="BV17" s="15">
        <f>BU17+BP17</f>
        <v>86.38</v>
      </c>
      <c r="BW17" s="15"/>
      <c r="BX17" s="15"/>
      <c r="BY17" s="15"/>
      <c r="BZ17" s="15">
        <v>95.42</v>
      </c>
      <c r="CA17" s="15"/>
      <c r="CB17" s="15"/>
      <c r="CC17" s="15"/>
      <c r="CD17" s="15"/>
      <c r="CE17" s="15"/>
      <c r="CF17" s="15"/>
      <c r="CG17" s="15"/>
      <c r="CH17" s="15"/>
      <c r="CI17" s="15"/>
      <c r="CJ17" s="15"/>
      <c r="CK17" s="15"/>
      <c r="CL17" s="15"/>
      <c r="CM17" s="15"/>
      <c r="CN17" s="18" t="s">
        <v>255</v>
      </c>
      <c r="CO17" s="18" t="s">
        <v>3</v>
      </c>
      <c r="CP17" s="24" t="s">
        <v>241</v>
      </c>
      <c r="CQ17" s="23" t="s">
        <v>30</v>
      </c>
    </row>
    <row r="18" spans="1:95" s="12" customFormat="1" ht="13">
      <c r="A18" s="18">
        <v>15</v>
      </c>
      <c r="B18" s="18" t="s">
        <v>201</v>
      </c>
      <c r="C18" s="18" t="s">
        <v>254</v>
      </c>
      <c r="D18" s="15" t="s">
        <v>139</v>
      </c>
      <c r="E18" s="18" t="s">
        <v>253</v>
      </c>
      <c r="F18" s="18" t="s">
        <v>252</v>
      </c>
      <c r="G18" s="18">
        <v>1977</v>
      </c>
      <c r="H18" s="18">
        <v>2008</v>
      </c>
      <c r="I18" s="18">
        <v>1</v>
      </c>
      <c r="J18" s="18">
        <v>1</v>
      </c>
      <c r="K18" s="18">
        <v>1</v>
      </c>
      <c r="L18" s="18">
        <v>1</v>
      </c>
      <c r="M18" s="18">
        <v>0</v>
      </c>
      <c r="N18" s="18">
        <v>0</v>
      </c>
      <c r="O18" s="15">
        <f>((14+19)/2+(12.2+15.6)/2)/2</f>
        <v>15.2</v>
      </c>
      <c r="P18" s="15">
        <f>(O18-5)*12</f>
        <v>122.39999999999999</v>
      </c>
      <c r="Q18" s="15">
        <f>((1150+1490)/2+(1100+1900)/2)/2</f>
        <v>1410</v>
      </c>
      <c r="R18" s="15"/>
      <c r="S18" s="15">
        <v>49</v>
      </c>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8"/>
      <c r="AV18" s="15"/>
      <c r="AW18" s="15"/>
      <c r="AX18" s="15"/>
      <c r="AY18" s="15"/>
      <c r="AZ18" s="15"/>
      <c r="BA18" s="15"/>
      <c r="BB18" s="15"/>
      <c r="BC18" s="15"/>
      <c r="BD18" s="15"/>
      <c r="BE18" s="15"/>
      <c r="BF18" s="15"/>
      <c r="BG18" s="15"/>
      <c r="BH18" s="15"/>
      <c r="BI18" s="15"/>
      <c r="BJ18" s="15"/>
      <c r="BK18" s="15"/>
      <c r="BL18" s="15"/>
      <c r="BM18" s="15"/>
      <c r="BN18" s="15"/>
      <c r="BO18" s="15"/>
      <c r="BP18" s="15">
        <f>96.54*0.5</f>
        <v>48.27</v>
      </c>
      <c r="BQ18" s="15">
        <f>BU18/BP18</f>
        <v>0.48839859125750978</v>
      </c>
      <c r="BR18" s="15"/>
      <c r="BS18" s="15"/>
      <c r="BT18" s="15"/>
      <c r="BU18" s="15">
        <f>47.15*0.5</f>
        <v>23.574999999999999</v>
      </c>
      <c r="BV18" s="15">
        <f>BU18+BP18</f>
        <v>71.844999999999999</v>
      </c>
      <c r="BW18" s="15"/>
      <c r="BX18" s="15"/>
      <c r="BY18" s="15"/>
      <c r="BZ18" s="15">
        <v>69.63000000000001</v>
      </c>
      <c r="CA18" s="15"/>
      <c r="CB18" s="15"/>
      <c r="CC18" s="15"/>
      <c r="CD18" s="15"/>
      <c r="CE18" s="15"/>
      <c r="CF18" s="15"/>
      <c r="CG18" s="15"/>
      <c r="CH18" s="15"/>
      <c r="CI18" s="15"/>
      <c r="CJ18" s="15"/>
      <c r="CK18" s="15"/>
      <c r="CL18" s="15"/>
      <c r="CM18" s="18"/>
      <c r="CN18" s="18" t="s">
        <v>251</v>
      </c>
      <c r="CO18" s="18" t="s">
        <v>3</v>
      </c>
      <c r="CP18" s="24" t="s">
        <v>241</v>
      </c>
      <c r="CQ18" s="23" t="s">
        <v>30</v>
      </c>
    </row>
    <row r="19" spans="1:95" s="12" customFormat="1" ht="13">
      <c r="A19" s="18">
        <v>16</v>
      </c>
      <c r="B19" s="18" t="s">
        <v>201</v>
      </c>
      <c r="C19" s="18" t="s">
        <v>250</v>
      </c>
      <c r="D19" s="15" t="s">
        <v>245</v>
      </c>
      <c r="E19" s="18" t="s">
        <v>249</v>
      </c>
      <c r="F19" s="18" t="s">
        <v>248</v>
      </c>
      <c r="G19" s="18">
        <v>1977</v>
      </c>
      <c r="H19" s="18">
        <v>2008</v>
      </c>
      <c r="I19" s="18">
        <v>1</v>
      </c>
      <c r="J19" s="18">
        <v>0</v>
      </c>
      <c r="K19" s="18">
        <v>1</v>
      </c>
      <c r="L19" s="18">
        <v>1</v>
      </c>
      <c r="M19" s="18">
        <v>0</v>
      </c>
      <c r="N19" s="18">
        <v>0</v>
      </c>
      <c r="O19" s="15">
        <f>(18.3+19)/2</f>
        <v>18.649999999999999</v>
      </c>
      <c r="P19" s="15">
        <f>(O19-5)*12</f>
        <v>163.79999999999998</v>
      </c>
      <c r="Q19" s="15">
        <f>(1104+1250)/2</f>
        <v>1177</v>
      </c>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8"/>
      <c r="AV19" s="15"/>
      <c r="AW19" s="15"/>
      <c r="AX19" s="15"/>
      <c r="AY19" s="15"/>
      <c r="AZ19" s="15"/>
      <c r="BA19" s="15"/>
      <c r="BB19" s="15"/>
      <c r="BC19" s="15"/>
      <c r="BD19" s="15"/>
      <c r="BE19" s="15"/>
      <c r="BF19" s="15"/>
      <c r="BG19" s="15"/>
      <c r="BH19" s="15"/>
      <c r="BI19" s="15"/>
      <c r="BJ19" s="15"/>
      <c r="BK19" s="15"/>
      <c r="BL19" s="15"/>
      <c r="BM19" s="15"/>
      <c r="BN19" s="15"/>
      <c r="BO19" s="15"/>
      <c r="BP19" s="15">
        <f>44.78*0.5</f>
        <v>22.39</v>
      </c>
      <c r="BQ19" s="15">
        <f>BU19/BP19</f>
        <v>0.47543546225993744</v>
      </c>
      <c r="BR19" s="15"/>
      <c r="BS19" s="15"/>
      <c r="BT19" s="15"/>
      <c r="BU19" s="15">
        <f>21.29*0.5</f>
        <v>10.645</v>
      </c>
      <c r="BV19" s="15">
        <f>BU19+BP19</f>
        <v>33.034999999999997</v>
      </c>
      <c r="BW19" s="15"/>
      <c r="BX19" s="15"/>
      <c r="BY19" s="15"/>
      <c r="BZ19" s="15"/>
      <c r="CA19" s="15"/>
      <c r="CB19" s="15"/>
      <c r="CC19" s="15"/>
      <c r="CD19" s="15"/>
      <c r="CE19" s="15"/>
      <c r="CF19" s="15"/>
      <c r="CG19" s="15"/>
      <c r="CH19" s="15"/>
      <c r="CI19" s="15"/>
      <c r="CJ19" s="15"/>
      <c r="CK19" s="15"/>
      <c r="CL19" s="15"/>
      <c r="CM19" s="15"/>
      <c r="CN19" s="18" t="s">
        <v>247</v>
      </c>
      <c r="CO19" s="18" t="s">
        <v>3</v>
      </c>
      <c r="CP19" s="24" t="s">
        <v>241</v>
      </c>
      <c r="CQ19" s="23" t="s">
        <v>30</v>
      </c>
    </row>
    <row r="20" spans="1:95" s="12" customFormat="1" ht="13">
      <c r="A20" s="18">
        <v>17</v>
      </c>
      <c r="B20" s="18" t="s">
        <v>201</v>
      </c>
      <c r="C20" s="18" t="s">
        <v>246</v>
      </c>
      <c r="D20" s="15" t="s">
        <v>245</v>
      </c>
      <c r="E20" s="18" t="s">
        <v>244</v>
      </c>
      <c r="F20" s="18" t="s">
        <v>243</v>
      </c>
      <c r="G20" s="18">
        <v>1977</v>
      </c>
      <c r="H20" s="18">
        <v>2008</v>
      </c>
      <c r="I20" s="18">
        <v>1</v>
      </c>
      <c r="J20" s="18">
        <v>1</v>
      </c>
      <c r="K20" s="18">
        <v>1</v>
      </c>
      <c r="L20" s="18">
        <v>1</v>
      </c>
      <c r="M20" s="18">
        <v>0</v>
      </c>
      <c r="N20" s="18">
        <v>0</v>
      </c>
      <c r="O20" s="15">
        <f>23</f>
        <v>23</v>
      </c>
      <c r="P20" s="15">
        <f>(O20-5)*12</f>
        <v>216</v>
      </c>
      <c r="Q20" s="15">
        <f>2000</f>
        <v>2000</v>
      </c>
      <c r="R20" s="15"/>
      <c r="S20" s="15">
        <v>877</v>
      </c>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8"/>
      <c r="AV20" s="15"/>
      <c r="AW20" s="15"/>
      <c r="AX20" s="15"/>
      <c r="AY20" s="15"/>
      <c r="AZ20" s="15"/>
      <c r="BA20" s="15"/>
      <c r="BB20" s="15"/>
      <c r="BC20" s="15"/>
      <c r="BD20" s="15"/>
      <c r="BE20" s="15"/>
      <c r="BF20" s="15"/>
      <c r="BG20" s="15"/>
      <c r="BH20" s="15"/>
      <c r="BI20" s="15"/>
      <c r="BJ20" s="15"/>
      <c r="BK20" s="15"/>
      <c r="BL20" s="15"/>
      <c r="BM20" s="15"/>
      <c r="BN20" s="15"/>
      <c r="BO20" s="15"/>
      <c r="BP20" s="15">
        <f>64.72*0.5</f>
        <v>32.36</v>
      </c>
      <c r="BQ20" s="15">
        <f>BU20/BP20</f>
        <v>0.57586526576019781</v>
      </c>
      <c r="BR20" s="15"/>
      <c r="BS20" s="15"/>
      <c r="BT20" s="15"/>
      <c r="BU20" s="15">
        <f>37.27*0.5</f>
        <v>18.635000000000002</v>
      </c>
      <c r="BV20" s="15">
        <f>BU20+BP20</f>
        <v>50.995000000000005</v>
      </c>
      <c r="BW20" s="15"/>
      <c r="BX20" s="15"/>
      <c r="BY20" s="15"/>
      <c r="BZ20" s="15">
        <v>119.88</v>
      </c>
      <c r="CA20" s="15"/>
      <c r="CB20" s="15"/>
      <c r="CC20" s="15"/>
      <c r="CD20" s="15"/>
      <c r="CE20" s="15"/>
      <c r="CF20" s="15"/>
      <c r="CG20" s="15"/>
      <c r="CH20" s="15"/>
      <c r="CI20" s="15"/>
      <c r="CJ20" s="15"/>
      <c r="CK20" s="15"/>
      <c r="CL20" s="15"/>
      <c r="CM20" s="15"/>
      <c r="CN20" s="18" t="s">
        <v>242</v>
      </c>
      <c r="CO20" s="18" t="s">
        <v>3</v>
      </c>
      <c r="CP20" s="24" t="s">
        <v>241</v>
      </c>
      <c r="CQ20" s="23" t="s">
        <v>1</v>
      </c>
    </row>
    <row r="21" spans="1:95" s="12" customFormat="1" ht="13">
      <c r="A21" s="18">
        <v>18</v>
      </c>
      <c r="B21" s="18" t="s">
        <v>201</v>
      </c>
      <c r="C21" s="18" t="s">
        <v>240</v>
      </c>
      <c r="D21" s="15" t="s">
        <v>139</v>
      </c>
      <c r="E21" s="18" t="s">
        <v>239</v>
      </c>
      <c r="F21" s="18" t="s">
        <v>238</v>
      </c>
      <c r="G21" s="18">
        <v>2008</v>
      </c>
      <c r="H21" s="18">
        <v>2008</v>
      </c>
      <c r="I21" s="18">
        <v>1</v>
      </c>
      <c r="J21" s="18">
        <v>0</v>
      </c>
      <c r="K21" s="18">
        <v>1</v>
      </c>
      <c r="L21" s="18">
        <v>1</v>
      </c>
      <c r="M21" s="18">
        <v>0</v>
      </c>
      <c r="N21" s="18">
        <v>0</v>
      </c>
      <c r="O21" s="15">
        <f>(15.6+17.6)/2</f>
        <v>16.600000000000001</v>
      </c>
      <c r="P21" s="15">
        <f>(O21-5)*12</f>
        <v>139.20000000000002</v>
      </c>
      <c r="Q21" s="15">
        <v>1550</v>
      </c>
      <c r="R21" s="15"/>
      <c r="S21" s="15">
        <v>354</v>
      </c>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8"/>
      <c r="AV21" s="18"/>
      <c r="AW21" s="15">
        <v>2734</v>
      </c>
      <c r="AX21" s="15">
        <f>(12.9+10/1)/2</f>
        <v>11.45</v>
      </c>
      <c r="AY21" s="15"/>
      <c r="AZ21" s="15">
        <f>(AX21/2)^2*PI()*AW21/10000</f>
        <v>28.151358986776938</v>
      </c>
      <c r="BA21" s="15"/>
      <c r="BB21" s="15"/>
      <c r="BC21" s="15"/>
      <c r="BD21" s="15"/>
      <c r="BE21" s="15"/>
      <c r="BF21" s="15"/>
      <c r="BG21" s="15"/>
      <c r="BH21" s="15"/>
      <c r="BI21" s="15"/>
      <c r="BJ21" s="15"/>
      <c r="BK21" s="15"/>
      <c r="BL21" s="15"/>
      <c r="BM21" s="15"/>
      <c r="BN21" s="15"/>
      <c r="BO21" s="15"/>
      <c r="BP21" s="15">
        <v>23.718</v>
      </c>
      <c r="BQ21" s="15"/>
      <c r="BR21" s="15"/>
      <c r="BS21" s="15"/>
      <c r="BT21" s="15"/>
      <c r="BU21" s="15"/>
      <c r="BV21" s="15"/>
      <c r="BW21" s="15"/>
      <c r="BX21" s="15"/>
      <c r="BY21" s="15"/>
      <c r="BZ21" s="15"/>
      <c r="CA21" s="15"/>
      <c r="CB21" s="15"/>
      <c r="CC21" s="15"/>
      <c r="CD21" s="15"/>
      <c r="CE21" s="15"/>
      <c r="CF21" s="15"/>
      <c r="CG21" s="15"/>
      <c r="CH21" s="15"/>
      <c r="CI21" s="15"/>
      <c r="CJ21" s="15"/>
      <c r="CK21" s="15"/>
      <c r="CL21" s="15"/>
      <c r="CM21" s="15"/>
      <c r="CN21" s="18" t="s">
        <v>237</v>
      </c>
      <c r="CO21" s="18" t="s">
        <v>3</v>
      </c>
      <c r="CP21" s="24" t="s">
        <v>236</v>
      </c>
      <c r="CQ21" s="23" t="s">
        <v>30</v>
      </c>
    </row>
    <row r="22" spans="1:95" s="12" customFormat="1" ht="13">
      <c r="A22" s="18">
        <v>19</v>
      </c>
      <c r="B22" s="18" t="s">
        <v>201</v>
      </c>
      <c r="C22" s="18" t="s">
        <v>235</v>
      </c>
      <c r="D22" s="15" t="s">
        <v>139</v>
      </c>
      <c r="E22" s="18" t="s">
        <v>234</v>
      </c>
      <c r="F22" s="18" t="s">
        <v>233</v>
      </c>
      <c r="G22" s="18">
        <v>2014</v>
      </c>
      <c r="H22" s="18">
        <v>2014</v>
      </c>
      <c r="I22" s="18">
        <v>1</v>
      </c>
      <c r="J22" s="18">
        <v>0</v>
      </c>
      <c r="K22" s="18">
        <v>0</v>
      </c>
      <c r="L22" s="18">
        <v>1</v>
      </c>
      <c r="M22" s="18">
        <v>0</v>
      </c>
      <c r="N22" s="18">
        <v>0</v>
      </c>
      <c r="O22" s="15">
        <v>15.6</v>
      </c>
      <c r="P22" s="15">
        <v>127.19999999999999</v>
      </c>
      <c r="Q22" s="15">
        <v>1400</v>
      </c>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8"/>
      <c r="AV22" s="18"/>
      <c r="AW22" s="15">
        <v>3129</v>
      </c>
      <c r="AX22" s="15">
        <v>9.09</v>
      </c>
      <c r="AY22" s="15"/>
      <c r="AZ22" s="15">
        <f>(AX22/2)^2*PI()*AW22/10000</f>
        <v>20.305945253512977</v>
      </c>
      <c r="BA22" s="15"/>
      <c r="BB22" s="15"/>
      <c r="BC22" s="15"/>
      <c r="BD22" s="15"/>
      <c r="BE22" s="15"/>
      <c r="BF22" s="15"/>
      <c r="BG22" s="15"/>
      <c r="BH22" s="15"/>
      <c r="BI22" s="15"/>
      <c r="BJ22" s="15"/>
      <c r="BK22" s="15"/>
      <c r="BL22" s="15"/>
      <c r="BM22" s="15"/>
      <c r="BN22" s="15"/>
      <c r="BO22" s="15"/>
      <c r="BP22" s="15">
        <v>18.899999999999999</v>
      </c>
      <c r="BQ22" s="15"/>
      <c r="BR22" s="15"/>
      <c r="BS22" s="15"/>
      <c r="BT22" s="15"/>
      <c r="BU22" s="15"/>
      <c r="BV22" s="15"/>
      <c r="BW22" s="15"/>
      <c r="BX22" s="15">
        <v>120.2</v>
      </c>
      <c r="BY22" s="15"/>
      <c r="BZ22" s="15"/>
      <c r="CA22" s="15"/>
      <c r="CB22" s="15"/>
      <c r="CC22" s="15"/>
      <c r="CD22" s="15"/>
      <c r="CE22" s="15"/>
      <c r="CF22" s="15"/>
      <c r="CG22" s="15"/>
      <c r="CH22" s="15"/>
      <c r="CI22" s="15"/>
      <c r="CJ22" s="15"/>
      <c r="CK22" s="15"/>
      <c r="CL22" s="15"/>
      <c r="CM22" s="15"/>
      <c r="CN22" s="18" t="s">
        <v>232</v>
      </c>
      <c r="CO22" s="18" t="s">
        <v>3</v>
      </c>
      <c r="CP22" s="24" t="s">
        <v>225</v>
      </c>
      <c r="CQ22" s="23" t="s">
        <v>1</v>
      </c>
    </row>
    <row r="23" spans="1:95" s="12" customFormat="1" ht="13">
      <c r="A23" s="18">
        <v>20</v>
      </c>
      <c r="B23" s="18" t="s">
        <v>201</v>
      </c>
      <c r="C23" s="18" t="s">
        <v>229</v>
      </c>
      <c r="D23" s="15" t="s">
        <v>139</v>
      </c>
      <c r="E23" s="18" t="s">
        <v>231</v>
      </c>
      <c r="F23" s="18" t="s">
        <v>230</v>
      </c>
      <c r="G23" s="18">
        <v>2014</v>
      </c>
      <c r="H23" s="18">
        <v>2014</v>
      </c>
      <c r="I23" s="18">
        <v>1</v>
      </c>
      <c r="J23" s="18">
        <v>1</v>
      </c>
      <c r="K23" s="18">
        <v>1</v>
      </c>
      <c r="L23" s="18">
        <v>1</v>
      </c>
      <c r="M23" s="18">
        <v>0</v>
      </c>
      <c r="N23" s="18">
        <v>0</v>
      </c>
      <c r="O23" s="15">
        <v>15.6</v>
      </c>
      <c r="P23" s="15">
        <v>127.19999999999999</v>
      </c>
      <c r="Q23" s="15">
        <v>1400</v>
      </c>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8"/>
      <c r="AV23" s="18"/>
      <c r="AW23" s="15">
        <v>3555</v>
      </c>
      <c r="AX23" s="15">
        <v>9.73</v>
      </c>
      <c r="AY23" s="15"/>
      <c r="AZ23" s="15">
        <f>(AX23/2)^2*PI()*AW23/10000</f>
        <v>26.433530194037907</v>
      </c>
      <c r="BA23" s="15"/>
      <c r="BB23" s="15"/>
      <c r="BC23" s="15"/>
      <c r="BD23" s="15"/>
      <c r="BE23" s="15"/>
      <c r="BF23" s="15"/>
      <c r="BG23" s="15"/>
      <c r="BH23" s="15"/>
      <c r="BI23" s="15"/>
      <c r="BJ23" s="15"/>
      <c r="BK23" s="15"/>
      <c r="BL23" s="15"/>
      <c r="BM23" s="15"/>
      <c r="BN23" s="15"/>
      <c r="BO23" s="15"/>
      <c r="BP23" s="15">
        <v>24.75</v>
      </c>
      <c r="BQ23" s="15"/>
      <c r="BR23" s="15"/>
      <c r="BS23" s="15"/>
      <c r="BT23" s="15"/>
      <c r="BU23" s="15"/>
      <c r="BV23" s="15"/>
      <c r="BW23" s="15"/>
      <c r="BX23" s="15">
        <v>108.1</v>
      </c>
      <c r="BY23" s="15"/>
      <c r="BZ23" s="15"/>
      <c r="CA23" s="15"/>
      <c r="CB23" s="15"/>
      <c r="CC23" s="15"/>
      <c r="CD23" s="15"/>
      <c r="CE23" s="15"/>
      <c r="CF23" s="15"/>
      <c r="CG23" s="15"/>
      <c r="CH23" s="15"/>
      <c r="CI23" s="15"/>
      <c r="CJ23" s="15"/>
      <c r="CK23" s="15"/>
      <c r="CL23" s="15"/>
      <c r="CM23" s="15"/>
      <c r="CN23" s="18" t="s">
        <v>226</v>
      </c>
      <c r="CO23" s="18" t="s">
        <v>3</v>
      </c>
      <c r="CP23" s="24" t="s">
        <v>225</v>
      </c>
      <c r="CQ23" s="23" t="s">
        <v>30</v>
      </c>
    </row>
    <row r="24" spans="1:95" s="12" customFormat="1" ht="13">
      <c r="A24" s="18">
        <v>21</v>
      </c>
      <c r="B24" s="18" t="s">
        <v>201</v>
      </c>
      <c r="C24" s="18" t="s">
        <v>229</v>
      </c>
      <c r="D24" s="15" t="s">
        <v>139</v>
      </c>
      <c r="E24" s="18" t="s">
        <v>228</v>
      </c>
      <c r="F24" s="18" t="s">
        <v>227</v>
      </c>
      <c r="G24" s="18">
        <v>2014</v>
      </c>
      <c r="H24" s="18">
        <v>2014</v>
      </c>
      <c r="I24" s="18">
        <v>1</v>
      </c>
      <c r="J24" s="18">
        <v>0</v>
      </c>
      <c r="K24" s="18">
        <v>1</v>
      </c>
      <c r="L24" s="18">
        <v>1</v>
      </c>
      <c r="M24" s="18">
        <v>0</v>
      </c>
      <c r="N24" s="18">
        <v>0</v>
      </c>
      <c r="O24" s="15">
        <v>15.6</v>
      </c>
      <c r="P24" s="15">
        <v>127.19999999999999</v>
      </c>
      <c r="Q24" s="15">
        <v>1400</v>
      </c>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8"/>
      <c r="AV24" s="18"/>
      <c r="AW24" s="15">
        <v>3182</v>
      </c>
      <c r="AX24" s="15">
        <v>9.35</v>
      </c>
      <c r="AY24" s="15"/>
      <c r="AZ24" s="15">
        <f>(AX24/2)^2*PI()*AW24/10000</f>
        <v>21.848080052984994</v>
      </c>
      <c r="BA24" s="15"/>
      <c r="BB24" s="15"/>
      <c r="BC24" s="15"/>
      <c r="BD24" s="15"/>
      <c r="BE24" s="15"/>
      <c r="BF24" s="15"/>
      <c r="BG24" s="15"/>
      <c r="BH24" s="15"/>
      <c r="BI24" s="15"/>
      <c r="BJ24" s="15"/>
      <c r="BK24" s="15"/>
      <c r="BL24" s="15"/>
      <c r="BM24" s="15"/>
      <c r="BN24" s="15"/>
      <c r="BO24" s="15"/>
      <c r="BP24" s="15">
        <v>20.76</v>
      </c>
      <c r="BQ24" s="15"/>
      <c r="BR24" s="15"/>
      <c r="BS24" s="15"/>
      <c r="BT24" s="15"/>
      <c r="BU24" s="15"/>
      <c r="BV24" s="15"/>
      <c r="BW24" s="15"/>
      <c r="BX24" s="15">
        <v>111.7</v>
      </c>
      <c r="BY24" s="15"/>
      <c r="BZ24" s="15"/>
      <c r="CA24" s="15"/>
      <c r="CB24" s="15"/>
      <c r="CC24" s="15"/>
      <c r="CD24" s="15"/>
      <c r="CE24" s="15"/>
      <c r="CF24" s="15"/>
      <c r="CG24" s="15"/>
      <c r="CH24" s="15"/>
      <c r="CI24" s="15"/>
      <c r="CJ24" s="15"/>
      <c r="CK24" s="15"/>
      <c r="CL24" s="15"/>
      <c r="CM24" s="15"/>
      <c r="CN24" s="18" t="s">
        <v>226</v>
      </c>
      <c r="CO24" s="18" t="s">
        <v>3</v>
      </c>
      <c r="CP24" s="24" t="s">
        <v>225</v>
      </c>
      <c r="CQ24" s="23" t="s">
        <v>1</v>
      </c>
    </row>
    <row r="25" spans="1:95" s="12" customFormat="1" ht="13">
      <c r="A25" s="18">
        <v>22</v>
      </c>
      <c r="B25" s="18" t="s">
        <v>201</v>
      </c>
      <c r="C25" s="18" t="s">
        <v>224</v>
      </c>
      <c r="D25" s="15" t="s">
        <v>139</v>
      </c>
      <c r="E25" s="18" t="s">
        <v>223</v>
      </c>
      <c r="F25" s="18" t="s">
        <v>222</v>
      </c>
      <c r="G25" s="18">
        <v>2010</v>
      </c>
      <c r="H25" s="18">
        <v>2010</v>
      </c>
      <c r="I25" s="18">
        <v>1</v>
      </c>
      <c r="J25" s="18">
        <v>1</v>
      </c>
      <c r="K25" s="18">
        <v>1</v>
      </c>
      <c r="L25" s="18">
        <v>1</v>
      </c>
      <c r="M25" s="18">
        <v>0</v>
      </c>
      <c r="N25" s="18">
        <v>0</v>
      </c>
      <c r="O25" s="15">
        <v>15.9</v>
      </c>
      <c r="P25" s="15">
        <f>(O25-5)*12</f>
        <v>130.80000000000001</v>
      </c>
      <c r="Q25" s="15">
        <v>1424</v>
      </c>
      <c r="R25" s="15"/>
      <c r="S25" s="15">
        <f>(100+250)/2</f>
        <v>175</v>
      </c>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8"/>
      <c r="AV25" s="18"/>
      <c r="AW25" s="15">
        <f>(3475+3325+3300+3250+4025+3625+3625+3575+4250+3375+2750+3025+2550+2475+3075+3550+2425+3225)/18</f>
        <v>3272.2222222222222</v>
      </c>
      <c r="AX25" s="15">
        <f>(9.7+9.1+8.8+9.5+8+8.3+9+10.1+8.8+8.3+8.7+9+9+9.5+9.2+8.8+11.3+10.7)/18</f>
        <v>9.2111111111111104</v>
      </c>
      <c r="AY25" s="15"/>
      <c r="AZ25" s="15">
        <f>(AX25/2)^2*PI()*AW25/10000</f>
        <v>21.805031242491747</v>
      </c>
      <c r="BA25" s="15"/>
      <c r="BB25" s="15"/>
      <c r="BC25" s="15"/>
      <c r="BD25" s="15"/>
      <c r="BE25" s="15"/>
      <c r="BF25" s="15"/>
      <c r="BG25" s="15"/>
      <c r="BH25" s="15"/>
      <c r="BI25" s="15"/>
      <c r="BJ25" s="15"/>
      <c r="BK25" s="15"/>
      <c r="BL25" s="15"/>
      <c r="BM25" s="15"/>
      <c r="BN25" s="15"/>
      <c r="BO25" s="15"/>
      <c r="BP25" s="15">
        <f>40.708*0.5</f>
        <v>20.353999999999999</v>
      </c>
      <c r="BQ25" s="15"/>
      <c r="BR25" s="15"/>
      <c r="BS25" s="15"/>
      <c r="BT25" s="15"/>
      <c r="BU25" s="15"/>
      <c r="BV25" s="15"/>
      <c r="BW25" s="15"/>
      <c r="BX25" s="15">
        <v>80.834999999999994</v>
      </c>
      <c r="BY25" s="15"/>
      <c r="BZ25" s="15"/>
      <c r="CA25" s="15"/>
      <c r="CB25" s="15"/>
      <c r="CC25" s="15"/>
      <c r="CD25" s="15"/>
      <c r="CE25" s="15"/>
      <c r="CF25" s="15"/>
      <c r="CG25" s="15"/>
      <c r="CH25" s="15"/>
      <c r="CI25" s="15"/>
      <c r="CJ25" s="15"/>
      <c r="CK25" s="15"/>
      <c r="CL25" s="15"/>
      <c r="CM25" s="15"/>
      <c r="CN25" s="18" t="s">
        <v>221</v>
      </c>
      <c r="CO25" s="18" t="s">
        <v>3</v>
      </c>
      <c r="CP25" s="24" t="s">
        <v>220</v>
      </c>
      <c r="CQ25" s="23" t="s">
        <v>30</v>
      </c>
    </row>
    <row r="26" spans="1:95" s="12" customFormat="1" ht="13">
      <c r="A26" s="18">
        <v>23</v>
      </c>
      <c r="B26" s="18" t="s">
        <v>201</v>
      </c>
      <c r="C26" s="18" t="s">
        <v>213</v>
      </c>
      <c r="D26" s="15" t="s">
        <v>139</v>
      </c>
      <c r="E26" s="18" t="s">
        <v>219</v>
      </c>
      <c r="F26" s="18" t="s">
        <v>218</v>
      </c>
      <c r="G26" s="18">
        <v>2013</v>
      </c>
      <c r="H26" s="18">
        <v>2016</v>
      </c>
      <c r="I26" s="18">
        <v>1</v>
      </c>
      <c r="J26" s="18">
        <v>0</v>
      </c>
      <c r="K26" s="18">
        <v>1</v>
      </c>
      <c r="L26" s="18">
        <v>1</v>
      </c>
      <c r="M26" s="18">
        <v>0</v>
      </c>
      <c r="N26" s="25">
        <v>0</v>
      </c>
      <c r="O26" s="15">
        <v>15.6</v>
      </c>
      <c r="P26" s="15">
        <f>(O26-5)*12+(5-3)</f>
        <v>129.19999999999999</v>
      </c>
      <c r="Q26" s="15">
        <v>1420</v>
      </c>
      <c r="R26" s="15"/>
      <c r="S26" s="15"/>
      <c r="T26" s="15"/>
      <c r="U26" s="15">
        <v>1847</v>
      </c>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8"/>
      <c r="AV26" s="18"/>
      <c r="AW26" s="15"/>
      <c r="AX26" s="15"/>
      <c r="AY26" s="15"/>
      <c r="AZ26" s="15"/>
      <c r="BA26" s="15"/>
      <c r="BB26" s="15"/>
      <c r="BC26" s="15"/>
      <c r="BD26" s="15"/>
      <c r="BE26" s="15"/>
      <c r="BF26" s="15"/>
      <c r="BG26" s="15"/>
      <c r="BH26" s="15"/>
      <c r="BI26" s="15"/>
      <c r="BJ26" s="15"/>
      <c r="BK26" s="15"/>
      <c r="BL26" s="15"/>
      <c r="BM26" s="15"/>
      <c r="BN26" s="15"/>
      <c r="BO26" s="15"/>
      <c r="BP26" s="15">
        <v>27</v>
      </c>
      <c r="BQ26" s="15"/>
      <c r="BR26" s="15"/>
      <c r="BS26" s="15"/>
      <c r="BT26" s="15"/>
      <c r="BU26" s="15">
        <v>19</v>
      </c>
      <c r="BV26" s="15">
        <f t="shared" ref="BV26:BV34" si="3">BU26+BP26</f>
        <v>46</v>
      </c>
      <c r="BW26" s="15"/>
      <c r="BX26" s="15">
        <v>68.099999999999994</v>
      </c>
      <c r="BY26" s="15"/>
      <c r="BZ26" s="15">
        <f>BV26+BX26</f>
        <v>114.1</v>
      </c>
      <c r="CA26" s="15"/>
      <c r="CB26" s="15"/>
      <c r="CC26" s="15"/>
      <c r="CD26" s="15"/>
      <c r="CE26" s="15">
        <v>4.17</v>
      </c>
      <c r="CF26" s="15"/>
      <c r="CG26" s="15"/>
      <c r="CH26" s="15"/>
      <c r="CI26" s="15">
        <v>3.11</v>
      </c>
      <c r="CJ26" s="15">
        <v>7.28</v>
      </c>
      <c r="CK26" s="15"/>
      <c r="CL26" s="15">
        <v>0.51</v>
      </c>
      <c r="CM26" s="15">
        <f>CJ26-CL26</f>
        <v>6.7700000000000005</v>
      </c>
      <c r="CN26" s="18" t="s">
        <v>210</v>
      </c>
      <c r="CO26" s="18" t="s">
        <v>3</v>
      </c>
      <c r="CP26" s="24" t="s">
        <v>217</v>
      </c>
      <c r="CQ26" s="23" t="s">
        <v>30</v>
      </c>
    </row>
    <row r="27" spans="1:95" s="12" customFormat="1" ht="13">
      <c r="A27" s="18">
        <v>24</v>
      </c>
      <c r="B27" s="18" t="s">
        <v>201</v>
      </c>
      <c r="C27" s="18" t="s">
        <v>213</v>
      </c>
      <c r="D27" s="15" t="s">
        <v>139</v>
      </c>
      <c r="E27" s="18" t="s">
        <v>216</v>
      </c>
      <c r="F27" s="18" t="s">
        <v>215</v>
      </c>
      <c r="G27" s="18">
        <v>2013</v>
      </c>
      <c r="H27" s="18">
        <v>2016</v>
      </c>
      <c r="I27" s="18">
        <v>1</v>
      </c>
      <c r="J27" s="18">
        <v>3</v>
      </c>
      <c r="K27" s="18">
        <v>1</v>
      </c>
      <c r="L27" s="18">
        <v>1</v>
      </c>
      <c r="M27" s="18">
        <v>1</v>
      </c>
      <c r="N27" s="25">
        <v>1</v>
      </c>
      <c r="O27" s="15">
        <v>15.6</v>
      </c>
      <c r="P27" s="15">
        <f>(O27-5)*12+(5-3)</f>
        <v>129.19999999999999</v>
      </c>
      <c r="Q27" s="15">
        <v>1420</v>
      </c>
      <c r="R27" s="15"/>
      <c r="S27" s="15"/>
      <c r="T27" s="15"/>
      <c r="U27" s="15">
        <v>1847</v>
      </c>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8"/>
      <c r="AV27" s="18"/>
      <c r="AW27" s="15"/>
      <c r="AX27" s="15"/>
      <c r="AY27" s="15"/>
      <c r="AZ27" s="15"/>
      <c r="BA27" s="15"/>
      <c r="BB27" s="15"/>
      <c r="BC27" s="15"/>
      <c r="BD27" s="15"/>
      <c r="BE27" s="15"/>
      <c r="BF27" s="15"/>
      <c r="BG27" s="15"/>
      <c r="BH27" s="15"/>
      <c r="BI27" s="15"/>
      <c r="BJ27" s="15"/>
      <c r="BK27" s="15"/>
      <c r="BL27" s="15"/>
      <c r="BM27" s="15"/>
      <c r="BN27" s="15"/>
      <c r="BO27" s="15"/>
      <c r="BP27" s="15">
        <v>33</v>
      </c>
      <c r="BQ27" s="15"/>
      <c r="BR27" s="15"/>
      <c r="BS27" s="15"/>
      <c r="BT27" s="15"/>
      <c r="BU27" s="15">
        <v>24</v>
      </c>
      <c r="BV27" s="15">
        <f t="shared" si="3"/>
        <v>57</v>
      </c>
      <c r="BW27" s="15"/>
      <c r="BX27" s="15">
        <v>66</v>
      </c>
      <c r="BY27" s="15"/>
      <c r="BZ27" s="15">
        <f>BV27+BX27</f>
        <v>123</v>
      </c>
      <c r="CA27" s="15"/>
      <c r="CB27" s="15"/>
      <c r="CC27" s="15"/>
      <c r="CD27" s="15"/>
      <c r="CE27" s="15">
        <v>5.08</v>
      </c>
      <c r="CF27" s="15"/>
      <c r="CG27" s="15"/>
      <c r="CH27" s="15"/>
      <c r="CI27" s="15">
        <v>4.0199999999999996</v>
      </c>
      <c r="CJ27" s="15">
        <v>9.1</v>
      </c>
      <c r="CK27" s="15"/>
      <c r="CL27" s="15">
        <v>1.0900000000000001</v>
      </c>
      <c r="CM27" s="15">
        <f>CJ27-CL27</f>
        <v>8.01</v>
      </c>
      <c r="CN27" s="18" t="s">
        <v>205</v>
      </c>
      <c r="CO27" s="18" t="s">
        <v>17</v>
      </c>
      <c r="CP27" s="24" t="s">
        <v>214</v>
      </c>
      <c r="CQ27" s="23" t="s">
        <v>1</v>
      </c>
    </row>
    <row r="28" spans="1:95" s="12" customFormat="1" ht="13">
      <c r="A28" s="18">
        <v>25</v>
      </c>
      <c r="B28" s="18" t="s">
        <v>201</v>
      </c>
      <c r="C28" s="18" t="s">
        <v>213</v>
      </c>
      <c r="D28" s="15" t="s">
        <v>139</v>
      </c>
      <c r="E28" s="18" t="s">
        <v>212</v>
      </c>
      <c r="F28" s="18" t="s">
        <v>211</v>
      </c>
      <c r="G28" s="18">
        <v>2013</v>
      </c>
      <c r="H28" s="18">
        <v>2016</v>
      </c>
      <c r="I28" s="18">
        <v>1</v>
      </c>
      <c r="J28" s="18">
        <v>1</v>
      </c>
      <c r="K28" s="18">
        <v>1</v>
      </c>
      <c r="L28" s="18">
        <v>1</v>
      </c>
      <c r="M28" s="18">
        <v>1</v>
      </c>
      <c r="N28" s="25">
        <v>1</v>
      </c>
      <c r="O28" s="15">
        <v>15.6</v>
      </c>
      <c r="P28" s="15">
        <f>(O28-5)*12+(5-3)</f>
        <v>129.19999999999999</v>
      </c>
      <c r="Q28" s="15">
        <v>1420</v>
      </c>
      <c r="R28" s="15"/>
      <c r="S28" s="15"/>
      <c r="T28" s="15"/>
      <c r="U28" s="15">
        <v>1847</v>
      </c>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8"/>
      <c r="AV28" s="18"/>
      <c r="AW28" s="15"/>
      <c r="AX28" s="15"/>
      <c r="AY28" s="15"/>
      <c r="AZ28" s="15"/>
      <c r="BA28" s="15"/>
      <c r="BB28" s="15"/>
      <c r="BC28" s="15"/>
      <c r="BD28" s="15"/>
      <c r="BE28" s="15"/>
      <c r="BF28" s="15"/>
      <c r="BG28" s="15"/>
      <c r="BH28" s="15"/>
      <c r="BI28" s="15"/>
      <c r="BJ28" s="15"/>
      <c r="BK28" s="15"/>
      <c r="BL28" s="15"/>
      <c r="BM28" s="15"/>
      <c r="BN28" s="15"/>
      <c r="BO28" s="15"/>
      <c r="BP28" s="15">
        <v>35.1</v>
      </c>
      <c r="BQ28" s="15"/>
      <c r="BR28" s="15"/>
      <c r="BS28" s="15"/>
      <c r="BT28" s="15"/>
      <c r="BU28" s="15">
        <v>26.1</v>
      </c>
      <c r="BV28" s="15">
        <f t="shared" si="3"/>
        <v>61.2</v>
      </c>
      <c r="BW28" s="15"/>
      <c r="BX28" s="15">
        <v>64.099999999999994</v>
      </c>
      <c r="BY28" s="15"/>
      <c r="BZ28" s="15">
        <f>BV28+BX28</f>
        <v>125.3</v>
      </c>
      <c r="CA28" s="15"/>
      <c r="CB28" s="15"/>
      <c r="CC28" s="15"/>
      <c r="CD28" s="15"/>
      <c r="CE28" s="15">
        <v>5.46</v>
      </c>
      <c r="CF28" s="15"/>
      <c r="CG28" s="15"/>
      <c r="CH28" s="15"/>
      <c r="CI28" s="15">
        <v>4.34</v>
      </c>
      <c r="CJ28" s="15">
        <v>9.8000000000000007</v>
      </c>
      <c r="CK28" s="15"/>
      <c r="CL28" s="15">
        <v>1.37</v>
      </c>
      <c r="CM28" s="15">
        <f>CJ28-CL28</f>
        <v>8.43</v>
      </c>
      <c r="CN28" s="18" t="s">
        <v>210</v>
      </c>
      <c r="CO28" s="18" t="s">
        <v>3</v>
      </c>
      <c r="CP28" s="24" t="s">
        <v>209</v>
      </c>
      <c r="CQ28" s="23" t="s">
        <v>30</v>
      </c>
    </row>
    <row r="29" spans="1:95" s="12" customFormat="1" ht="13">
      <c r="A29" s="18">
        <v>26</v>
      </c>
      <c r="B29" s="18" t="s">
        <v>201</v>
      </c>
      <c r="C29" s="18" t="s">
        <v>208</v>
      </c>
      <c r="D29" s="15" t="s">
        <v>139</v>
      </c>
      <c r="E29" s="18" t="s">
        <v>207</v>
      </c>
      <c r="F29" s="18" t="s">
        <v>206</v>
      </c>
      <c r="G29" s="18">
        <v>2013</v>
      </c>
      <c r="H29" s="18">
        <v>2016</v>
      </c>
      <c r="I29" s="18">
        <v>1</v>
      </c>
      <c r="J29" s="18">
        <v>2</v>
      </c>
      <c r="K29" s="18">
        <v>1</v>
      </c>
      <c r="L29" s="18">
        <v>1</v>
      </c>
      <c r="M29" s="18">
        <v>1</v>
      </c>
      <c r="N29" s="25">
        <v>1</v>
      </c>
      <c r="O29" s="15">
        <v>15.6</v>
      </c>
      <c r="P29" s="15">
        <f>(O29-5)*12+(5-3)</f>
        <v>129.19999999999999</v>
      </c>
      <c r="Q29" s="15">
        <v>1420</v>
      </c>
      <c r="R29" s="15"/>
      <c r="S29" s="15"/>
      <c r="T29" s="15"/>
      <c r="U29" s="15">
        <v>1847</v>
      </c>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8"/>
      <c r="AV29" s="18"/>
      <c r="AW29" s="15"/>
      <c r="AX29" s="15"/>
      <c r="AY29" s="15"/>
      <c r="AZ29" s="15"/>
      <c r="BA29" s="15"/>
      <c r="BB29" s="15"/>
      <c r="BC29" s="15"/>
      <c r="BD29" s="15"/>
      <c r="BE29" s="15"/>
      <c r="BF29" s="15"/>
      <c r="BG29" s="15"/>
      <c r="BH29" s="15"/>
      <c r="BI29" s="15"/>
      <c r="BJ29" s="15"/>
      <c r="BK29" s="15"/>
      <c r="BL29" s="15"/>
      <c r="BM29" s="15"/>
      <c r="BN29" s="15"/>
      <c r="BO29" s="15"/>
      <c r="BP29" s="15">
        <v>37.700000000000003</v>
      </c>
      <c r="BQ29" s="15"/>
      <c r="BR29" s="15"/>
      <c r="BS29" s="15"/>
      <c r="BT29" s="15"/>
      <c r="BU29" s="15">
        <v>26</v>
      </c>
      <c r="BV29" s="15">
        <f t="shared" si="3"/>
        <v>63.7</v>
      </c>
      <c r="BW29" s="15"/>
      <c r="BX29" s="15">
        <v>63</v>
      </c>
      <c r="BY29" s="15"/>
      <c r="BZ29" s="15">
        <f>BV29+BX29</f>
        <v>126.7</v>
      </c>
      <c r="CA29" s="15"/>
      <c r="CB29" s="15"/>
      <c r="CC29" s="15"/>
      <c r="CD29" s="15"/>
      <c r="CE29" s="15">
        <v>5.76</v>
      </c>
      <c r="CF29" s="15"/>
      <c r="CG29" s="15"/>
      <c r="CH29" s="15"/>
      <c r="CI29" s="15">
        <v>4.33</v>
      </c>
      <c r="CJ29" s="15">
        <v>10.09</v>
      </c>
      <c r="CK29" s="15"/>
      <c r="CL29" s="15">
        <v>1.29</v>
      </c>
      <c r="CM29" s="15">
        <f>CJ29-CL29</f>
        <v>8.8000000000000007</v>
      </c>
      <c r="CN29" s="18" t="s">
        <v>205</v>
      </c>
      <c r="CO29" s="18" t="s">
        <v>17</v>
      </c>
      <c r="CP29" s="24" t="s">
        <v>204</v>
      </c>
      <c r="CQ29" s="23" t="s">
        <v>30</v>
      </c>
    </row>
    <row r="30" spans="1:95" s="12" customFormat="1" ht="13">
      <c r="A30" s="18">
        <v>27</v>
      </c>
      <c r="B30" s="18" t="s">
        <v>201</v>
      </c>
      <c r="C30" s="18" t="s">
        <v>200</v>
      </c>
      <c r="D30" s="15" t="s">
        <v>139</v>
      </c>
      <c r="E30" s="18" t="s">
        <v>203</v>
      </c>
      <c r="F30" s="18" t="s">
        <v>202</v>
      </c>
      <c r="G30" s="18">
        <v>1980</v>
      </c>
      <c r="H30" s="18">
        <v>1989</v>
      </c>
      <c r="I30" s="18">
        <v>1</v>
      </c>
      <c r="J30" s="18">
        <v>1</v>
      </c>
      <c r="K30" s="18">
        <v>1</v>
      </c>
      <c r="L30" s="18">
        <v>1</v>
      </c>
      <c r="M30" s="18">
        <v>0</v>
      </c>
      <c r="N30" s="25">
        <v>0</v>
      </c>
      <c r="O30" s="15">
        <v>16</v>
      </c>
      <c r="P30" s="15">
        <f>(O30-5)*12</f>
        <v>132</v>
      </c>
      <c r="Q30" s="15">
        <v>1800</v>
      </c>
      <c r="R30" s="15"/>
      <c r="S30" s="15">
        <v>31</v>
      </c>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8"/>
      <c r="AV30" s="18"/>
      <c r="AW30" s="15">
        <v>3750</v>
      </c>
      <c r="AX30" s="15"/>
      <c r="AY30" s="15"/>
      <c r="AZ30" s="15"/>
      <c r="BA30" s="15"/>
      <c r="BB30" s="15"/>
      <c r="BC30" s="15">
        <v>11.17</v>
      </c>
      <c r="BD30" s="15"/>
      <c r="BE30" s="15"/>
      <c r="BF30" s="15"/>
      <c r="BG30" s="15"/>
      <c r="BH30" s="15"/>
      <c r="BI30" s="15"/>
      <c r="BJ30" s="15"/>
      <c r="BK30" s="15"/>
      <c r="BL30" s="15"/>
      <c r="BM30" s="15">
        <f>0.4314*10000/1000*50%</f>
        <v>2.157</v>
      </c>
      <c r="BN30" s="15">
        <f>1.305*10000/1000*50%</f>
        <v>6.5250000000000004</v>
      </c>
      <c r="BO30" s="15">
        <f>(9.889)*10000/1000*50%</f>
        <v>49.445</v>
      </c>
      <c r="BP30" s="15">
        <f>SUM(BM30:BO30)</f>
        <v>58.127000000000002</v>
      </c>
      <c r="BQ30" s="15">
        <f>BU30/BP30</f>
        <v>0.56884064204242424</v>
      </c>
      <c r="BR30" s="15">
        <f>(3.864)*10000/1000*50%</f>
        <v>19.32</v>
      </c>
      <c r="BS30" s="15">
        <f>(1.449)*10000/1000*50%</f>
        <v>7.2450000000000001</v>
      </c>
      <c r="BT30" s="15">
        <f>(1.3)*10000/1000*50%</f>
        <v>6.5</v>
      </c>
      <c r="BU30" s="15">
        <f>SUM(BR30:BT30)</f>
        <v>33.064999999999998</v>
      </c>
      <c r="BV30" s="15">
        <f t="shared" si="3"/>
        <v>91.192000000000007</v>
      </c>
      <c r="BW30" s="15"/>
      <c r="BX30" s="15"/>
      <c r="BY30" s="15"/>
      <c r="BZ30" s="15"/>
      <c r="CA30" s="15"/>
      <c r="CB30" s="15"/>
      <c r="CC30" s="15"/>
      <c r="CD30" s="15"/>
      <c r="CE30" s="15">
        <f>((10.0169+1.0598)/10)*10000/1000*50%</f>
        <v>5.5383499999999994</v>
      </c>
      <c r="CF30" s="15"/>
      <c r="CG30" s="15"/>
      <c r="CH30" s="15"/>
      <c r="CI30" s="15"/>
      <c r="CJ30" s="15"/>
      <c r="CK30" s="15"/>
      <c r="CL30" s="15"/>
      <c r="CM30" s="18"/>
      <c r="CN30" s="18" t="s">
        <v>197</v>
      </c>
      <c r="CO30" s="18" t="s">
        <v>3</v>
      </c>
      <c r="CP30" s="24" t="s">
        <v>196</v>
      </c>
      <c r="CQ30" s="23" t="s">
        <v>1</v>
      </c>
    </row>
    <row r="31" spans="1:95" s="12" customFormat="1" ht="13">
      <c r="A31" s="18">
        <v>28</v>
      </c>
      <c r="B31" s="18" t="s">
        <v>201</v>
      </c>
      <c r="C31" s="18" t="s">
        <v>200</v>
      </c>
      <c r="D31" s="15" t="s">
        <v>139</v>
      </c>
      <c r="E31" s="18" t="s">
        <v>199</v>
      </c>
      <c r="F31" s="18" t="s">
        <v>198</v>
      </c>
      <c r="G31" s="18">
        <v>1982</v>
      </c>
      <c r="H31" s="18">
        <v>1989</v>
      </c>
      <c r="I31" s="18">
        <v>1</v>
      </c>
      <c r="J31" s="18">
        <v>0</v>
      </c>
      <c r="K31" s="18">
        <v>1</v>
      </c>
      <c r="L31" s="18">
        <v>1</v>
      </c>
      <c r="M31" s="18">
        <v>0</v>
      </c>
      <c r="N31" s="25">
        <v>0</v>
      </c>
      <c r="O31" s="15">
        <v>16</v>
      </c>
      <c r="P31" s="15">
        <f>(O31-5)*12</f>
        <v>132</v>
      </c>
      <c r="Q31" s="15">
        <v>1800</v>
      </c>
      <c r="R31" s="15"/>
      <c r="S31" s="15">
        <v>31</v>
      </c>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5"/>
      <c r="AS31" s="15"/>
      <c r="AT31" s="15"/>
      <c r="AU31" s="18"/>
      <c r="AV31" s="18"/>
      <c r="AW31" s="15">
        <v>2700</v>
      </c>
      <c r="AX31" s="15"/>
      <c r="AY31" s="15"/>
      <c r="AZ31" s="15"/>
      <c r="BA31" s="15"/>
      <c r="BB31" s="15"/>
      <c r="BC31" s="15">
        <v>8.02</v>
      </c>
      <c r="BD31" s="15"/>
      <c r="BE31" s="15"/>
      <c r="BF31" s="15"/>
      <c r="BG31" s="15"/>
      <c r="BH31" s="15"/>
      <c r="BI31" s="15"/>
      <c r="BJ31" s="15"/>
      <c r="BK31" s="15"/>
      <c r="BL31" s="15"/>
      <c r="BM31" s="15">
        <f>0.2886*10000/1000*50%</f>
        <v>1.4430000000000003</v>
      </c>
      <c r="BN31" s="15">
        <f>0.8213*10000/1000*50%</f>
        <v>4.1064999999999996</v>
      </c>
      <c r="BO31" s="15">
        <f>4.199*10000/1000*50%</f>
        <v>20.995000000000001</v>
      </c>
      <c r="BP31" s="15">
        <f>SUM(BM31:BO31)</f>
        <v>26.544499999999999</v>
      </c>
      <c r="BQ31" s="15"/>
      <c r="BR31" s="15">
        <f>(4.857)*10000/1000*50%</f>
        <v>24.285</v>
      </c>
      <c r="BS31" s="15">
        <f>(1.337)*10000/1000*50%</f>
        <v>6.6849999999999996</v>
      </c>
      <c r="BT31" s="15">
        <f>(0.5091)*10000/1000*50%</f>
        <v>2.5455000000000001</v>
      </c>
      <c r="BU31" s="15">
        <f>SUM(BR31:BT31)</f>
        <v>33.515499999999996</v>
      </c>
      <c r="BV31" s="15">
        <f t="shared" si="3"/>
        <v>60.059999999999995</v>
      </c>
      <c r="BW31" s="15"/>
      <c r="BX31" s="15"/>
      <c r="BY31" s="15"/>
      <c r="BZ31" s="15"/>
      <c r="CA31" s="15"/>
      <c r="CB31" s="15"/>
      <c r="CC31" s="15"/>
      <c r="CD31" s="15"/>
      <c r="CE31" s="15">
        <f>((4.2415+0.3274)/8)*10000/1000*50%</f>
        <v>2.8555625</v>
      </c>
      <c r="CF31" s="15"/>
      <c r="CG31" s="15"/>
      <c r="CH31" s="15"/>
      <c r="CI31" s="15"/>
      <c r="CJ31" s="15"/>
      <c r="CK31" s="15"/>
      <c r="CL31" s="15"/>
      <c r="CM31" s="18"/>
      <c r="CN31" s="18" t="s">
        <v>197</v>
      </c>
      <c r="CO31" s="18" t="s">
        <v>3</v>
      </c>
      <c r="CP31" s="24" t="s">
        <v>196</v>
      </c>
      <c r="CQ31" s="23" t="s">
        <v>30</v>
      </c>
    </row>
    <row r="32" spans="1:95" s="12" customFormat="1" ht="13">
      <c r="A32" s="18">
        <v>29</v>
      </c>
      <c r="B32" s="18" t="s">
        <v>70</v>
      </c>
      <c r="C32" s="18" t="s">
        <v>189</v>
      </c>
      <c r="D32" s="15" t="s">
        <v>118</v>
      </c>
      <c r="E32" s="18" t="s">
        <v>195</v>
      </c>
      <c r="F32" s="18" t="s">
        <v>194</v>
      </c>
      <c r="G32" s="18">
        <v>2008</v>
      </c>
      <c r="H32" s="18">
        <v>2009</v>
      </c>
      <c r="I32" s="18">
        <v>0</v>
      </c>
      <c r="J32" s="18">
        <v>0</v>
      </c>
      <c r="K32" s="18">
        <v>0</v>
      </c>
      <c r="L32" s="18">
        <v>0</v>
      </c>
      <c r="M32" s="18">
        <v>0</v>
      </c>
      <c r="N32" s="26">
        <v>0</v>
      </c>
      <c r="O32" s="15">
        <v>14.8</v>
      </c>
      <c r="P32" s="15">
        <f>(O32-5)*12</f>
        <v>117.60000000000001</v>
      </c>
      <c r="Q32" s="15">
        <v>1451.4</v>
      </c>
      <c r="R32" s="15">
        <v>7</v>
      </c>
      <c r="S32" s="15">
        <v>110</v>
      </c>
      <c r="T32" s="15">
        <v>61.208329999999997</v>
      </c>
      <c r="U32" s="15">
        <v>2161.15</v>
      </c>
      <c r="V32" s="15">
        <v>1.5333300000000001</v>
      </c>
      <c r="W32" s="15">
        <v>0.4</v>
      </c>
      <c r="X32" s="15"/>
      <c r="Y32" s="15">
        <v>4.55</v>
      </c>
      <c r="Z32" s="15"/>
      <c r="AA32" s="15"/>
      <c r="AB32" s="15"/>
      <c r="AC32" s="15"/>
      <c r="AD32" s="15">
        <f>(0.023)*1000</f>
        <v>23</v>
      </c>
      <c r="AE32" s="15"/>
      <c r="AF32" s="15"/>
      <c r="AG32" s="15"/>
      <c r="AH32" s="15"/>
      <c r="AI32" s="15"/>
      <c r="AJ32" s="15"/>
      <c r="AK32" s="15"/>
      <c r="AL32" s="15"/>
      <c r="AM32" s="15"/>
      <c r="AN32" s="15"/>
      <c r="AO32" s="15"/>
      <c r="AP32" s="15"/>
      <c r="AQ32" s="15">
        <v>203</v>
      </c>
      <c r="AR32" s="15">
        <v>176</v>
      </c>
      <c r="AS32" s="15"/>
      <c r="AT32" s="15"/>
      <c r="AU32" s="18"/>
      <c r="AV32" s="15">
        <v>290</v>
      </c>
      <c r="AW32" s="15">
        <v>2660</v>
      </c>
      <c r="AX32" s="15">
        <v>8.1999999999999993</v>
      </c>
      <c r="AY32" s="15"/>
      <c r="AZ32" s="15">
        <f t="shared" ref="AZ32:AZ40" si="4">(AX32/2)^2*PI()*AW32/10000</f>
        <v>14.047505886820614</v>
      </c>
      <c r="BA32" s="15"/>
      <c r="BB32" s="15"/>
      <c r="BC32" s="15"/>
      <c r="BD32" s="15"/>
      <c r="BE32" s="15"/>
      <c r="BF32" s="15"/>
      <c r="BG32" s="15"/>
      <c r="BH32" s="15"/>
      <c r="BI32" s="15"/>
      <c r="BJ32" s="15"/>
      <c r="BK32" s="15"/>
      <c r="BL32" s="15"/>
      <c r="BM32" s="15">
        <f>1.29*50%</f>
        <v>0.64500000000000002</v>
      </c>
      <c r="BN32" s="15">
        <f>3.72*50%</f>
        <v>1.86</v>
      </c>
      <c r="BO32" s="15">
        <f>26.4*50%</f>
        <v>13.2</v>
      </c>
      <c r="BP32" s="15">
        <f>SUM(BM32:BO32)</f>
        <v>15.704999999999998</v>
      </c>
      <c r="BQ32" s="15">
        <f>BU32/BP32</f>
        <v>1.1464501751034704</v>
      </c>
      <c r="BR32" s="15">
        <f>(18.7+7.47)*50%</f>
        <v>13.084999999999999</v>
      </c>
      <c r="BS32" s="15">
        <f>9.84*50%</f>
        <v>4.92</v>
      </c>
      <c r="BT32" s="15"/>
      <c r="BU32" s="15">
        <f>SUM(BR32:BT32)</f>
        <v>18.004999999999999</v>
      </c>
      <c r="BV32" s="15">
        <f t="shared" si="3"/>
        <v>33.709999999999994</v>
      </c>
      <c r="BW32" s="18"/>
      <c r="BX32" s="15"/>
      <c r="BY32" s="15"/>
      <c r="BZ32" s="15"/>
      <c r="CA32" s="15"/>
      <c r="CB32" s="15"/>
      <c r="CC32" s="15"/>
      <c r="CD32" s="15">
        <f>7.19*50%</f>
        <v>3.5950000000000002</v>
      </c>
      <c r="CE32" s="15"/>
      <c r="CF32" s="15"/>
      <c r="CG32" s="15"/>
      <c r="CH32" s="15"/>
      <c r="CI32" s="15"/>
      <c r="CJ32" s="15"/>
      <c r="CK32" s="15"/>
      <c r="CL32" s="15"/>
      <c r="CM32" s="18"/>
      <c r="CN32" s="18" t="s">
        <v>191</v>
      </c>
      <c r="CO32" s="18" t="s">
        <v>3</v>
      </c>
      <c r="CP32" s="24" t="s">
        <v>185</v>
      </c>
      <c r="CQ32" s="23" t="s">
        <v>30</v>
      </c>
    </row>
    <row r="33" spans="1:95" s="12" customFormat="1" ht="13">
      <c r="A33" s="18">
        <v>30</v>
      </c>
      <c r="B33" s="18" t="s">
        <v>70</v>
      </c>
      <c r="C33" s="18" t="s">
        <v>189</v>
      </c>
      <c r="D33" s="15" t="s">
        <v>118</v>
      </c>
      <c r="E33" s="18" t="s">
        <v>193</v>
      </c>
      <c r="F33" s="18" t="s">
        <v>192</v>
      </c>
      <c r="G33" s="18">
        <v>2008</v>
      </c>
      <c r="H33" s="18">
        <v>2009</v>
      </c>
      <c r="I33" s="18">
        <v>0</v>
      </c>
      <c r="J33" s="18">
        <v>0</v>
      </c>
      <c r="K33" s="18">
        <v>0</v>
      </c>
      <c r="L33" s="18">
        <v>0</v>
      </c>
      <c r="M33" s="18">
        <v>0</v>
      </c>
      <c r="N33" s="26">
        <v>0</v>
      </c>
      <c r="O33" s="15">
        <v>14.8</v>
      </c>
      <c r="P33" s="15">
        <f>(O33-5)*12</f>
        <v>117.60000000000001</v>
      </c>
      <c r="Q33" s="15">
        <v>1451.4</v>
      </c>
      <c r="R33" s="15">
        <v>7</v>
      </c>
      <c r="S33" s="15">
        <v>160</v>
      </c>
      <c r="T33" s="15">
        <v>61.208329999999997</v>
      </c>
      <c r="U33" s="15">
        <v>2161.15</v>
      </c>
      <c r="V33" s="15">
        <v>1.5333300000000001</v>
      </c>
      <c r="W33" s="15">
        <v>0.31</v>
      </c>
      <c r="X33" s="15"/>
      <c r="Y33" s="15">
        <v>4.79</v>
      </c>
      <c r="Z33" s="15"/>
      <c r="AA33" s="15"/>
      <c r="AB33" s="15"/>
      <c r="AC33" s="15"/>
      <c r="AD33" s="15">
        <f>(0.025)*1000</f>
        <v>25</v>
      </c>
      <c r="AE33" s="15"/>
      <c r="AF33" s="15"/>
      <c r="AG33" s="15"/>
      <c r="AH33" s="15"/>
      <c r="AI33" s="15"/>
      <c r="AJ33" s="15"/>
      <c r="AK33" s="15"/>
      <c r="AL33" s="15"/>
      <c r="AM33" s="15"/>
      <c r="AN33" s="15"/>
      <c r="AO33" s="15"/>
      <c r="AP33" s="15"/>
      <c r="AQ33" s="15">
        <v>357</v>
      </c>
      <c r="AR33" s="15">
        <v>463</v>
      </c>
      <c r="AS33" s="15"/>
      <c r="AT33" s="15"/>
      <c r="AU33" s="18"/>
      <c r="AV33" s="15">
        <v>67</v>
      </c>
      <c r="AW33" s="15">
        <v>4790</v>
      </c>
      <c r="AX33" s="15">
        <v>11.2</v>
      </c>
      <c r="AY33" s="15"/>
      <c r="AZ33" s="15">
        <f t="shared" si="4"/>
        <v>47.191245550339858</v>
      </c>
      <c r="BA33" s="15"/>
      <c r="BB33" s="15"/>
      <c r="BC33" s="15"/>
      <c r="BD33" s="15"/>
      <c r="BE33" s="15"/>
      <c r="BF33" s="15"/>
      <c r="BG33" s="15"/>
      <c r="BH33" s="15"/>
      <c r="BI33" s="15"/>
      <c r="BJ33" s="15"/>
      <c r="BK33" s="15"/>
      <c r="BL33" s="15"/>
      <c r="BM33" s="15">
        <f>4.06*50%</f>
        <v>2.0299999999999998</v>
      </c>
      <c r="BN33" s="15">
        <f>10.9*50%</f>
        <v>5.45</v>
      </c>
      <c r="BO33" s="15">
        <f>92.2*50%</f>
        <v>46.1</v>
      </c>
      <c r="BP33" s="15">
        <f>SUM(BM33:BO33)</f>
        <v>53.58</v>
      </c>
      <c r="BQ33" s="15">
        <f>BU33/BP33</f>
        <v>0.63176558417319884</v>
      </c>
      <c r="BR33" s="15">
        <f>(23.9+17.4)*50%</f>
        <v>20.65</v>
      </c>
      <c r="BS33" s="15">
        <f>26.4*50%</f>
        <v>13.2</v>
      </c>
      <c r="BT33" s="15"/>
      <c r="BU33" s="15">
        <f>SUM(BR33:BT33)</f>
        <v>33.849999999999994</v>
      </c>
      <c r="BV33" s="15">
        <f t="shared" si="3"/>
        <v>87.429999999999993</v>
      </c>
      <c r="BW33" s="18"/>
      <c r="BX33" s="15"/>
      <c r="BY33" s="15"/>
      <c r="BZ33" s="15"/>
      <c r="CA33" s="15"/>
      <c r="CB33" s="15"/>
      <c r="CC33" s="15"/>
      <c r="CD33" s="15">
        <f>3.03*50%</f>
        <v>1.5149999999999999</v>
      </c>
      <c r="CE33" s="15"/>
      <c r="CF33" s="15"/>
      <c r="CG33" s="15"/>
      <c r="CH33" s="15"/>
      <c r="CI33" s="15"/>
      <c r="CJ33" s="15"/>
      <c r="CK33" s="15"/>
      <c r="CL33" s="15"/>
      <c r="CM33" s="18"/>
      <c r="CN33" s="18" t="s">
        <v>191</v>
      </c>
      <c r="CO33" s="18" t="s">
        <v>17</v>
      </c>
      <c r="CP33" s="24" t="s">
        <v>185</v>
      </c>
      <c r="CQ33" s="23" t="s">
        <v>30</v>
      </c>
    </row>
    <row r="34" spans="1:95" s="12" customFormat="1" ht="13">
      <c r="A34" s="18">
        <v>31</v>
      </c>
      <c r="B34" s="18" t="s">
        <v>190</v>
      </c>
      <c r="C34" s="18" t="s">
        <v>189</v>
      </c>
      <c r="D34" s="15" t="s">
        <v>118</v>
      </c>
      <c r="E34" s="18" t="s">
        <v>188</v>
      </c>
      <c r="F34" s="18" t="s">
        <v>187</v>
      </c>
      <c r="G34" s="18">
        <v>2008</v>
      </c>
      <c r="H34" s="18">
        <v>2009</v>
      </c>
      <c r="I34" s="18">
        <v>0</v>
      </c>
      <c r="J34" s="18">
        <v>0</v>
      </c>
      <c r="K34" s="18">
        <v>0</v>
      </c>
      <c r="L34" s="18">
        <v>0</v>
      </c>
      <c r="M34" s="18">
        <v>0</v>
      </c>
      <c r="N34" s="26">
        <v>0</v>
      </c>
      <c r="O34" s="15">
        <v>14.8</v>
      </c>
      <c r="P34" s="15">
        <f>(O34-5)*12</f>
        <v>117.60000000000001</v>
      </c>
      <c r="Q34" s="15">
        <v>1451.4</v>
      </c>
      <c r="R34" s="15">
        <v>7</v>
      </c>
      <c r="S34" s="15">
        <v>200</v>
      </c>
      <c r="T34" s="15">
        <v>61.208329999999997</v>
      </c>
      <c r="U34" s="15">
        <v>2161.15</v>
      </c>
      <c r="V34" s="15">
        <v>1.5333300000000001</v>
      </c>
      <c r="W34" s="15">
        <v>0.48</v>
      </c>
      <c r="X34" s="15"/>
      <c r="Y34" s="15">
        <v>4.6900000000000004</v>
      </c>
      <c r="Z34" s="15"/>
      <c r="AA34" s="15"/>
      <c r="AB34" s="15"/>
      <c r="AC34" s="15"/>
      <c r="AD34" s="15">
        <f>(0.025)*1000</f>
        <v>25</v>
      </c>
      <c r="AE34" s="15"/>
      <c r="AF34" s="15"/>
      <c r="AG34" s="15"/>
      <c r="AH34" s="15"/>
      <c r="AI34" s="15"/>
      <c r="AJ34" s="15"/>
      <c r="AK34" s="15"/>
      <c r="AL34" s="15"/>
      <c r="AM34" s="15"/>
      <c r="AN34" s="15"/>
      <c r="AO34" s="15"/>
      <c r="AP34" s="15"/>
      <c r="AQ34" s="15">
        <v>256</v>
      </c>
      <c r="AR34" s="15">
        <v>368</v>
      </c>
      <c r="AS34" s="15"/>
      <c r="AT34" s="15"/>
      <c r="AU34" s="18"/>
      <c r="AV34" s="15">
        <v>324</v>
      </c>
      <c r="AW34" s="15">
        <v>2400</v>
      </c>
      <c r="AX34" s="15">
        <v>10.1</v>
      </c>
      <c r="AY34" s="15"/>
      <c r="AZ34" s="15">
        <f t="shared" si="4"/>
        <v>19.228431995561689</v>
      </c>
      <c r="BA34" s="15"/>
      <c r="BB34" s="15"/>
      <c r="BC34" s="15"/>
      <c r="BD34" s="15"/>
      <c r="BE34" s="15"/>
      <c r="BF34" s="15"/>
      <c r="BG34" s="15"/>
      <c r="BH34" s="15"/>
      <c r="BI34" s="15"/>
      <c r="BJ34" s="15"/>
      <c r="BK34" s="15"/>
      <c r="BL34" s="15"/>
      <c r="BM34" s="15">
        <f>1.69*50%</f>
        <v>0.84499999999999997</v>
      </c>
      <c r="BN34" s="15">
        <f>4.64*50%</f>
        <v>2.3199999999999998</v>
      </c>
      <c r="BO34" s="15">
        <f>37.3*50%</f>
        <v>18.649999999999999</v>
      </c>
      <c r="BP34" s="15">
        <f>SUM(BM34:BO34)</f>
        <v>21.814999999999998</v>
      </c>
      <c r="BQ34" s="15">
        <f>BU34/BP34</f>
        <v>1.3183589273435712</v>
      </c>
      <c r="BR34" s="15">
        <f>(23.1+9.92)*50%</f>
        <v>16.510000000000002</v>
      </c>
      <c r="BS34" s="15">
        <f>24.5*50%</f>
        <v>12.25</v>
      </c>
      <c r="BT34" s="15"/>
      <c r="BU34" s="15">
        <f>SUM(BR34:BT34)</f>
        <v>28.76</v>
      </c>
      <c r="BV34" s="15">
        <f t="shared" si="3"/>
        <v>50.575000000000003</v>
      </c>
      <c r="BW34" s="18"/>
      <c r="BX34" s="15"/>
      <c r="BY34" s="15"/>
      <c r="BZ34" s="15"/>
      <c r="CA34" s="15"/>
      <c r="CB34" s="15"/>
      <c r="CC34" s="15"/>
      <c r="CD34" s="15">
        <f>5.26*50%</f>
        <v>2.63</v>
      </c>
      <c r="CE34" s="15"/>
      <c r="CF34" s="15"/>
      <c r="CG34" s="15"/>
      <c r="CH34" s="15"/>
      <c r="CI34" s="15"/>
      <c r="CJ34" s="15"/>
      <c r="CK34" s="15"/>
      <c r="CL34" s="15"/>
      <c r="CM34" s="18"/>
      <c r="CN34" s="18" t="s">
        <v>186</v>
      </c>
      <c r="CO34" s="18" t="s">
        <v>3</v>
      </c>
      <c r="CP34" s="24" t="s">
        <v>185</v>
      </c>
      <c r="CQ34" s="23" t="s">
        <v>1</v>
      </c>
    </row>
    <row r="35" spans="1:95" s="12" customFormat="1" ht="13">
      <c r="A35" s="18">
        <v>32</v>
      </c>
      <c r="B35" s="18" t="s">
        <v>76</v>
      </c>
      <c r="C35" s="18" t="s">
        <v>184</v>
      </c>
      <c r="D35" s="15" t="s">
        <v>139</v>
      </c>
      <c r="E35" s="18" t="s">
        <v>183</v>
      </c>
      <c r="F35" s="18" t="s">
        <v>182</v>
      </c>
      <c r="G35" s="18">
        <v>2002</v>
      </c>
      <c r="H35" s="18">
        <v>2003</v>
      </c>
      <c r="I35" s="18">
        <v>0</v>
      </c>
      <c r="J35" s="18">
        <v>0</v>
      </c>
      <c r="K35" s="18">
        <v>0</v>
      </c>
      <c r="L35" s="18">
        <v>0</v>
      </c>
      <c r="M35" s="18">
        <v>0</v>
      </c>
      <c r="N35" s="18">
        <v>0</v>
      </c>
      <c r="O35" s="15">
        <v>16.087499999999999</v>
      </c>
      <c r="P35" s="15">
        <v>133.5</v>
      </c>
      <c r="Q35" s="15">
        <v>1556.5</v>
      </c>
      <c r="R35" s="15">
        <v>0</v>
      </c>
      <c r="S35" s="15">
        <f>(50+92)/2</f>
        <v>71</v>
      </c>
      <c r="T35" s="18"/>
      <c r="U35" s="27">
        <v>1659.6</v>
      </c>
      <c r="V35" s="15">
        <v>2.329167</v>
      </c>
      <c r="W35" s="15"/>
      <c r="X35" s="15"/>
      <c r="Y35" s="15"/>
      <c r="Z35" s="15"/>
      <c r="AA35" s="15"/>
      <c r="AB35" s="15"/>
      <c r="AC35" s="15"/>
      <c r="AD35" s="15"/>
      <c r="AE35" s="15"/>
      <c r="AF35" s="15"/>
      <c r="AG35" s="15"/>
      <c r="AH35" s="15"/>
      <c r="AI35" s="15"/>
      <c r="AJ35" s="15"/>
      <c r="AK35" s="15"/>
      <c r="AL35" s="15"/>
      <c r="AM35" s="15"/>
      <c r="AN35" s="15"/>
      <c r="AO35" s="15"/>
      <c r="AP35" s="15"/>
      <c r="AQ35" s="15"/>
      <c r="AR35" s="15"/>
      <c r="AS35" s="15"/>
      <c r="AT35" s="15"/>
      <c r="AU35" s="18"/>
      <c r="AV35" s="15"/>
      <c r="AW35" s="15">
        <f>(8000+8791+5263)/3</f>
        <v>7351.333333333333</v>
      </c>
      <c r="AX35" s="15">
        <f>(8000*12.3+8791*9.8+5263*11.4)/(AW35*3)</f>
        <v>11.088691393851455</v>
      </c>
      <c r="AY35" s="15">
        <f>(8000*17+8791*14.2+5263*15.9)/(AW35*3)</f>
        <v>15.621379341616034</v>
      </c>
      <c r="AZ35" s="15">
        <f t="shared" si="4"/>
        <v>70.993173583070003</v>
      </c>
      <c r="BA35" s="15"/>
      <c r="BB35" s="15"/>
      <c r="BC35" s="15"/>
      <c r="BD35" s="15"/>
      <c r="BE35" s="15"/>
      <c r="BF35" s="15"/>
      <c r="BG35" s="15"/>
      <c r="BH35" s="15"/>
      <c r="BI35" s="15"/>
      <c r="BJ35" s="15"/>
      <c r="BK35" s="15"/>
      <c r="BL35" s="15"/>
      <c r="BM35" s="15"/>
      <c r="BN35" s="15"/>
      <c r="BO35" s="15"/>
      <c r="BP35" s="15">
        <f>((233.1+151.1+138.3)/3)*50%</f>
        <v>87.083333333333329</v>
      </c>
      <c r="BQ35" s="15"/>
      <c r="BR35" s="15"/>
      <c r="BS35" s="15"/>
      <c r="BT35" s="15"/>
      <c r="BU35" s="15"/>
      <c r="BV35" s="15"/>
      <c r="BW35" s="15"/>
      <c r="BX35" s="15"/>
      <c r="BY35" s="15"/>
      <c r="BZ35" s="15"/>
      <c r="CA35" s="15"/>
      <c r="CB35" s="15"/>
      <c r="CC35" s="15"/>
      <c r="CD35" s="15"/>
      <c r="CE35" s="15"/>
      <c r="CF35" s="15"/>
      <c r="CG35" s="15"/>
      <c r="CH35" s="15"/>
      <c r="CI35" s="15"/>
      <c r="CJ35" s="15"/>
      <c r="CK35" s="15"/>
      <c r="CL35" s="15"/>
      <c r="CM35" s="15"/>
      <c r="CN35" s="18" t="s">
        <v>181</v>
      </c>
      <c r="CO35" s="18" t="s">
        <v>3</v>
      </c>
      <c r="CP35" s="24" t="s">
        <v>180</v>
      </c>
      <c r="CQ35" s="23" t="s">
        <v>30</v>
      </c>
    </row>
    <row r="36" spans="1:95" s="12" customFormat="1" ht="13">
      <c r="A36" s="18">
        <v>33</v>
      </c>
      <c r="B36" s="18" t="s">
        <v>76</v>
      </c>
      <c r="C36" s="18" t="s">
        <v>169</v>
      </c>
      <c r="D36" s="15" t="s">
        <v>93</v>
      </c>
      <c r="E36" s="18" t="s">
        <v>179</v>
      </c>
      <c r="F36" s="18" t="s">
        <v>178</v>
      </c>
      <c r="G36" s="18">
        <v>2005</v>
      </c>
      <c r="H36" s="18">
        <v>2005</v>
      </c>
      <c r="I36" s="18">
        <v>0</v>
      </c>
      <c r="J36" s="18">
        <v>0</v>
      </c>
      <c r="K36" s="18">
        <v>0</v>
      </c>
      <c r="L36" s="18">
        <v>0</v>
      </c>
      <c r="M36" s="18">
        <v>0</v>
      </c>
      <c r="N36" s="26">
        <v>1</v>
      </c>
      <c r="O36" s="15">
        <v>11.3</v>
      </c>
      <c r="P36" s="15">
        <f>(O36-5)*12</f>
        <v>75.600000000000009</v>
      </c>
      <c r="Q36" s="15">
        <v>3244</v>
      </c>
      <c r="R36" s="15">
        <v>425</v>
      </c>
      <c r="S36" s="15">
        <v>330</v>
      </c>
      <c r="T36" s="15"/>
      <c r="U36" s="15">
        <v>1085.9000000000001</v>
      </c>
      <c r="V36" s="15">
        <v>0.74166699999999997</v>
      </c>
      <c r="W36" s="15"/>
      <c r="X36" s="15"/>
      <c r="Y36" s="15"/>
      <c r="Z36" s="15"/>
      <c r="AA36" s="15"/>
      <c r="AB36" s="15"/>
      <c r="AC36" s="15"/>
      <c r="AD36" s="15"/>
      <c r="AE36" s="15"/>
      <c r="AF36" s="15"/>
      <c r="AG36" s="15"/>
      <c r="AH36" s="15"/>
      <c r="AI36" s="15"/>
      <c r="AJ36" s="15"/>
      <c r="AK36" s="15"/>
      <c r="AL36" s="15"/>
      <c r="AM36" s="15"/>
      <c r="AN36" s="15"/>
      <c r="AO36" s="15"/>
      <c r="AP36" s="15"/>
      <c r="AQ36" s="15"/>
      <c r="AR36" s="15"/>
      <c r="AS36" s="15"/>
      <c r="AT36" s="15"/>
      <c r="AU36" s="18"/>
      <c r="AV36" s="15"/>
      <c r="AW36" s="15">
        <v>12500</v>
      </c>
      <c r="AX36" s="15">
        <f>(4.63*70+1.78*55)/125</f>
        <v>3.3759999999999999</v>
      </c>
      <c r="AY36" s="15"/>
      <c r="AZ36" s="15">
        <f t="shared" si="4"/>
        <v>11.189347722437693</v>
      </c>
      <c r="BA36" s="15"/>
      <c r="BB36" s="15"/>
      <c r="BC36" s="15"/>
      <c r="BD36" s="15"/>
      <c r="BE36" s="15"/>
      <c r="BF36" s="15"/>
      <c r="BG36" s="15"/>
      <c r="BH36" s="15"/>
      <c r="BI36" s="15"/>
      <c r="BJ36" s="15"/>
      <c r="BK36" s="15"/>
      <c r="BL36" s="15"/>
      <c r="BM36" s="15"/>
      <c r="BN36" s="15"/>
      <c r="BO36" s="15"/>
      <c r="BP36" s="15">
        <f>23.31*50%</f>
        <v>11.654999999999999</v>
      </c>
      <c r="BQ36" s="15">
        <f>BU36/BP36</f>
        <v>1.5096525096525097</v>
      </c>
      <c r="BR36" s="15">
        <f>9.51*50%</f>
        <v>4.7549999999999999</v>
      </c>
      <c r="BS36" s="15">
        <f>15.67*50%</f>
        <v>7.835</v>
      </c>
      <c r="BT36" s="15">
        <f>(7.56+2.45)*50%</f>
        <v>5.0049999999999999</v>
      </c>
      <c r="BU36" s="15">
        <f>SUM(BR36:BT36)</f>
        <v>17.594999999999999</v>
      </c>
      <c r="BV36" s="15">
        <f>BU36+BP36</f>
        <v>29.25</v>
      </c>
      <c r="BW36" s="15"/>
      <c r="BX36" s="15"/>
      <c r="BY36" s="15"/>
      <c r="BZ36" s="15"/>
      <c r="CA36" s="18"/>
      <c r="CB36" s="15"/>
      <c r="CC36" s="15"/>
      <c r="CD36" s="15"/>
      <c r="CE36" s="15"/>
      <c r="CF36" s="15"/>
      <c r="CG36" s="15"/>
      <c r="CH36" s="15"/>
      <c r="CI36" s="15"/>
      <c r="CJ36" s="15"/>
      <c r="CK36" s="15"/>
      <c r="CL36" s="15"/>
      <c r="CM36" s="18"/>
      <c r="CN36" s="18" t="s">
        <v>177</v>
      </c>
      <c r="CO36" s="18" t="s">
        <v>3</v>
      </c>
      <c r="CP36" s="24" t="s">
        <v>176</v>
      </c>
      <c r="CQ36" s="23" t="s">
        <v>30</v>
      </c>
    </row>
    <row r="37" spans="1:95" s="12" customFormat="1" ht="13">
      <c r="A37" s="18">
        <v>34</v>
      </c>
      <c r="B37" s="18" t="s">
        <v>76</v>
      </c>
      <c r="C37" s="18" t="s">
        <v>169</v>
      </c>
      <c r="D37" s="15" t="s">
        <v>118</v>
      </c>
      <c r="E37" s="18" t="s">
        <v>175</v>
      </c>
      <c r="F37" s="18" t="s">
        <v>174</v>
      </c>
      <c r="G37" s="18">
        <v>2002</v>
      </c>
      <c r="H37" s="18">
        <v>2005</v>
      </c>
      <c r="I37" s="18">
        <v>1</v>
      </c>
      <c r="J37" s="18">
        <v>0</v>
      </c>
      <c r="K37" s="18">
        <v>1</v>
      </c>
      <c r="L37" s="18">
        <v>0</v>
      </c>
      <c r="M37" s="18">
        <v>0</v>
      </c>
      <c r="N37" s="18">
        <v>0</v>
      </c>
      <c r="O37" s="15">
        <v>16.177083333333332</v>
      </c>
      <c r="P37" s="15">
        <v>135.35</v>
      </c>
      <c r="Q37" s="15">
        <v>1759.125</v>
      </c>
      <c r="R37" s="15">
        <v>56.75</v>
      </c>
      <c r="S37" s="15">
        <v>70</v>
      </c>
      <c r="T37" s="15">
        <v>64.9375</v>
      </c>
      <c r="U37" s="15">
        <v>2042.8500000000001</v>
      </c>
      <c r="V37" s="15">
        <v>2.5979166666666664</v>
      </c>
      <c r="W37" s="15"/>
      <c r="X37" s="15"/>
      <c r="Y37" s="15"/>
      <c r="Z37" s="15"/>
      <c r="AA37" s="15"/>
      <c r="AB37" s="15"/>
      <c r="AC37" s="15"/>
      <c r="AD37" s="15"/>
      <c r="AE37" s="15"/>
      <c r="AF37" s="15"/>
      <c r="AG37" s="15"/>
      <c r="AH37" s="15"/>
      <c r="AI37" s="15"/>
      <c r="AJ37" s="15"/>
      <c r="AK37" s="15"/>
      <c r="AL37" s="15"/>
      <c r="AM37" s="15"/>
      <c r="AN37" s="15"/>
      <c r="AO37" s="15"/>
      <c r="AP37" s="15"/>
      <c r="AQ37" s="15"/>
      <c r="AR37" s="15"/>
      <c r="AS37" s="15"/>
      <c r="AT37" s="15"/>
      <c r="AU37" s="18"/>
      <c r="AV37" s="15"/>
      <c r="AW37" s="15">
        <v>3240</v>
      </c>
      <c r="AX37" s="15">
        <v>8.1999999999999993</v>
      </c>
      <c r="AY37" s="15"/>
      <c r="AZ37" s="15">
        <f t="shared" si="4"/>
        <v>17.110495892217592</v>
      </c>
      <c r="BA37" s="15"/>
      <c r="BB37" s="15"/>
      <c r="BC37" s="15"/>
      <c r="BD37" s="15">
        <v>45.2</v>
      </c>
      <c r="BE37" s="15">
        <v>48.2</v>
      </c>
      <c r="BF37" s="15">
        <v>48.9</v>
      </c>
      <c r="BG37" s="15">
        <v>44.8</v>
      </c>
      <c r="BH37" s="15"/>
      <c r="BI37" s="15">
        <v>45.6</v>
      </c>
      <c r="BJ37" s="15"/>
      <c r="BK37" s="15"/>
      <c r="BL37" s="15"/>
      <c r="BM37" s="15"/>
      <c r="BN37" s="15">
        <v>4.5999999999999996</v>
      </c>
      <c r="BO37" s="15">
        <v>18</v>
      </c>
      <c r="BP37" s="15">
        <f>SUM(BM37:BO37)</f>
        <v>22.6</v>
      </c>
      <c r="BQ37" s="15">
        <f>BU37/BP37</f>
        <v>1.5088495575221239</v>
      </c>
      <c r="BR37" s="15">
        <v>11.8</v>
      </c>
      <c r="BS37" s="15">
        <v>14</v>
      </c>
      <c r="BT37" s="15">
        <v>8.3000000000000007</v>
      </c>
      <c r="BU37" s="15">
        <f>SUM(BR37:BT37)</f>
        <v>34.1</v>
      </c>
      <c r="BV37" s="15">
        <f>BU37+BP37</f>
        <v>56.7</v>
      </c>
      <c r="BW37" s="15"/>
      <c r="BX37" s="15">
        <v>84.3</v>
      </c>
      <c r="BY37" s="15"/>
      <c r="BZ37" s="15">
        <f>BV37+BX37</f>
        <v>141</v>
      </c>
      <c r="CA37" s="15"/>
      <c r="CB37" s="15"/>
      <c r="CC37" s="15"/>
      <c r="CD37" s="15">
        <v>2.8</v>
      </c>
      <c r="CE37" s="15"/>
      <c r="CF37" s="15"/>
      <c r="CG37" s="15"/>
      <c r="CH37" s="15"/>
      <c r="CI37" s="15"/>
      <c r="CJ37" s="15"/>
      <c r="CK37" s="15"/>
      <c r="CL37" s="15"/>
      <c r="CM37" s="15"/>
      <c r="CN37" s="18" t="s">
        <v>167</v>
      </c>
      <c r="CO37" s="18" t="s">
        <v>3</v>
      </c>
      <c r="CP37" s="24" t="s">
        <v>166</v>
      </c>
      <c r="CQ37" s="23" t="s">
        <v>1</v>
      </c>
    </row>
    <row r="38" spans="1:95" s="12" customFormat="1" ht="13">
      <c r="A38" s="18">
        <v>35</v>
      </c>
      <c r="B38" s="18" t="s">
        <v>76</v>
      </c>
      <c r="C38" s="18" t="s">
        <v>173</v>
      </c>
      <c r="D38" s="15" t="s">
        <v>118</v>
      </c>
      <c r="E38" s="18" t="s">
        <v>413</v>
      </c>
      <c r="F38" s="18" t="s">
        <v>172</v>
      </c>
      <c r="G38" s="18">
        <v>2002</v>
      </c>
      <c r="H38" s="18">
        <v>2005</v>
      </c>
      <c r="I38" s="18">
        <v>0</v>
      </c>
      <c r="J38" s="18">
        <v>0</v>
      </c>
      <c r="K38" s="18">
        <v>0</v>
      </c>
      <c r="L38" s="18">
        <v>0</v>
      </c>
      <c r="M38" s="18">
        <v>0</v>
      </c>
      <c r="N38" s="18">
        <v>0</v>
      </c>
      <c r="O38" s="15">
        <v>16.177083333333332</v>
      </c>
      <c r="P38" s="15">
        <v>135.35</v>
      </c>
      <c r="Q38" s="15">
        <v>1759.125</v>
      </c>
      <c r="R38" s="15">
        <v>56.75</v>
      </c>
      <c r="S38" s="15">
        <v>70</v>
      </c>
      <c r="T38" s="15">
        <v>64.9375</v>
      </c>
      <c r="U38" s="15">
        <v>2042.8500000000001</v>
      </c>
      <c r="V38" s="15">
        <v>2.5979166666666664</v>
      </c>
      <c r="W38" s="15"/>
      <c r="X38" s="15"/>
      <c r="Y38" s="15"/>
      <c r="Z38" s="15"/>
      <c r="AA38" s="15"/>
      <c r="AB38" s="15"/>
      <c r="AC38" s="15"/>
      <c r="AD38" s="15"/>
      <c r="AE38" s="15"/>
      <c r="AF38" s="15"/>
      <c r="AG38" s="15"/>
      <c r="AH38" s="15"/>
      <c r="AI38" s="15"/>
      <c r="AJ38" s="15"/>
      <c r="AK38" s="15"/>
      <c r="AL38" s="15"/>
      <c r="AM38" s="15"/>
      <c r="AN38" s="15"/>
      <c r="AO38" s="15"/>
      <c r="AP38" s="15"/>
      <c r="AQ38" s="15"/>
      <c r="AR38" s="15"/>
      <c r="AS38" s="15"/>
      <c r="AT38" s="15"/>
      <c r="AU38" s="18"/>
      <c r="AV38" s="15"/>
      <c r="AW38" s="15">
        <v>8200</v>
      </c>
      <c r="AX38" s="15">
        <v>7.5</v>
      </c>
      <c r="AY38" s="15"/>
      <c r="AZ38" s="15">
        <f t="shared" si="4"/>
        <v>36.226490286707303</v>
      </c>
      <c r="BA38" s="15"/>
      <c r="BB38" s="15"/>
      <c r="BC38" s="15"/>
      <c r="BD38" s="15">
        <v>45.2</v>
      </c>
      <c r="BE38" s="15">
        <v>48.2</v>
      </c>
      <c r="BF38" s="15">
        <v>48.9</v>
      </c>
      <c r="BG38" s="15">
        <v>44.8</v>
      </c>
      <c r="BH38" s="15"/>
      <c r="BI38" s="15">
        <v>45.6</v>
      </c>
      <c r="BJ38" s="15"/>
      <c r="BK38" s="15"/>
      <c r="BL38" s="15"/>
      <c r="BM38" s="15"/>
      <c r="BN38" s="15">
        <v>8.1</v>
      </c>
      <c r="BO38" s="15">
        <v>31.6</v>
      </c>
      <c r="BP38" s="15">
        <f>SUM(BM38:BO38)</f>
        <v>39.700000000000003</v>
      </c>
      <c r="BQ38" s="15">
        <f>BU38/BP38</f>
        <v>1.1435768261964734</v>
      </c>
      <c r="BR38" s="15">
        <v>19.8</v>
      </c>
      <c r="BS38" s="15">
        <v>13</v>
      </c>
      <c r="BT38" s="15">
        <v>12.6</v>
      </c>
      <c r="BU38" s="15">
        <f>SUM(BR38:BT38)</f>
        <v>45.4</v>
      </c>
      <c r="BV38" s="15">
        <f>BU38+BP38</f>
        <v>85.1</v>
      </c>
      <c r="BW38" s="15"/>
      <c r="BX38" s="15">
        <v>61.3</v>
      </c>
      <c r="BY38" s="15"/>
      <c r="BZ38" s="15">
        <f>BV38+BX38</f>
        <v>146.39999999999998</v>
      </c>
      <c r="CA38" s="15"/>
      <c r="CB38" s="15"/>
      <c r="CC38" s="15"/>
      <c r="CD38" s="15">
        <v>4.7</v>
      </c>
      <c r="CE38" s="15"/>
      <c r="CF38" s="15"/>
      <c r="CG38" s="15"/>
      <c r="CH38" s="15"/>
      <c r="CI38" s="15"/>
      <c r="CJ38" s="15"/>
      <c r="CK38" s="15"/>
      <c r="CL38" s="15"/>
      <c r="CM38" s="15"/>
      <c r="CN38" s="18" t="s">
        <v>171</v>
      </c>
      <c r="CO38" s="18" t="s">
        <v>3</v>
      </c>
      <c r="CP38" s="24" t="s">
        <v>170</v>
      </c>
      <c r="CQ38" s="23" t="s">
        <v>30</v>
      </c>
    </row>
    <row r="39" spans="1:95" s="12" customFormat="1" ht="13">
      <c r="A39" s="18">
        <v>36</v>
      </c>
      <c r="B39" s="18" t="s">
        <v>76</v>
      </c>
      <c r="C39" s="18" t="s">
        <v>169</v>
      </c>
      <c r="D39" s="15" t="s">
        <v>118</v>
      </c>
      <c r="E39" s="18" t="s">
        <v>414</v>
      </c>
      <c r="F39" s="18" t="s">
        <v>168</v>
      </c>
      <c r="G39" s="18">
        <v>2002</v>
      </c>
      <c r="H39" s="18">
        <v>2005</v>
      </c>
      <c r="I39" s="18">
        <v>0</v>
      </c>
      <c r="J39" s="18">
        <v>0</v>
      </c>
      <c r="K39" s="18">
        <v>0</v>
      </c>
      <c r="L39" s="18">
        <v>0</v>
      </c>
      <c r="M39" s="18">
        <v>0</v>
      </c>
      <c r="N39" s="18">
        <v>1</v>
      </c>
      <c r="O39" s="15">
        <v>13.062499999999995</v>
      </c>
      <c r="P39" s="15">
        <v>105.32499999999999</v>
      </c>
      <c r="Q39" s="15">
        <v>3462.5</v>
      </c>
      <c r="R39" s="15">
        <v>437.75</v>
      </c>
      <c r="S39" s="15">
        <v>330</v>
      </c>
      <c r="T39" s="15"/>
      <c r="U39" s="15">
        <v>1223.2</v>
      </c>
      <c r="V39" s="15">
        <v>0.89166666666666672</v>
      </c>
      <c r="W39" s="15"/>
      <c r="X39" s="15"/>
      <c r="Y39" s="15"/>
      <c r="Z39" s="15"/>
      <c r="AA39" s="15"/>
      <c r="AB39" s="15"/>
      <c r="AC39" s="15"/>
      <c r="AD39" s="15"/>
      <c r="AE39" s="15"/>
      <c r="AF39" s="15"/>
      <c r="AG39" s="15"/>
      <c r="AH39" s="15"/>
      <c r="AI39" s="15"/>
      <c r="AJ39" s="15"/>
      <c r="AK39" s="15"/>
      <c r="AL39" s="15"/>
      <c r="AM39" s="15"/>
      <c r="AN39" s="15"/>
      <c r="AO39" s="15"/>
      <c r="AP39" s="15"/>
      <c r="AQ39" s="15"/>
      <c r="AR39" s="15"/>
      <c r="AS39" s="15"/>
      <c r="AT39" s="15"/>
      <c r="AU39" s="18"/>
      <c r="AV39" s="15"/>
      <c r="AW39" s="15">
        <v>8125</v>
      </c>
      <c r="AX39" s="15">
        <v>5.0999999999999996</v>
      </c>
      <c r="AY39" s="15"/>
      <c r="AZ39" s="15">
        <f t="shared" si="4"/>
        <v>16.597917561848696</v>
      </c>
      <c r="BA39" s="15"/>
      <c r="BB39" s="15"/>
      <c r="BC39" s="15"/>
      <c r="BD39" s="15">
        <v>45.2</v>
      </c>
      <c r="BE39" s="15">
        <v>48.2</v>
      </c>
      <c r="BF39" s="15">
        <v>48.9</v>
      </c>
      <c r="BG39" s="15">
        <v>44.8</v>
      </c>
      <c r="BH39" s="15"/>
      <c r="BI39" s="15">
        <v>45.6</v>
      </c>
      <c r="BJ39" s="15"/>
      <c r="BK39" s="15"/>
      <c r="BL39" s="15"/>
      <c r="BM39" s="15"/>
      <c r="BN39" s="15">
        <v>3.3</v>
      </c>
      <c r="BO39" s="15">
        <v>17.2</v>
      </c>
      <c r="BP39" s="15">
        <f>SUM(BM39:BO39)</f>
        <v>20.5</v>
      </c>
      <c r="BQ39" s="15">
        <f>BU39/BP39</f>
        <v>2.1804878048780485</v>
      </c>
      <c r="BR39" s="15">
        <v>23.9</v>
      </c>
      <c r="BS39" s="15">
        <v>15.7</v>
      </c>
      <c r="BT39" s="15">
        <v>5.0999999999999996</v>
      </c>
      <c r="BU39" s="15">
        <f>SUM(BR39:BT39)</f>
        <v>44.699999999999996</v>
      </c>
      <c r="BV39" s="15">
        <f>BU39+BP39</f>
        <v>65.199999999999989</v>
      </c>
      <c r="BW39" s="15"/>
      <c r="BX39" s="15">
        <v>113.8</v>
      </c>
      <c r="BY39" s="15"/>
      <c r="BZ39" s="15">
        <f>BV39+BX39</f>
        <v>179</v>
      </c>
      <c r="CA39" s="15"/>
      <c r="CB39" s="15"/>
      <c r="CC39" s="15"/>
      <c r="CD39" s="15">
        <v>10.5</v>
      </c>
      <c r="CE39" s="15"/>
      <c r="CF39" s="15"/>
      <c r="CG39" s="15"/>
      <c r="CH39" s="15"/>
      <c r="CI39" s="15"/>
      <c r="CJ39" s="15"/>
      <c r="CK39" s="15"/>
      <c r="CL39" s="15"/>
      <c r="CM39" s="15"/>
      <c r="CN39" s="18" t="s">
        <v>167</v>
      </c>
      <c r="CO39" s="18" t="s">
        <v>3</v>
      </c>
      <c r="CP39" s="24" t="s">
        <v>166</v>
      </c>
      <c r="CQ39" s="23" t="s">
        <v>30</v>
      </c>
    </row>
    <row r="40" spans="1:95" s="12" customFormat="1" ht="13">
      <c r="A40" s="18">
        <v>37</v>
      </c>
      <c r="B40" s="18" t="s">
        <v>70</v>
      </c>
      <c r="C40" s="18" t="s">
        <v>165</v>
      </c>
      <c r="D40" s="15" t="s">
        <v>133</v>
      </c>
      <c r="E40" s="18" t="s">
        <v>164</v>
      </c>
      <c r="F40" s="18" t="s">
        <v>163</v>
      </c>
      <c r="G40" s="18">
        <v>2006</v>
      </c>
      <c r="H40" s="18">
        <v>2016</v>
      </c>
      <c r="I40" s="18">
        <v>0</v>
      </c>
      <c r="J40" s="18">
        <v>0</v>
      </c>
      <c r="K40" s="18">
        <v>0</v>
      </c>
      <c r="L40" s="18">
        <v>0</v>
      </c>
      <c r="M40" s="18">
        <v>0</v>
      </c>
      <c r="N40" s="18">
        <v>0</v>
      </c>
      <c r="O40" s="15">
        <v>17.5</v>
      </c>
      <c r="P40" s="15">
        <f>(O40-5)*12</f>
        <v>150</v>
      </c>
      <c r="Q40" s="15">
        <v>2719</v>
      </c>
      <c r="R40" s="15">
        <v>1.1000000000000001</v>
      </c>
      <c r="S40" s="15">
        <v>60</v>
      </c>
      <c r="T40" s="15">
        <v>69.340909999999994</v>
      </c>
      <c r="U40" s="15">
        <v>2353.88</v>
      </c>
      <c r="V40" s="15">
        <v>1.72197</v>
      </c>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8"/>
      <c r="AV40" s="15"/>
      <c r="AW40" s="15">
        <f>(9870+7307)/2</f>
        <v>8588.5</v>
      </c>
      <c r="AX40" s="15">
        <f>(11+13)/2</f>
        <v>12</v>
      </c>
      <c r="AY40" s="15"/>
      <c r="AZ40" s="15">
        <f t="shared" si="4"/>
        <v>97.133646619281379</v>
      </c>
      <c r="BA40" s="15"/>
      <c r="BB40" s="15">
        <v>6.9</v>
      </c>
      <c r="BC40" s="15"/>
      <c r="BD40" s="15"/>
      <c r="BE40" s="15"/>
      <c r="BF40" s="15"/>
      <c r="BG40" s="15"/>
      <c r="BH40" s="15"/>
      <c r="BI40" s="15"/>
      <c r="BJ40" s="15"/>
      <c r="BK40" s="15"/>
      <c r="BL40" s="15"/>
      <c r="BM40" s="15"/>
      <c r="BN40" s="15"/>
      <c r="BO40" s="15"/>
      <c r="BP40" s="15">
        <f>(170+200)/2*50%</f>
        <v>92.5</v>
      </c>
      <c r="BQ40" s="15"/>
      <c r="BR40" s="15"/>
      <c r="BS40" s="15"/>
      <c r="BT40" s="15"/>
      <c r="BU40" s="15"/>
      <c r="BV40" s="15"/>
      <c r="BW40" s="15"/>
      <c r="BX40" s="15"/>
      <c r="BY40" s="15"/>
      <c r="BZ40" s="15"/>
      <c r="CA40" s="15"/>
      <c r="CB40" s="15"/>
      <c r="CC40" s="15"/>
      <c r="CD40" s="15">
        <f>4.2*50%</f>
        <v>2.1</v>
      </c>
      <c r="CE40" s="15"/>
      <c r="CF40" s="15"/>
      <c r="CG40" s="15"/>
      <c r="CH40" s="15"/>
      <c r="CI40" s="15"/>
      <c r="CJ40" s="15"/>
      <c r="CK40" s="15"/>
      <c r="CL40" s="15"/>
      <c r="CM40" s="15"/>
      <c r="CN40" s="18" t="s">
        <v>162</v>
      </c>
      <c r="CO40" s="18" t="s">
        <v>17</v>
      </c>
      <c r="CP40" s="24" t="s">
        <v>161</v>
      </c>
      <c r="CQ40" s="23" t="s">
        <v>30</v>
      </c>
    </row>
    <row r="41" spans="1:95" s="12" customFormat="1" ht="13">
      <c r="A41" s="18">
        <v>38</v>
      </c>
      <c r="B41" s="18" t="s">
        <v>76</v>
      </c>
      <c r="C41" s="18" t="s">
        <v>160</v>
      </c>
      <c r="D41" s="15" t="s">
        <v>93</v>
      </c>
      <c r="E41" s="18" t="s">
        <v>159</v>
      </c>
      <c r="F41" s="18" t="s">
        <v>158</v>
      </c>
      <c r="G41" s="18">
        <v>2008</v>
      </c>
      <c r="H41" s="18">
        <v>2008</v>
      </c>
      <c r="I41" s="18">
        <v>0</v>
      </c>
      <c r="J41" s="18">
        <v>0</v>
      </c>
      <c r="K41" s="18">
        <v>0</v>
      </c>
      <c r="L41" s="18">
        <v>0</v>
      </c>
      <c r="M41" s="18">
        <v>0</v>
      </c>
      <c r="N41" s="26">
        <v>0</v>
      </c>
      <c r="O41" s="15">
        <v>16.75</v>
      </c>
      <c r="P41" s="15">
        <v>141</v>
      </c>
      <c r="Q41" s="15">
        <v>1086.5</v>
      </c>
      <c r="R41" s="15">
        <v>0</v>
      </c>
      <c r="S41" s="15">
        <v>88</v>
      </c>
      <c r="T41" s="15">
        <v>65.416669999999996</v>
      </c>
      <c r="U41" s="15">
        <v>2016.9</v>
      </c>
      <c r="V41" s="15">
        <v>2.35</v>
      </c>
      <c r="W41" s="15"/>
      <c r="X41" s="15"/>
      <c r="Y41" s="15"/>
      <c r="Z41" s="15"/>
      <c r="AA41" s="15"/>
      <c r="AB41" s="15"/>
      <c r="AC41" s="15"/>
      <c r="AD41" s="15"/>
      <c r="AE41" s="15"/>
      <c r="AF41" s="15"/>
      <c r="AG41" s="15"/>
      <c r="AH41" s="15"/>
      <c r="AI41" s="15"/>
      <c r="AJ41" s="15"/>
      <c r="AK41" s="15"/>
      <c r="AL41" s="15"/>
      <c r="AM41" s="15"/>
      <c r="AN41" s="15"/>
      <c r="AO41" s="15"/>
      <c r="AP41" s="15"/>
      <c r="AQ41" s="15"/>
      <c r="AR41" s="15"/>
      <c r="AS41" s="15"/>
      <c r="AT41" s="15"/>
      <c r="AU41" s="18"/>
      <c r="AV41" s="15"/>
      <c r="AW41" s="15"/>
      <c r="AX41" s="15"/>
      <c r="AY41" s="15"/>
      <c r="AZ41" s="15"/>
      <c r="BA41" s="15"/>
      <c r="BB41" s="15"/>
      <c r="BC41" s="15"/>
      <c r="BD41" s="15"/>
      <c r="BE41" s="15"/>
      <c r="BF41" s="15"/>
      <c r="BG41" s="15"/>
      <c r="BH41" s="15"/>
      <c r="BI41" s="15"/>
      <c r="BJ41" s="15"/>
      <c r="BK41" s="15"/>
      <c r="BL41" s="15"/>
      <c r="BM41" s="15"/>
      <c r="BN41" s="15"/>
      <c r="BO41" s="15"/>
      <c r="BP41" s="15">
        <f>84.2</f>
        <v>84.2</v>
      </c>
      <c r="BQ41" s="15"/>
      <c r="BR41" s="15"/>
      <c r="BS41" s="15"/>
      <c r="BT41" s="15"/>
      <c r="BU41" s="15"/>
      <c r="BV41" s="15"/>
      <c r="BW41" s="18"/>
      <c r="BX41" s="15"/>
      <c r="BY41" s="15"/>
      <c r="BZ41" s="15"/>
      <c r="CA41" s="15"/>
      <c r="CB41" s="15"/>
      <c r="CC41" s="15"/>
      <c r="CD41" s="15">
        <v>3.49</v>
      </c>
      <c r="CE41" s="15"/>
      <c r="CF41" s="15"/>
      <c r="CG41" s="15"/>
      <c r="CH41" s="15"/>
      <c r="CI41" s="15"/>
      <c r="CJ41" s="15"/>
      <c r="CK41" s="15"/>
      <c r="CL41" s="15"/>
      <c r="CM41" s="18"/>
      <c r="CN41" s="18" t="s">
        <v>157</v>
      </c>
      <c r="CO41" s="18" t="s">
        <v>3</v>
      </c>
      <c r="CP41" s="24" t="s">
        <v>156</v>
      </c>
      <c r="CQ41" s="23" t="s">
        <v>30</v>
      </c>
    </row>
    <row r="42" spans="1:95" s="12" customFormat="1" ht="13">
      <c r="A42" s="18">
        <v>39</v>
      </c>
      <c r="B42" s="18" t="s">
        <v>76</v>
      </c>
      <c r="C42" s="18" t="s">
        <v>155</v>
      </c>
      <c r="D42" s="15" t="s">
        <v>118</v>
      </c>
      <c r="E42" s="18" t="s">
        <v>154</v>
      </c>
      <c r="F42" s="18" t="s">
        <v>153</v>
      </c>
      <c r="G42" s="18">
        <v>2008</v>
      </c>
      <c r="H42" s="18">
        <v>2008</v>
      </c>
      <c r="I42" s="18">
        <v>0</v>
      </c>
      <c r="J42" s="18">
        <v>0</v>
      </c>
      <c r="K42" s="18">
        <v>0</v>
      </c>
      <c r="L42" s="18">
        <v>0</v>
      </c>
      <c r="M42" s="18">
        <v>0</v>
      </c>
      <c r="N42" s="26">
        <v>1</v>
      </c>
      <c r="O42" s="15">
        <v>16.75</v>
      </c>
      <c r="P42" s="15">
        <v>141</v>
      </c>
      <c r="Q42" s="15">
        <v>1086.5</v>
      </c>
      <c r="R42" s="15">
        <v>0</v>
      </c>
      <c r="S42" s="15">
        <v>88</v>
      </c>
      <c r="T42" s="15">
        <v>65.416669999999996</v>
      </c>
      <c r="U42" s="15">
        <v>2016.9</v>
      </c>
      <c r="V42" s="15">
        <v>2.35</v>
      </c>
      <c r="W42" s="15"/>
      <c r="X42" s="15"/>
      <c r="Y42" s="15"/>
      <c r="Z42" s="15"/>
      <c r="AA42" s="15"/>
      <c r="AB42" s="15"/>
      <c r="AC42" s="15"/>
      <c r="AD42" s="15"/>
      <c r="AE42" s="15"/>
      <c r="AF42" s="15"/>
      <c r="AG42" s="15"/>
      <c r="AH42" s="15"/>
      <c r="AI42" s="15"/>
      <c r="AJ42" s="15"/>
      <c r="AK42" s="15"/>
      <c r="AL42" s="15"/>
      <c r="AM42" s="15"/>
      <c r="AN42" s="15"/>
      <c r="AO42" s="15"/>
      <c r="AP42" s="15"/>
      <c r="AQ42" s="15"/>
      <c r="AR42" s="15"/>
      <c r="AS42" s="15"/>
      <c r="AT42" s="15"/>
      <c r="AU42" s="18"/>
      <c r="AV42" s="15"/>
      <c r="AW42" s="15"/>
      <c r="AX42" s="15"/>
      <c r="AY42" s="15"/>
      <c r="AZ42" s="15"/>
      <c r="BA42" s="15"/>
      <c r="BB42" s="15"/>
      <c r="BC42" s="15"/>
      <c r="BD42" s="15"/>
      <c r="BE42" s="15"/>
      <c r="BF42" s="15"/>
      <c r="BG42" s="15"/>
      <c r="BH42" s="15"/>
      <c r="BI42" s="15"/>
      <c r="BJ42" s="15"/>
      <c r="BK42" s="15"/>
      <c r="BL42" s="15"/>
      <c r="BM42" s="15"/>
      <c r="BN42" s="15"/>
      <c r="BO42" s="15"/>
      <c r="BP42" s="15">
        <f>(103.2+116.7+92.3+61.1+88.2)/5</f>
        <v>92.3</v>
      </c>
      <c r="BQ42" s="15"/>
      <c r="BR42" s="15"/>
      <c r="BS42" s="15"/>
      <c r="BT42" s="15"/>
      <c r="BU42" s="15"/>
      <c r="BV42" s="15"/>
      <c r="BW42" s="18"/>
      <c r="BX42" s="15"/>
      <c r="BY42" s="15"/>
      <c r="BZ42" s="15"/>
      <c r="CA42" s="15"/>
      <c r="CB42" s="15"/>
      <c r="CC42" s="15"/>
      <c r="CD42" s="15">
        <f>(4.14+4.65+4.2+4.02+2.87)/5</f>
        <v>3.976</v>
      </c>
      <c r="CE42" s="15"/>
      <c r="CF42" s="15"/>
      <c r="CG42" s="15"/>
      <c r="CH42" s="15"/>
      <c r="CI42" s="15"/>
      <c r="CJ42" s="15"/>
      <c r="CK42" s="15"/>
      <c r="CL42" s="15"/>
      <c r="CM42" s="18"/>
      <c r="CN42" s="18" t="s">
        <v>152</v>
      </c>
      <c r="CO42" s="18" t="s">
        <v>3</v>
      </c>
      <c r="CP42" s="24" t="s">
        <v>151</v>
      </c>
      <c r="CQ42" s="23" t="s">
        <v>30</v>
      </c>
    </row>
    <row r="43" spans="1:95" s="12" customFormat="1" ht="13">
      <c r="A43" s="18">
        <v>40</v>
      </c>
      <c r="B43" s="18" t="s">
        <v>76</v>
      </c>
      <c r="C43" s="18" t="s">
        <v>150</v>
      </c>
      <c r="D43" s="15" t="s">
        <v>139</v>
      </c>
      <c r="E43" s="18" t="s">
        <v>149</v>
      </c>
      <c r="F43" s="18" t="s">
        <v>148</v>
      </c>
      <c r="G43" s="18">
        <v>2009</v>
      </c>
      <c r="H43" s="18">
        <v>2009</v>
      </c>
      <c r="I43" s="18">
        <v>0</v>
      </c>
      <c r="J43" s="18">
        <v>0</v>
      </c>
      <c r="K43" s="18">
        <v>0</v>
      </c>
      <c r="L43" s="18">
        <v>0</v>
      </c>
      <c r="M43" s="18">
        <v>0</v>
      </c>
      <c r="N43" s="18">
        <v>0</v>
      </c>
      <c r="O43" s="15">
        <v>16.258333333333336</v>
      </c>
      <c r="P43" s="15">
        <f>(O43-5)*12</f>
        <v>135.10000000000002</v>
      </c>
      <c r="Q43" s="15">
        <v>1831.5</v>
      </c>
      <c r="R43" s="15">
        <v>5</v>
      </c>
      <c r="S43" s="15">
        <f>(320+80)/2</f>
        <v>200</v>
      </c>
      <c r="T43" s="15">
        <v>75.833333333333329</v>
      </c>
      <c r="U43" s="15">
        <v>1872.5</v>
      </c>
      <c r="V43" s="15">
        <v>1.4333333333333333</v>
      </c>
      <c r="W43" s="15"/>
      <c r="X43" s="15"/>
      <c r="Y43" s="15"/>
      <c r="Z43" s="15"/>
      <c r="AA43" s="15"/>
      <c r="AB43" s="15"/>
      <c r="AC43" s="15"/>
      <c r="AD43" s="15"/>
      <c r="AE43" s="15"/>
      <c r="AF43" s="15"/>
      <c r="AG43" s="15"/>
      <c r="AH43" s="15"/>
      <c r="AI43" s="15"/>
      <c r="AJ43" s="15"/>
      <c r="AK43" s="15"/>
      <c r="AL43" s="15"/>
      <c r="AM43" s="15"/>
      <c r="AN43" s="15"/>
      <c r="AO43" s="15"/>
      <c r="AP43" s="15"/>
      <c r="AQ43" s="15"/>
      <c r="AR43" s="15"/>
      <c r="AS43" s="15"/>
      <c r="AT43" s="15"/>
      <c r="AU43" s="18"/>
      <c r="AV43" s="15"/>
      <c r="AW43" s="15">
        <f>(6130+5000)/2</f>
        <v>5565</v>
      </c>
      <c r="AX43" s="15">
        <f>(12.9+13.9)/2</f>
        <v>13.4</v>
      </c>
      <c r="AY43" s="15">
        <f>(17.9+18.1)/2</f>
        <v>18</v>
      </c>
      <c r="AZ43" s="15">
        <f>(83+76.8)/2</f>
        <v>79.900000000000006</v>
      </c>
      <c r="BA43" s="15"/>
      <c r="BB43" s="15"/>
      <c r="BC43" s="15"/>
      <c r="BD43" s="15"/>
      <c r="BE43" s="15"/>
      <c r="BF43" s="15"/>
      <c r="BG43" s="15"/>
      <c r="BH43" s="15"/>
      <c r="BI43" s="15"/>
      <c r="BJ43" s="15"/>
      <c r="BK43" s="15"/>
      <c r="BL43" s="15"/>
      <c r="BM43" s="15"/>
      <c r="BN43" s="15">
        <f>(17.01+18.71)/2*0.5</f>
        <v>8.93</v>
      </c>
      <c r="BO43" s="15">
        <f>(129.63+101.28)/2*0.5</f>
        <v>57.727499999999999</v>
      </c>
      <c r="BP43" s="15">
        <f>SUM(BM43:BO43)</f>
        <v>66.657499999999999</v>
      </c>
      <c r="BQ43" s="15"/>
      <c r="BR43" s="15"/>
      <c r="BS43" s="15"/>
      <c r="BT43" s="15"/>
      <c r="BU43" s="15"/>
      <c r="BV43" s="15"/>
      <c r="BW43" s="15"/>
      <c r="BX43" s="15"/>
      <c r="BY43" s="15"/>
      <c r="BZ43" s="15"/>
      <c r="CA43" s="15"/>
      <c r="CB43" s="15">
        <f>(1.22+2.73)/2*0.5</f>
        <v>0.98750000000000004</v>
      </c>
      <c r="CC43" s="15">
        <f>(7.04+12.44)/2*0.5</f>
        <v>4.87</v>
      </c>
      <c r="CD43" s="15"/>
      <c r="CE43" s="15">
        <f>SUM(CA43:CD43)</f>
        <v>5.8574999999999999</v>
      </c>
      <c r="CF43" s="15"/>
      <c r="CG43" s="15"/>
      <c r="CH43" s="15"/>
      <c r="CI43" s="15"/>
      <c r="CJ43" s="15"/>
      <c r="CK43" s="15"/>
      <c r="CL43" s="15"/>
      <c r="CM43" s="15"/>
      <c r="CN43" s="18" t="s">
        <v>141</v>
      </c>
      <c r="CO43" s="18" t="s">
        <v>17</v>
      </c>
      <c r="CP43" s="24" t="s">
        <v>140</v>
      </c>
      <c r="CQ43" s="23" t="s">
        <v>1</v>
      </c>
    </row>
    <row r="44" spans="1:95" s="12" customFormat="1" ht="13">
      <c r="A44" s="18">
        <v>41</v>
      </c>
      <c r="B44" s="18" t="s">
        <v>76</v>
      </c>
      <c r="C44" s="18" t="s">
        <v>144</v>
      </c>
      <c r="D44" s="15" t="s">
        <v>139</v>
      </c>
      <c r="E44" s="18" t="s">
        <v>147</v>
      </c>
      <c r="F44" s="18" t="s">
        <v>146</v>
      </c>
      <c r="G44" s="18">
        <v>2009</v>
      </c>
      <c r="H44" s="18">
        <v>2009</v>
      </c>
      <c r="I44" s="18">
        <v>0</v>
      </c>
      <c r="J44" s="18">
        <v>0</v>
      </c>
      <c r="K44" s="18">
        <v>0</v>
      </c>
      <c r="L44" s="18">
        <v>0</v>
      </c>
      <c r="M44" s="18">
        <v>0</v>
      </c>
      <c r="N44" s="18">
        <v>0</v>
      </c>
      <c r="O44" s="15">
        <v>18.108333333333331</v>
      </c>
      <c r="P44" s="15">
        <f>(O44-5)*12</f>
        <v>157.29999999999995</v>
      </c>
      <c r="Q44" s="15">
        <v>1818.5</v>
      </c>
      <c r="R44" s="15">
        <v>5</v>
      </c>
      <c r="S44" s="15">
        <v>130</v>
      </c>
      <c r="T44" s="15">
        <v>75.833333333333329</v>
      </c>
      <c r="U44" s="15">
        <v>1781.2</v>
      </c>
      <c r="V44" s="15">
        <v>1.9750000000000003</v>
      </c>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8"/>
      <c r="AV44" s="15"/>
      <c r="AW44" s="15">
        <f>5230</f>
        <v>5230</v>
      </c>
      <c r="AX44" s="15">
        <v>10.4</v>
      </c>
      <c r="AY44" s="15">
        <v>13.5</v>
      </c>
      <c r="AZ44" s="15">
        <v>45.7</v>
      </c>
      <c r="BA44" s="15"/>
      <c r="BB44" s="15"/>
      <c r="BC44" s="15"/>
      <c r="BD44" s="15"/>
      <c r="BE44" s="15"/>
      <c r="BF44" s="15"/>
      <c r="BG44" s="15"/>
      <c r="BH44" s="15"/>
      <c r="BI44" s="15"/>
      <c r="BJ44" s="15"/>
      <c r="BK44" s="15"/>
      <c r="BL44" s="15"/>
      <c r="BM44" s="15"/>
      <c r="BN44" s="15">
        <f>12.29*0.5</f>
        <v>6.1449999999999996</v>
      </c>
      <c r="BO44" s="15">
        <f>70.53*0.5</f>
        <v>35.265000000000001</v>
      </c>
      <c r="BP44" s="15">
        <f>SUM(BM44:BO44)</f>
        <v>41.41</v>
      </c>
      <c r="BQ44" s="15"/>
      <c r="BR44" s="15"/>
      <c r="BS44" s="15"/>
      <c r="BT44" s="15"/>
      <c r="BU44" s="15"/>
      <c r="BV44" s="15"/>
      <c r="BW44" s="15"/>
      <c r="BX44" s="15"/>
      <c r="BY44" s="15"/>
      <c r="BZ44" s="15"/>
      <c r="CA44" s="15"/>
      <c r="CB44" s="15">
        <f>2.49*0.5</f>
        <v>1.2450000000000001</v>
      </c>
      <c r="CC44" s="15">
        <f>9.65*0.5</f>
        <v>4.8250000000000002</v>
      </c>
      <c r="CD44" s="15"/>
      <c r="CE44" s="15">
        <f>SUM(CA44:CD44)</f>
        <v>6.07</v>
      </c>
      <c r="CF44" s="15"/>
      <c r="CG44" s="15"/>
      <c r="CH44" s="15"/>
      <c r="CI44" s="15"/>
      <c r="CJ44" s="15"/>
      <c r="CK44" s="15"/>
      <c r="CL44" s="15"/>
      <c r="CM44" s="15"/>
      <c r="CN44" s="18" t="s">
        <v>145</v>
      </c>
      <c r="CO44" s="18" t="s">
        <v>17</v>
      </c>
      <c r="CP44" s="24" t="s">
        <v>140</v>
      </c>
      <c r="CQ44" s="23" t="s">
        <v>30</v>
      </c>
    </row>
    <row r="45" spans="1:95" s="12" customFormat="1" ht="13">
      <c r="A45" s="18">
        <v>42</v>
      </c>
      <c r="B45" s="18" t="s">
        <v>76</v>
      </c>
      <c r="C45" s="18" t="s">
        <v>144</v>
      </c>
      <c r="D45" s="15" t="s">
        <v>133</v>
      </c>
      <c r="E45" s="18" t="s">
        <v>143</v>
      </c>
      <c r="F45" s="18" t="s">
        <v>142</v>
      </c>
      <c r="G45" s="18">
        <v>2009</v>
      </c>
      <c r="H45" s="18">
        <v>2009</v>
      </c>
      <c r="I45" s="18">
        <v>0</v>
      </c>
      <c r="J45" s="18">
        <v>0</v>
      </c>
      <c r="K45" s="18">
        <v>0</v>
      </c>
      <c r="L45" s="18">
        <v>0</v>
      </c>
      <c r="M45" s="18">
        <v>0</v>
      </c>
      <c r="N45" s="18">
        <v>0</v>
      </c>
      <c r="O45" s="15">
        <v>17.633333333333333</v>
      </c>
      <c r="P45" s="15">
        <f>(O45-5)*12</f>
        <v>151.6</v>
      </c>
      <c r="Q45" s="15">
        <v>2057.3000000000002</v>
      </c>
      <c r="R45" s="15">
        <v>5</v>
      </c>
      <c r="S45" s="15">
        <f>(125+125+125)/3</f>
        <v>125</v>
      </c>
      <c r="T45" s="15">
        <v>75.833333333333329</v>
      </c>
      <c r="U45" s="15">
        <v>1974.0000000000002</v>
      </c>
      <c r="V45" s="15">
        <v>3.2250000000000001</v>
      </c>
      <c r="W45" s="15"/>
      <c r="X45" s="15"/>
      <c r="Y45" s="15"/>
      <c r="Z45" s="15"/>
      <c r="AA45" s="15"/>
      <c r="AB45" s="15"/>
      <c r="AC45" s="15"/>
      <c r="AD45" s="15"/>
      <c r="AE45" s="15"/>
      <c r="AF45" s="15"/>
      <c r="AG45" s="15"/>
      <c r="AH45" s="15"/>
      <c r="AI45" s="15"/>
      <c r="AJ45" s="15"/>
      <c r="AK45" s="15"/>
      <c r="AL45" s="15"/>
      <c r="AM45" s="15"/>
      <c r="AN45" s="15"/>
      <c r="AO45" s="15"/>
      <c r="AP45" s="15"/>
      <c r="AQ45" s="15"/>
      <c r="AR45" s="15"/>
      <c r="AS45" s="15"/>
      <c r="AT45" s="15"/>
      <c r="AU45" s="18"/>
      <c r="AV45" s="15"/>
      <c r="AW45" s="15">
        <f>(5550+5200+5130)/3</f>
        <v>5293.333333333333</v>
      </c>
      <c r="AX45" s="15">
        <f>(12.5+12.8+11.7)/3</f>
        <v>12.333333333333334</v>
      </c>
      <c r="AY45" s="15">
        <f>(17+17.5+16.3)/3</f>
        <v>16.933333333333334</v>
      </c>
      <c r="AZ45" s="15">
        <f>(69.5+67.4+59.1)/3</f>
        <v>65.333333333333329</v>
      </c>
      <c r="BA45" s="15"/>
      <c r="BB45" s="15"/>
      <c r="BC45" s="15"/>
      <c r="BD45" s="15"/>
      <c r="BE45" s="15"/>
      <c r="BF45" s="15"/>
      <c r="BG45" s="15"/>
      <c r="BH45" s="15"/>
      <c r="BI45" s="15"/>
      <c r="BJ45" s="15"/>
      <c r="BK45" s="15"/>
      <c r="BL45" s="15"/>
      <c r="BM45" s="15"/>
      <c r="BN45" s="15">
        <f>(13.09+16.52+15.96)/3*0.5</f>
        <v>7.5949999999999998</v>
      </c>
      <c r="BO45" s="15">
        <f>(108.8+104.54+72.27)/3*0.5</f>
        <v>47.601666666666667</v>
      </c>
      <c r="BP45" s="15">
        <f>SUM(BM45:BO45)</f>
        <v>55.196666666666665</v>
      </c>
      <c r="BQ45" s="15"/>
      <c r="BR45" s="15"/>
      <c r="BS45" s="15"/>
      <c r="BT45" s="15"/>
      <c r="BU45" s="15"/>
      <c r="BV45" s="15"/>
      <c r="BW45" s="15"/>
      <c r="BX45" s="15"/>
      <c r="BY45" s="15"/>
      <c r="BZ45" s="15"/>
      <c r="CA45" s="15"/>
      <c r="CB45" s="15">
        <f>(0.39+0.07+0.22)/3*0.5</f>
        <v>0.11333333333333334</v>
      </c>
      <c r="CC45" s="15">
        <f>(1.67+0.22+0.71)/3*0.5</f>
        <v>0.43333333333333329</v>
      </c>
      <c r="CD45" s="15"/>
      <c r="CE45" s="15">
        <f>SUM(CA45:CD45)</f>
        <v>0.54666666666666663</v>
      </c>
      <c r="CF45" s="15"/>
      <c r="CG45" s="15"/>
      <c r="CH45" s="15"/>
      <c r="CI45" s="15"/>
      <c r="CJ45" s="15"/>
      <c r="CK45" s="15"/>
      <c r="CL45" s="15"/>
      <c r="CM45" s="15"/>
      <c r="CN45" s="18" t="s">
        <v>141</v>
      </c>
      <c r="CO45" s="18" t="s">
        <v>3</v>
      </c>
      <c r="CP45" s="24" t="s">
        <v>140</v>
      </c>
      <c r="CQ45" s="23" t="s">
        <v>1</v>
      </c>
    </row>
    <row r="46" spans="1:95" s="12" customFormat="1" ht="13">
      <c r="A46" s="18">
        <v>43</v>
      </c>
      <c r="B46" s="18" t="s">
        <v>76</v>
      </c>
      <c r="C46" s="18" t="s">
        <v>453</v>
      </c>
      <c r="D46" s="15" t="s">
        <v>139</v>
      </c>
      <c r="E46" s="18" t="s">
        <v>138</v>
      </c>
      <c r="F46" s="18" t="s">
        <v>137</v>
      </c>
      <c r="G46" s="18">
        <v>2013</v>
      </c>
      <c r="H46" s="18">
        <v>2016</v>
      </c>
      <c r="I46" s="18">
        <v>1</v>
      </c>
      <c r="J46" s="18">
        <v>0</v>
      </c>
      <c r="K46" s="18">
        <v>0</v>
      </c>
      <c r="L46" s="18">
        <v>1</v>
      </c>
      <c r="M46" s="18">
        <v>0</v>
      </c>
      <c r="N46" s="18">
        <v>0</v>
      </c>
      <c r="O46" s="15">
        <v>15.9</v>
      </c>
      <c r="P46" s="15">
        <f>(O46-5)*12</f>
        <v>130.80000000000001</v>
      </c>
      <c r="Q46" s="15">
        <v>1833</v>
      </c>
      <c r="R46" s="15">
        <v>2.25</v>
      </c>
      <c r="S46" s="15">
        <v>84</v>
      </c>
      <c r="T46" s="15">
        <v>70.104166666666671</v>
      </c>
      <c r="U46" s="15">
        <v>2523.9333333333334</v>
      </c>
      <c r="V46" s="15">
        <v>2.8458333333333337</v>
      </c>
      <c r="W46" s="15"/>
      <c r="X46" s="15"/>
      <c r="Y46" s="15"/>
      <c r="Z46" s="15"/>
      <c r="AA46" s="15"/>
      <c r="AB46" s="15"/>
      <c r="AC46" s="15"/>
      <c r="AD46" s="15"/>
      <c r="AE46" s="15"/>
      <c r="AF46" s="15"/>
      <c r="AG46" s="15"/>
      <c r="AH46" s="15"/>
      <c r="AI46" s="15"/>
      <c r="AJ46" s="15"/>
      <c r="AK46" s="15"/>
      <c r="AL46" s="15"/>
      <c r="AM46" s="15"/>
      <c r="AN46" s="15"/>
      <c r="AO46" s="15"/>
      <c r="AP46" s="15"/>
      <c r="AQ46" s="15"/>
      <c r="AR46" s="15"/>
      <c r="AS46" s="15"/>
      <c r="AT46" s="15"/>
      <c r="AU46" s="18"/>
      <c r="AV46" s="15"/>
      <c r="AW46" s="15">
        <f>(10500+9900)/2</f>
        <v>10200</v>
      </c>
      <c r="AX46" s="15">
        <f>(9.3+9.3)/2</f>
        <v>9.3000000000000007</v>
      </c>
      <c r="AY46" s="15"/>
      <c r="AZ46" s="15">
        <f>(72.6+76.4)/2</f>
        <v>74.5</v>
      </c>
      <c r="BA46" s="15"/>
      <c r="BB46" s="15"/>
      <c r="BC46" s="15"/>
      <c r="BD46" s="15"/>
      <c r="BE46" s="15"/>
      <c r="BF46" s="15"/>
      <c r="BG46" s="15"/>
      <c r="BH46" s="15"/>
      <c r="BI46" s="15"/>
      <c r="BJ46" s="15"/>
      <c r="BK46" s="15"/>
      <c r="BL46" s="15"/>
      <c r="BM46" s="15"/>
      <c r="BN46" s="15"/>
      <c r="BO46" s="15"/>
      <c r="BP46" s="15">
        <f>(181+190.3)/2*0.5</f>
        <v>92.825000000000003</v>
      </c>
      <c r="BQ46" s="15"/>
      <c r="BR46" s="15"/>
      <c r="BS46" s="15"/>
      <c r="BT46" s="15"/>
      <c r="BU46" s="15"/>
      <c r="BV46" s="15"/>
      <c r="BW46" s="15"/>
      <c r="BX46" s="15"/>
      <c r="BY46" s="15"/>
      <c r="BZ46" s="15"/>
      <c r="CA46" s="15"/>
      <c r="CB46" s="15"/>
      <c r="CC46" s="15"/>
      <c r="CD46" s="15"/>
      <c r="CE46" s="15"/>
      <c r="CF46" s="15"/>
      <c r="CG46" s="15"/>
      <c r="CH46" s="15"/>
      <c r="CI46" s="15"/>
      <c r="CJ46" s="15"/>
      <c r="CK46" s="15"/>
      <c r="CL46" s="15"/>
      <c r="CM46" s="15"/>
      <c r="CN46" s="18" t="s">
        <v>136</v>
      </c>
      <c r="CO46" s="18" t="s">
        <v>17</v>
      </c>
      <c r="CP46" s="24" t="s">
        <v>135</v>
      </c>
      <c r="CQ46" s="23" t="s">
        <v>1</v>
      </c>
    </row>
    <row r="47" spans="1:95" s="12" customFormat="1" ht="13">
      <c r="A47" s="18">
        <v>44</v>
      </c>
      <c r="B47" s="18" t="s">
        <v>76</v>
      </c>
      <c r="C47" s="18" t="s">
        <v>134</v>
      </c>
      <c r="D47" s="15" t="s">
        <v>133</v>
      </c>
      <c r="E47" s="18" t="s">
        <v>132</v>
      </c>
      <c r="F47" s="18" t="s">
        <v>131</v>
      </c>
      <c r="G47" s="18">
        <v>2013</v>
      </c>
      <c r="H47" s="18">
        <v>2016</v>
      </c>
      <c r="I47" s="18">
        <v>0</v>
      </c>
      <c r="J47" s="18">
        <v>0</v>
      </c>
      <c r="K47" s="18">
        <v>0</v>
      </c>
      <c r="L47" s="18">
        <v>0</v>
      </c>
      <c r="M47" s="18">
        <v>0</v>
      </c>
      <c r="N47" s="18">
        <v>0</v>
      </c>
      <c r="O47" s="15">
        <v>15.9</v>
      </c>
      <c r="P47" s="15">
        <f>(O47-5)*12</f>
        <v>130.80000000000001</v>
      </c>
      <c r="Q47" s="15">
        <v>1833</v>
      </c>
      <c r="R47" s="15">
        <v>2.25</v>
      </c>
      <c r="S47" s="15">
        <v>84</v>
      </c>
      <c r="T47" s="15">
        <v>70.104166666666671</v>
      </c>
      <c r="U47" s="15">
        <v>2523.9333333333334</v>
      </c>
      <c r="V47" s="15">
        <v>2.8458333333333337</v>
      </c>
      <c r="W47" s="15"/>
      <c r="X47" s="15"/>
      <c r="Y47" s="15"/>
      <c r="Z47" s="15"/>
      <c r="AA47" s="15"/>
      <c r="AB47" s="15"/>
      <c r="AC47" s="15"/>
      <c r="AD47" s="15"/>
      <c r="AE47" s="15"/>
      <c r="AF47" s="15"/>
      <c r="AG47" s="15"/>
      <c r="AH47" s="15"/>
      <c r="AI47" s="15"/>
      <c r="AJ47" s="15"/>
      <c r="AK47" s="15"/>
      <c r="AL47" s="15"/>
      <c r="AM47" s="15"/>
      <c r="AN47" s="15"/>
      <c r="AO47" s="15"/>
      <c r="AP47" s="15"/>
      <c r="AQ47" s="15"/>
      <c r="AR47" s="15"/>
      <c r="AS47" s="15"/>
      <c r="AT47" s="15"/>
      <c r="AU47" s="18"/>
      <c r="AV47" s="15"/>
      <c r="AW47" s="15">
        <f>(8000+8500)/2</f>
        <v>8250</v>
      </c>
      <c r="AX47" s="15">
        <f>(11.1+11.6)/2</f>
        <v>11.35</v>
      </c>
      <c r="AY47" s="15"/>
      <c r="AZ47" s="15">
        <f>(86.5+85.9)/2</f>
        <v>86.2</v>
      </c>
      <c r="BA47" s="15"/>
      <c r="BB47" s="15"/>
      <c r="BC47" s="15"/>
      <c r="BD47" s="15"/>
      <c r="BE47" s="15"/>
      <c r="BF47" s="15"/>
      <c r="BG47" s="15"/>
      <c r="BH47" s="15"/>
      <c r="BI47" s="15"/>
      <c r="BJ47" s="15"/>
      <c r="BK47" s="15"/>
      <c r="BL47" s="15"/>
      <c r="BM47" s="15"/>
      <c r="BN47" s="15"/>
      <c r="BO47" s="15"/>
      <c r="BP47" s="15">
        <f>(222.6+220.1)/2*0.5</f>
        <v>110.675</v>
      </c>
      <c r="BQ47" s="15"/>
      <c r="BR47" s="15"/>
      <c r="BS47" s="15"/>
      <c r="BT47" s="15"/>
      <c r="BU47" s="15"/>
      <c r="BV47" s="15"/>
      <c r="BW47" s="15"/>
      <c r="BX47" s="15"/>
      <c r="BY47" s="15"/>
      <c r="BZ47" s="15"/>
      <c r="CA47" s="15"/>
      <c r="CB47" s="15"/>
      <c r="CC47" s="15"/>
      <c r="CD47" s="15"/>
      <c r="CE47" s="15"/>
      <c r="CF47" s="15"/>
      <c r="CG47" s="15"/>
      <c r="CH47" s="15"/>
      <c r="CI47" s="15"/>
      <c r="CJ47" s="15"/>
      <c r="CK47" s="15"/>
      <c r="CL47" s="15"/>
      <c r="CM47" s="15"/>
      <c r="CN47" s="18" t="s">
        <v>130</v>
      </c>
      <c r="CO47" s="18" t="s">
        <v>17</v>
      </c>
      <c r="CP47" s="24" t="s">
        <v>129</v>
      </c>
      <c r="CQ47" s="23" t="s">
        <v>30</v>
      </c>
    </row>
    <row r="48" spans="1:95" s="12" customFormat="1" ht="13">
      <c r="A48" s="18">
        <v>45</v>
      </c>
      <c r="B48" s="18" t="s">
        <v>76</v>
      </c>
      <c r="C48" s="18" t="s">
        <v>99</v>
      </c>
      <c r="D48" s="15" t="s">
        <v>93</v>
      </c>
      <c r="E48" s="18" t="s">
        <v>128</v>
      </c>
      <c r="F48" s="18" t="s">
        <v>127</v>
      </c>
      <c r="G48" s="18">
        <v>1983</v>
      </c>
      <c r="H48" s="18">
        <v>1987</v>
      </c>
      <c r="I48" s="18">
        <v>1</v>
      </c>
      <c r="J48" s="18">
        <v>0</v>
      </c>
      <c r="K48" s="18">
        <v>0</v>
      </c>
      <c r="L48" s="18">
        <v>0</v>
      </c>
      <c r="M48" s="18">
        <v>1</v>
      </c>
      <c r="N48" s="18">
        <v>0</v>
      </c>
      <c r="O48" s="15">
        <v>15.375</v>
      </c>
      <c r="P48" s="15">
        <v>127.08</v>
      </c>
      <c r="Q48" s="15">
        <v>1487.6</v>
      </c>
      <c r="R48" s="15">
        <v>27.2</v>
      </c>
      <c r="S48" s="15">
        <v>65</v>
      </c>
      <c r="T48" s="15">
        <v>65.75</v>
      </c>
      <c r="U48" s="15">
        <v>1989.38</v>
      </c>
      <c r="V48" s="15">
        <v>1.691667</v>
      </c>
      <c r="W48" s="15"/>
      <c r="X48" s="15"/>
      <c r="Y48" s="15"/>
      <c r="Z48" s="15"/>
      <c r="AA48" s="15"/>
      <c r="AB48" s="15"/>
      <c r="AC48" s="15"/>
      <c r="AD48" s="15"/>
      <c r="AE48" s="15"/>
      <c r="AF48" s="15"/>
      <c r="AG48" s="15"/>
      <c r="AH48" s="15"/>
      <c r="AI48" s="15"/>
      <c r="AJ48" s="15"/>
      <c r="AK48" s="15"/>
      <c r="AL48" s="15"/>
      <c r="AM48" s="15"/>
      <c r="AN48" s="15"/>
      <c r="AO48" s="15"/>
      <c r="AP48" s="15"/>
      <c r="AQ48" s="15"/>
      <c r="AR48" s="15"/>
      <c r="AS48" s="15"/>
      <c r="AT48" s="15"/>
      <c r="AU48" s="18"/>
      <c r="AV48" s="15"/>
      <c r="AW48" s="15">
        <v>3000</v>
      </c>
      <c r="AX48" s="15"/>
      <c r="AY48" s="15"/>
      <c r="AZ48" s="15"/>
      <c r="BA48" s="15"/>
      <c r="BB48" s="15"/>
      <c r="BC48" s="15"/>
      <c r="BD48" s="15"/>
      <c r="BE48" s="15"/>
      <c r="BF48" s="15"/>
      <c r="BG48" s="15"/>
      <c r="BH48" s="15"/>
      <c r="BI48" s="15"/>
      <c r="BJ48" s="15"/>
      <c r="BK48" s="15"/>
      <c r="BL48" s="15"/>
      <c r="BM48" s="15">
        <f>22.8*50%</f>
        <v>11.4</v>
      </c>
      <c r="BN48" s="15">
        <f>15.5*50%</f>
        <v>7.75</v>
      </c>
      <c r="BO48" s="15">
        <f>30.2*50%</f>
        <v>15.1</v>
      </c>
      <c r="BP48" s="15">
        <f>80.3*50%</f>
        <v>40.15</v>
      </c>
      <c r="BQ48" s="15"/>
      <c r="BR48" s="15"/>
      <c r="BS48" s="15"/>
      <c r="BT48" s="15"/>
      <c r="BU48" s="15"/>
      <c r="BV48" s="15"/>
      <c r="BW48" s="15"/>
      <c r="BX48" s="15"/>
      <c r="BY48" s="15"/>
      <c r="BZ48" s="15"/>
      <c r="CA48" s="15">
        <f>22.8/5*50%</f>
        <v>2.2800000000000002</v>
      </c>
      <c r="CB48" s="15">
        <f>15.5/5*50%</f>
        <v>1.55</v>
      </c>
      <c r="CC48" s="15">
        <f>30.2/5*50%</f>
        <v>3.02</v>
      </c>
      <c r="CD48" s="15">
        <f>(589.9+652.3)/2*100*100/1000/1000*50%</f>
        <v>3.1054999999999997</v>
      </c>
      <c r="CE48" s="15">
        <f>80.3/5*50%</f>
        <v>8.0299999999999994</v>
      </c>
      <c r="CF48" s="15"/>
      <c r="CG48" s="15"/>
      <c r="CH48" s="15"/>
      <c r="CI48" s="15"/>
      <c r="CJ48" s="15"/>
      <c r="CK48" s="15"/>
      <c r="CL48" s="15"/>
      <c r="CM48" s="15"/>
      <c r="CN48" s="18" t="s">
        <v>126</v>
      </c>
      <c r="CO48" s="18" t="s">
        <v>17</v>
      </c>
      <c r="CP48" s="24" t="s">
        <v>95</v>
      </c>
      <c r="CQ48" s="23" t="s">
        <v>30</v>
      </c>
    </row>
    <row r="49" spans="1:95" s="12" customFormat="1" ht="13">
      <c r="A49" s="18">
        <v>46</v>
      </c>
      <c r="B49" s="18" t="s">
        <v>76</v>
      </c>
      <c r="C49" s="18" t="s">
        <v>99</v>
      </c>
      <c r="D49" s="15" t="s">
        <v>93</v>
      </c>
      <c r="E49" s="18" t="s">
        <v>125</v>
      </c>
      <c r="F49" s="18" t="s">
        <v>124</v>
      </c>
      <c r="G49" s="18">
        <v>1984</v>
      </c>
      <c r="H49" s="18">
        <v>1985</v>
      </c>
      <c r="I49" s="18">
        <v>0</v>
      </c>
      <c r="J49" s="18">
        <v>0</v>
      </c>
      <c r="K49" s="18">
        <v>0</v>
      </c>
      <c r="L49" s="18">
        <v>0</v>
      </c>
      <c r="M49" s="18">
        <v>0</v>
      </c>
      <c r="N49" s="18">
        <v>0</v>
      </c>
      <c r="O49" s="15">
        <v>15.304169999999999</v>
      </c>
      <c r="P49" s="15">
        <v>127.35</v>
      </c>
      <c r="Q49" s="15">
        <v>1380.5</v>
      </c>
      <c r="R49" s="15">
        <v>42.5</v>
      </c>
      <c r="S49" s="15">
        <v>65</v>
      </c>
      <c r="T49" s="15">
        <v>66.166669999999996</v>
      </c>
      <c r="U49" s="15">
        <v>1959.95</v>
      </c>
      <c r="V49" s="15">
        <v>1.745833</v>
      </c>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8"/>
      <c r="AV49" s="15"/>
      <c r="AW49" s="15">
        <f>(8536+8617+4803)/3</f>
        <v>7318.666666666667</v>
      </c>
      <c r="AX49" s="15">
        <f>(8.3+12.9+10)/3</f>
        <v>10.4</v>
      </c>
      <c r="AY49" s="15"/>
      <c r="AZ49" s="15">
        <f>(31.9+108+42.1)/3</f>
        <v>60.666666666666664</v>
      </c>
      <c r="BA49" s="15"/>
      <c r="BB49" s="15"/>
      <c r="BC49" s="15"/>
      <c r="BD49" s="15"/>
      <c r="BE49" s="15"/>
      <c r="BF49" s="15"/>
      <c r="BG49" s="15"/>
      <c r="BH49" s="15"/>
      <c r="BI49" s="15"/>
      <c r="BJ49" s="15"/>
      <c r="BK49" s="15"/>
      <c r="BL49" s="15"/>
      <c r="BM49" s="15"/>
      <c r="BN49" s="15"/>
      <c r="BO49" s="15">
        <f>(80.1+218+67.1)/3*50%</f>
        <v>60.866666666666674</v>
      </c>
      <c r="BP49" s="15"/>
      <c r="BQ49" s="15"/>
      <c r="BR49" s="15"/>
      <c r="BS49" s="15"/>
      <c r="BT49" s="15"/>
      <c r="BU49" s="15"/>
      <c r="BV49" s="15"/>
      <c r="BW49" s="15"/>
      <c r="BX49" s="15"/>
      <c r="BY49" s="15"/>
      <c r="BZ49" s="15"/>
      <c r="CA49" s="15"/>
      <c r="CB49" s="15"/>
      <c r="CC49" s="15"/>
      <c r="CD49" s="15"/>
      <c r="CE49" s="15"/>
      <c r="CF49" s="15"/>
      <c r="CG49" s="15"/>
      <c r="CH49" s="15"/>
      <c r="CI49" s="15"/>
      <c r="CJ49" s="15"/>
      <c r="CK49" s="15"/>
      <c r="CL49" s="15"/>
      <c r="CM49" s="15"/>
      <c r="CN49" s="18" t="s">
        <v>123</v>
      </c>
      <c r="CO49" s="18" t="s">
        <v>17</v>
      </c>
      <c r="CP49" s="24" t="s">
        <v>102</v>
      </c>
      <c r="CQ49" s="23" t="s">
        <v>1</v>
      </c>
    </row>
    <row r="50" spans="1:95" s="12" customFormat="1" ht="13">
      <c r="A50" s="18">
        <v>47</v>
      </c>
      <c r="B50" s="18" t="s">
        <v>76</v>
      </c>
      <c r="C50" s="18" t="s">
        <v>99</v>
      </c>
      <c r="D50" s="15" t="s">
        <v>93</v>
      </c>
      <c r="E50" s="18" t="s">
        <v>122</v>
      </c>
      <c r="F50" s="18" t="s">
        <v>121</v>
      </c>
      <c r="G50" s="18">
        <v>2009</v>
      </c>
      <c r="H50" s="18">
        <v>2009</v>
      </c>
      <c r="I50" s="18">
        <v>0</v>
      </c>
      <c r="J50" s="18">
        <v>0</v>
      </c>
      <c r="K50" s="18">
        <v>0</v>
      </c>
      <c r="L50" s="18">
        <v>0</v>
      </c>
      <c r="M50" s="18">
        <v>0</v>
      </c>
      <c r="N50" s="18">
        <v>0</v>
      </c>
      <c r="O50" s="15">
        <v>16.100000000000001</v>
      </c>
      <c r="P50" s="15">
        <v>133.19999999999999</v>
      </c>
      <c r="Q50" s="15">
        <v>1457.5</v>
      </c>
      <c r="R50" s="15">
        <v>2</v>
      </c>
      <c r="S50" s="15">
        <v>132</v>
      </c>
      <c r="T50" s="15">
        <v>62</v>
      </c>
      <c r="U50" s="15">
        <v>1775</v>
      </c>
      <c r="V50" s="15">
        <v>2.0583330000000002</v>
      </c>
      <c r="W50" s="15"/>
      <c r="X50" s="15"/>
      <c r="Y50" s="15"/>
      <c r="Z50" s="15"/>
      <c r="AA50" s="15"/>
      <c r="AB50" s="15"/>
      <c r="AC50" s="15"/>
      <c r="AD50" s="15"/>
      <c r="AE50" s="15"/>
      <c r="AF50" s="15"/>
      <c r="AG50" s="15"/>
      <c r="AH50" s="15"/>
      <c r="AI50" s="15"/>
      <c r="AJ50" s="15"/>
      <c r="AK50" s="15"/>
      <c r="AL50" s="15"/>
      <c r="AM50" s="15"/>
      <c r="AN50" s="15"/>
      <c r="AO50" s="15"/>
      <c r="AP50" s="15"/>
      <c r="AQ50" s="15"/>
      <c r="AR50" s="15"/>
      <c r="AS50" s="15"/>
      <c r="AT50" s="15"/>
      <c r="AU50" s="18"/>
      <c r="AV50" s="15"/>
      <c r="AW50" s="15">
        <v>5400</v>
      </c>
      <c r="AX50" s="15">
        <v>8</v>
      </c>
      <c r="AY50" s="15">
        <v>12.1</v>
      </c>
      <c r="AZ50" s="15">
        <f>(AX50/2)^2*PI()*AW50/10000</f>
        <v>27.143360527015815</v>
      </c>
      <c r="BA50" s="15"/>
      <c r="BB50" s="15"/>
      <c r="BC50" s="15"/>
      <c r="BD50" s="15"/>
      <c r="BE50" s="15"/>
      <c r="BF50" s="15"/>
      <c r="BG50" s="15"/>
      <c r="BH50" s="15"/>
      <c r="BI50" s="15"/>
      <c r="BJ50" s="15"/>
      <c r="BK50" s="15"/>
      <c r="BL50" s="15"/>
      <c r="BM50" s="15"/>
      <c r="BN50" s="15">
        <f>2.6*5400/1000</f>
        <v>14.04</v>
      </c>
      <c r="BO50" s="15">
        <f>8.9*5400/1000</f>
        <v>48.06</v>
      </c>
      <c r="BP50" s="15">
        <f>11.6*5400/1000</f>
        <v>62.64</v>
      </c>
      <c r="BQ50" s="15"/>
      <c r="BR50" s="15"/>
      <c r="BS50" s="15"/>
      <c r="BT50" s="15"/>
      <c r="BU50" s="15"/>
      <c r="BV50" s="15"/>
      <c r="BW50" s="15"/>
      <c r="BX50" s="15"/>
      <c r="BY50" s="15"/>
      <c r="BZ50" s="15"/>
      <c r="CA50" s="15"/>
      <c r="CB50" s="15"/>
      <c r="CC50" s="15"/>
      <c r="CD50" s="15"/>
      <c r="CE50" s="15"/>
      <c r="CF50" s="15"/>
      <c r="CG50" s="15"/>
      <c r="CH50" s="15"/>
      <c r="CI50" s="15"/>
      <c r="CJ50" s="15"/>
      <c r="CK50" s="15"/>
      <c r="CL50" s="15"/>
      <c r="CM50" s="15"/>
      <c r="CN50" s="18" t="s">
        <v>120</v>
      </c>
      <c r="CO50" s="18" t="s">
        <v>17</v>
      </c>
      <c r="CP50" s="24" t="s">
        <v>119</v>
      </c>
      <c r="CQ50" s="23" t="s">
        <v>1</v>
      </c>
    </row>
    <row r="51" spans="1:95" s="12" customFormat="1" ht="13">
      <c r="A51" s="18">
        <v>48</v>
      </c>
      <c r="B51" s="18" t="s">
        <v>76</v>
      </c>
      <c r="C51" s="18" t="s">
        <v>99</v>
      </c>
      <c r="D51" s="15" t="s">
        <v>118</v>
      </c>
      <c r="E51" s="18" t="s">
        <v>117</v>
      </c>
      <c r="F51" s="18" t="s">
        <v>116</v>
      </c>
      <c r="G51" s="18">
        <v>2019</v>
      </c>
      <c r="H51" s="18">
        <v>2019</v>
      </c>
      <c r="I51" s="18">
        <v>1</v>
      </c>
      <c r="J51" s="18">
        <v>0</v>
      </c>
      <c r="K51" s="18">
        <v>1</v>
      </c>
      <c r="L51" s="18">
        <v>1</v>
      </c>
      <c r="M51" s="18">
        <v>0</v>
      </c>
      <c r="N51" s="18">
        <v>0</v>
      </c>
      <c r="O51" s="15">
        <v>16.91</v>
      </c>
      <c r="P51" s="15">
        <v>142.9</v>
      </c>
      <c r="Q51" s="15">
        <v>1407.5</v>
      </c>
      <c r="R51" s="15">
        <v>7</v>
      </c>
      <c r="S51" s="15">
        <v>65</v>
      </c>
      <c r="T51" s="15">
        <v>66.75</v>
      </c>
      <c r="U51" s="15">
        <v>1817.3</v>
      </c>
      <c r="V51" s="15">
        <v>2.1</v>
      </c>
      <c r="W51" s="15"/>
      <c r="X51" s="15"/>
      <c r="Y51" s="15"/>
      <c r="Z51" s="15"/>
      <c r="AA51" s="15"/>
      <c r="AB51" s="15"/>
      <c r="AC51" s="15"/>
      <c r="AD51" s="15"/>
      <c r="AE51" s="15"/>
      <c r="AF51" s="15"/>
      <c r="AG51" s="15"/>
      <c r="AH51" s="15"/>
      <c r="AI51" s="15"/>
      <c r="AJ51" s="15"/>
      <c r="AK51" s="15"/>
      <c r="AL51" s="15"/>
      <c r="AM51" s="15"/>
      <c r="AN51" s="15"/>
      <c r="AO51" s="15"/>
      <c r="AP51" s="15"/>
      <c r="AQ51" s="15"/>
      <c r="AR51" s="15"/>
      <c r="AS51" s="15"/>
      <c r="AT51" s="15"/>
      <c r="AU51" s="18"/>
      <c r="AV51" s="15"/>
      <c r="AW51" s="15">
        <v>9184</v>
      </c>
      <c r="AX51" s="15">
        <v>9.6999999999999993</v>
      </c>
      <c r="AY51" s="15"/>
      <c r="AZ51" s="15">
        <v>69.7</v>
      </c>
      <c r="BA51" s="15"/>
      <c r="BB51" s="15"/>
      <c r="BC51" s="15"/>
      <c r="BD51" s="15"/>
      <c r="BE51" s="15"/>
      <c r="BF51" s="15"/>
      <c r="BG51" s="15"/>
      <c r="BH51" s="15"/>
      <c r="BI51" s="15"/>
      <c r="BJ51" s="15"/>
      <c r="BK51" s="15"/>
      <c r="BL51" s="15"/>
      <c r="BM51" s="15">
        <v>1.7</v>
      </c>
      <c r="BN51" s="15">
        <v>5.8</v>
      </c>
      <c r="BO51" s="15">
        <v>60.9</v>
      </c>
      <c r="BP51" s="15">
        <v>68.400000000000006</v>
      </c>
      <c r="BQ51" s="15">
        <v>0.36</v>
      </c>
      <c r="BR51" s="15">
        <v>5.0999999999999996</v>
      </c>
      <c r="BS51" s="15">
        <v>12.8</v>
      </c>
      <c r="BT51" s="15">
        <v>6.7</v>
      </c>
      <c r="BU51" s="15">
        <v>24.6</v>
      </c>
      <c r="BV51" s="15">
        <v>93</v>
      </c>
      <c r="BW51" s="15"/>
      <c r="BX51" s="15"/>
      <c r="BY51" s="15"/>
      <c r="BZ51" s="15"/>
      <c r="CA51" s="15"/>
      <c r="CB51" s="15"/>
      <c r="CC51" s="15"/>
      <c r="CD51" s="15"/>
      <c r="CE51" s="15"/>
      <c r="CF51" s="15"/>
      <c r="CG51" s="15"/>
      <c r="CH51" s="15"/>
      <c r="CI51" s="15"/>
      <c r="CJ51" s="15"/>
      <c r="CK51" s="15"/>
      <c r="CL51" s="15"/>
      <c r="CM51" s="15"/>
      <c r="CN51" s="18" t="s">
        <v>115</v>
      </c>
      <c r="CO51" s="18" t="s">
        <v>3</v>
      </c>
      <c r="CP51" s="24"/>
      <c r="CQ51" s="23" t="s">
        <v>114</v>
      </c>
    </row>
    <row r="52" spans="1:95" s="12" customFormat="1" ht="13">
      <c r="A52" s="18">
        <v>49</v>
      </c>
      <c r="B52" s="18" t="s">
        <v>76</v>
      </c>
      <c r="C52" s="18" t="s">
        <v>99</v>
      </c>
      <c r="D52" s="15" t="s">
        <v>93</v>
      </c>
      <c r="E52" s="18" t="s">
        <v>113</v>
      </c>
      <c r="F52" s="18" t="s">
        <v>112</v>
      </c>
      <c r="G52" s="18">
        <v>1971</v>
      </c>
      <c r="H52" s="18">
        <v>1971</v>
      </c>
      <c r="I52" s="18">
        <v>1</v>
      </c>
      <c r="J52" s="18">
        <v>0</v>
      </c>
      <c r="K52" s="18">
        <v>1</v>
      </c>
      <c r="L52" s="18">
        <v>0</v>
      </c>
      <c r="M52" s="18">
        <v>0</v>
      </c>
      <c r="N52" s="18">
        <v>0</v>
      </c>
      <c r="O52" s="15">
        <v>15</v>
      </c>
      <c r="P52" s="15">
        <v>124.5</v>
      </c>
      <c r="Q52" s="15">
        <v>1600</v>
      </c>
      <c r="R52" s="15">
        <v>17</v>
      </c>
      <c r="S52" s="15">
        <v>65</v>
      </c>
      <c r="T52" s="15">
        <v>65.75</v>
      </c>
      <c r="U52" s="15">
        <v>1810</v>
      </c>
      <c r="V52" s="15">
        <v>1.858333</v>
      </c>
      <c r="W52" s="15"/>
      <c r="X52" s="15"/>
      <c r="Y52" s="15"/>
      <c r="Z52" s="15"/>
      <c r="AA52" s="15"/>
      <c r="AB52" s="15"/>
      <c r="AC52" s="15"/>
      <c r="AD52" s="15"/>
      <c r="AE52" s="15"/>
      <c r="AF52" s="15"/>
      <c r="AG52" s="15"/>
      <c r="AH52" s="15"/>
      <c r="AI52" s="15"/>
      <c r="AJ52" s="15"/>
      <c r="AK52" s="15"/>
      <c r="AL52" s="15"/>
      <c r="AM52" s="15"/>
      <c r="AN52" s="15"/>
      <c r="AO52" s="15"/>
      <c r="AP52" s="15"/>
      <c r="AQ52" s="15"/>
      <c r="AR52" s="15"/>
      <c r="AS52" s="15"/>
      <c r="AT52" s="15"/>
      <c r="AU52" s="18"/>
      <c r="AV52" s="15"/>
      <c r="AW52" s="15">
        <f>(4500+5100+8800)/3</f>
        <v>6133.333333333333</v>
      </c>
      <c r="AX52" s="15">
        <f>(8.3+9.3+9.2)/3</f>
        <v>8.9333333333333336</v>
      </c>
      <c r="AY52" s="15">
        <f>(12+13.2+13.3)/3</f>
        <v>12.833333333333334</v>
      </c>
      <c r="AZ52" s="15">
        <f>(AX52/2)^2*PI()*AW52/10000</f>
        <v>38.442668646540483</v>
      </c>
      <c r="BA52" s="15"/>
      <c r="BB52" s="15"/>
      <c r="BC52" s="15"/>
      <c r="BD52" s="15"/>
      <c r="BE52" s="15"/>
      <c r="BF52" s="15"/>
      <c r="BG52" s="15"/>
      <c r="BH52" s="15"/>
      <c r="BI52" s="15"/>
      <c r="BJ52" s="15"/>
      <c r="BK52" s="15"/>
      <c r="BL52" s="15"/>
      <c r="BM52" s="15">
        <f>3.1*50%</f>
        <v>1.55</v>
      </c>
      <c r="BN52" s="15">
        <f>7.3*50%</f>
        <v>3.65</v>
      </c>
      <c r="BO52" s="15">
        <f>40.6*50%</f>
        <v>20.3</v>
      </c>
      <c r="BP52" s="15">
        <f>SUM(BM52:BO52)</f>
        <v>25.5</v>
      </c>
      <c r="BQ52" s="15"/>
      <c r="BR52" s="15"/>
      <c r="BS52" s="15"/>
      <c r="BT52" s="15"/>
      <c r="BU52" s="15"/>
      <c r="BV52" s="15"/>
      <c r="BW52" s="15"/>
      <c r="BX52" s="15"/>
      <c r="BY52" s="15"/>
      <c r="BZ52" s="15"/>
      <c r="CA52" s="15">
        <f>3.1*50%</f>
        <v>1.55</v>
      </c>
      <c r="CB52" s="15">
        <f>7.3*50%</f>
        <v>3.65</v>
      </c>
      <c r="CC52" s="15">
        <f>40.6*50%</f>
        <v>20.3</v>
      </c>
      <c r="CD52" s="15">
        <f>SUM(BZ52:CB52)</f>
        <v>5.2</v>
      </c>
      <c r="CE52" s="15">
        <f>SUM(CA52:CC52)</f>
        <v>25.5</v>
      </c>
      <c r="CF52" s="15">
        <f>(2.2+4.1+1.5)/3*50%</f>
        <v>1.3</v>
      </c>
      <c r="CG52" s="15">
        <f>(3.4+6.4+2.4)/3*50%</f>
        <v>2.0333333333333337</v>
      </c>
      <c r="CH52" s="15"/>
      <c r="CI52" s="15">
        <f>SUM(CF52:CH52)</f>
        <v>3.3333333333333339</v>
      </c>
      <c r="CJ52" s="15">
        <f>CE52+CI52</f>
        <v>28.833333333333336</v>
      </c>
      <c r="CK52" s="15"/>
      <c r="CL52" s="15"/>
      <c r="CM52" s="15"/>
      <c r="CN52" s="18" t="s">
        <v>111</v>
      </c>
      <c r="CO52" s="18" t="s">
        <v>3</v>
      </c>
      <c r="CP52" s="18" t="s">
        <v>110</v>
      </c>
      <c r="CQ52" s="23" t="s">
        <v>1</v>
      </c>
    </row>
    <row r="53" spans="1:95" s="12" customFormat="1" ht="13">
      <c r="A53" s="18">
        <v>50</v>
      </c>
      <c r="B53" s="18" t="s">
        <v>76</v>
      </c>
      <c r="C53" s="18" t="s">
        <v>99</v>
      </c>
      <c r="D53" s="15" t="s">
        <v>93</v>
      </c>
      <c r="E53" s="18" t="s">
        <v>109</v>
      </c>
      <c r="F53" s="18" t="s">
        <v>108</v>
      </c>
      <c r="G53" s="18">
        <v>1983</v>
      </c>
      <c r="H53" s="18">
        <v>1987</v>
      </c>
      <c r="I53" s="18">
        <v>1</v>
      </c>
      <c r="J53" s="18">
        <v>0</v>
      </c>
      <c r="K53" s="18">
        <v>1</v>
      </c>
      <c r="L53" s="18">
        <v>0</v>
      </c>
      <c r="M53" s="18">
        <v>0</v>
      </c>
      <c r="N53" s="18">
        <v>0</v>
      </c>
      <c r="O53" s="15">
        <v>15.375</v>
      </c>
      <c r="P53" s="15">
        <v>127.08</v>
      </c>
      <c r="Q53" s="15">
        <v>1487.6</v>
      </c>
      <c r="R53" s="15">
        <v>27.2</v>
      </c>
      <c r="S53" s="15">
        <v>65</v>
      </c>
      <c r="T53" s="15">
        <v>65.75</v>
      </c>
      <c r="U53" s="15">
        <v>1989.38</v>
      </c>
      <c r="V53" s="15">
        <v>1.691667</v>
      </c>
      <c r="W53" s="15"/>
      <c r="X53" s="15"/>
      <c r="Y53" s="15"/>
      <c r="Z53" s="15"/>
      <c r="AA53" s="15"/>
      <c r="AB53" s="15"/>
      <c r="AC53" s="15"/>
      <c r="AD53" s="15"/>
      <c r="AE53" s="15"/>
      <c r="AF53" s="15"/>
      <c r="AG53" s="15"/>
      <c r="AH53" s="15"/>
      <c r="AI53" s="15"/>
      <c r="AJ53" s="15"/>
      <c r="AK53" s="15"/>
      <c r="AL53" s="15"/>
      <c r="AM53" s="15"/>
      <c r="AN53" s="15"/>
      <c r="AO53" s="15"/>
      <c r="AP53" s="15"/>
      <c r="AQ53" s="15"/>
      <c r="AR53" s="15"/>
      <c r="AS53" s="15"/>
      <c r="AT53" s="15"/>
      <c r="AU53" s="18"/>
      <c r="AV53" s="15"/>
      <c r="AW53" s="15">
        <v>7200</v>
      </c>
      <c r="AX53" s="15"/>
      <c r="AY53" s="15"/>
      <c r="AZ53" s="15"/>
      <c r="BA53" s="15"/>
      <c r="BB53" s="15"/>
      <c r="BC53" s="15"/>
      <c r="BD53" s="15"/>
      <c r="BE53" s="15"/>
      <c r="BF53" s="15"/>
      <c r="BG53" s="15"/>
      <c r="BH53" s="15"/>
      <c r="BI53" s="15"/>
      <c r="BJ53" s="15"/>
      <c r="BK53" s="15"/>
      <c r="BL53" s="15"/>
      <c r="BM53" s="15">
        <f>28.4*50%+BM55*40%</f>
        <v>14.2</v>
      </c>
      <c r="BN53" s="15">
        <f>13.1*50%+BN55*40%</f>
        <v>6.55</v>
      </c>
      <c r="BO53" s="15">
        <f>25.4*50%+BO55*40%</f>
        <v>40</v>
      </c>
      <c r="BP53" s="15">
        <f>SUM(BM53:BO53)</f>
        <v>60.75</v>
      </c>
      <c r="BQ53" s="15"/>
      <c r="BR53" s="15"/>
      <c r="BS53" s="15"/>
      <c r="BT53" s="15"/>
      <c r="BU53" s="15"/>
      <c r="BV53" s="15"/>
      <c r="BW53" s="15"/>
      <c r="BX53" s="15"/>
      <c r="BY53" s="15"/>
      <c r="BZ53" s="15"/>
      <c r="CA53" s="15">
        <f>28.4/5*50%</f>
        <v>2.84</v>
      </c>
      <c r="CB53" s="15">
        <f>13.1/5*50%</f>
        <v>1.31</v>
      </c>
      <c r="CC53" s="15">
        <f>25.4/5*50%</f>
        <v>2.54</v>
      </c>
      <c r="CD53" s="15">
        <f>(628.8+657.9)/2*100*100/1000/1000*50%</f>
        <v>3.2167499999999993</v>
      </c>
      <c r="CE53" s="15">
        <f>78.6/5*50%</f>
        <v>7.8599999999999994</v>
      </c>
      <c r="CF53" s="15"/>
      <c r="CG53" s="15"/>
      <c r="CH53" s="15"/>
      <c r="CI53" s="15"/>
      <c r="CJ53" s="15"/>
      <c r="CK53" s="15"/>
      <c r="CL53" s="15"/>
      <c r="CM53" s="15"/>
      <c r="CN53" s="18" t="s">
        <v>107</v>
      </c>
      <c r="CO53" s="18" t="s">
        <v>17</v>
      </c>
      <c r="CP53" s="24" t="s">
        <v>95</v>
      </c>
      <c r="CQ53" s="23" t="s">
        <v>30</v>
      </c>
    </row>
    <row r="54" spans="1:95" s="12" customFormat="1" ht="13">
      <c r="A54" s="18">
        <v>51</v>
      </c>
      <c r="B54" s="18" t="s">
        <v>76</v>
      </c>
      <c r="C54" s="18" t="s">
        <v>99</v>
      </c>
      <c r="D54" s="15" t="s">
        <v>93</v>
      </c>
      <c r="E54" s="18" t="s">
        <v>106</v>
      </c>
      <c r="F54" s="18" t="s">
        <v>105</v>
      </c>
      <c r="G54" s="18">
        <v>1984</v>
      </c>
      <c r="H54" s="18">
        <v>1985</v>
      </c>
      <c r="I54" s="18">
        <v>0</v>
      </c>
      <c r="J54" s="18">
        <v>0</v>
      </c>
      <c r="K54" s="18">
        <v>0</v>
      </c>
      <c r="L54" s="18">
        <v>0</v>
      </c>
      <c r="M54" s="18">
        <v>0</v>
      </c>
      <c r="N54" s="18">
        <v>0</v>
      </c>
      <c r="O54" s="15">
        <v>15.304169999999999</v>
      </c>
      <c r="P54" s="15">
        <v>127.35</v>
      </c>
      <c r="Q54" s="15">
        <v>1380.5</v>
      </c>
      <c r="R54" s="15">
        <v>42.5</v>
      </c>
      <c r="S54" s="15">
        <v>65</v>
      </c>
      <c r="T54" s="15">
        <v>66.166669999999996</v>
      </c>
      <c r="U54" s="15">
        <v>1959.95</v>
      </c>
      <c r="V54" s="15">
        <v>1.745833</v>
      </c>
      <c r="W54" s="15"/>
      <c r="X54" s="15"/>
      <c r="Y54" s="15"/>
      <c r="Z54" s="15"/>
      <c r="AA54" s="15"/>
      <c r="AB54" s="15"/>
      <c r="AC54" s="15"/>
      <c r="AD54" s="15"/>
      <c r="AE54" s="15"/>
      <c r="AF54" s="15"/>
      <c r="AG54" s="15"/>
      <c r="AH54" s="15"/>
      <c r="AI54" s="15"/>
      <c r="AJ54" s="15"/>
      <c r="AK54" s="15"/>
      <c r="AL54" s="15"/>
      <c r="AM54" s="15"/>
      <c r="AN54" s="15"/>
      <c r="AO54" s="15"/>
      <c r="AP54" s="15"/>
      <c r="AQ54" s="15"/>
      <c r="AR54" s="15"/>
      <c r="AS54" s="15"/>
      <c r="AT54" s="15"/>
      <c r="AU54" s="18"/>
      <c r="AV54" s="15"/>
      <c r="AW54" s="15">
        <f>(6045+6014+5488+6611+5751)/5</f>
        <v>5981.8</v>
      </c>
      <c r="AX54" s="15">
        <f>(13.5+11.5+13.2+12.8+12.3)/5</f>
        <v>12.66</v>
      </c>
      <c r="AY54" s="15"/>
      <c r="AZ54" s="15">
        <f>(71.9+53.7+60.9+77.7+66.2)/5</f>
        <v>66.08</v>
      </c>
      <c r="BA54" s="15"/>
      <c r="BB54" s="15"/>
      <c r="BC54" s="15"/>
      <c r="BD54" s="15"/>
      <c r="BE54" s="15"/>
      <c r="BF54" s="15"/>
      <c r="BG54" s="15"/>
      <c r="BH54" s="15"/>
      <c r="BI54" s="15"/>
      <c r="BJ54" s="15"/>
      <c r="BK54" s="15"/>
      <c r="BL54" s="15"/>
      <c r="BM54" s="15"/>
      <c r="BN54" s="15"/>
      <c r="BO54" s="15">
        <f>(161.7+113+139.6+118.3+132.7)/5*50%</f>
        <v>66.53</v>
      </c>
      <c r="BP54" s="15"/>
      <c r="BQ54" s="15"/>
      <c r="BR54" s="15"/>
      <c r="BS54" s="15"/>
      <c r="BT54" s="15"/>
      <c r="BU54" s="15"/>
      <c r="BV54" s="15"/>
      <c r="BW54" s="15"/>
      <c r="BX54" s="15"/>
      <c r="BY54" s="15"/>
      <c r="BZ54" s="15"/>
      <c r="CA54" s="15"/>
      <c r="CB54" s="15"/>
      <c r="CC54" s="15"/>
      <c r="CD54" s="15"/>
      <c r="CE54" s="15"/>
      <c r="CF54" s="15"/>
      <c r="CG54" s="15"/>
      <c r="CH54" s="15"/>
      <c r="CI54" s="15"/>
      <c r="CJ54" s="15"/>
      <c r="CK54" s="15"/>
      <c r="CL54" s="15"/>
      <c r="CM54" s="15"/>
      <c r="CN54" s="18" t="s">
        <v>103</v>
      </c>
      <c r="CO54" s="18" t="s">
        <v>17</v>
      </c>
      <c r="CP54" s="24" t="s">
        <v>102</v>
      </c>
      <c r="CQ54" s="23" t="s">
        <v>1</v>
      </c>
    </row>
    <row r="55" spans="1:95" s="12" customFormat="1" ht="13">
      <c r="A55" s="18">
        <v>52</v>
      </c>
      <c r="B55" s="18" t="s">
        <v>76</v>
      </c>
      <c r="C55" s="18" t="s">
        <v>99</v>
      </c>
      <c r="D55" s="15" t="s">
        <v>93</v>
      </c>
      <c r="E55" s="18" t="s">
        <v>460</v>
      </c>
      <c r="F55" s="18" t="s">
        <v>104</v>
      </c>
      <c r="G55" s="18">
        <v>1984</v>
      </c>
      <c r="H55" s="18">
        <v>1985</v>
      </c>
      <c r="I55" s="18">
        <v>0</v>
      </c>
      <c r="J55" s="18">
        <v>0</v>
      </c>
      <c r="K55" s="18">
        <v>0</v>
      </c>
      <c r="L55" s="18">
        <v>0</v>
      </c>
      <c r="M55" s="18">
        <v>0</v>
      </c>
      <c r="N55" s="18">
        <v>0</v>
      </c>
      <c r="O55" s="15">
        <v>15.304169999999999</v>
      </c>
      <c r="P55" s="15">
        <v>127.35</v>
      </c>
      <c r="Q55" s="15">
        <v>1380.5</v>
      </c>
      <c r="R55" s="15">
        <v>42.5</v>
      </c>
      <c r="S55" s="15">
        <v>65</v>
      </c>
      <c r="T55" s="15">
        <v>66.166669999999996</v>
      </c>
      <c r="U55" s="15">
        <v>1959.95</v>
      </c>
      <c r="V55" s="15">
        <v>1.745833</v>
      </c>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8"/>
      <c r="AV55" s="15"/>
      <c r="AW55" s="15">
        <f>5181</f>
        <v>5181</v>
      </c>
      <c r="AX55" s="15">
        <f>12.7</f>
        <v>12.7</v>
      </c>
      <c r="AY55" s="15"/>
      <c r="AZ55" s="15">
        <v>57.6</v>
      </c>
      <c r="BA55" s="15"/>
      <c r="BB55" s="15"/>
      <c r="BC55" s="15"/>
      <c r="BD55" s="15"/>
      <c r="BE55" s="15"/>
      <c r="BF55" s="15"/>
      <c r="BG55" s="15"/>
      <c r="BH55" s="15"/>
      <c r="BI55" s="15"/>
      <c r="BJ55" s="15"/>
      <c r="BK55" s="15"/>
      <c r="BL55" s="15"/>
      <c r="BM55" s="15"/>
      <c r="BN55" s="15"/>
      <c r="BO55" s="15">
        <f>136.5*50%</f>
        <v>68.25</v>
      </c>
      <c r="BP55" s="15"/>
      <c r="BQ55" s="15"/>
      <c r="BR55" s="15"/>
      <c r="BS55" s="15"/>
      <c r="BT55" s="15"/>
      <c r="BU55" s="15"/>
      <c r="BV55" s="15"/>
      <c r="BW55" s="15"/>
      <c r="BX55" s="15"/>
      <c r="BY55" s="15"/>
      <c r="BZ55" s="15"/>
      <c r="CA55" s="15"/>
      <c r="CB55" s="15"/>
      <c r="CC55" s="15"/>
      <c r="CD55" s="15"/>
      <c r="CE55" s="15"/>
      <c r="CF55" s="15"/>
      <c r="CG55" s="15"/>
      <c r="CH55" s="15"/>
      <c r="CI55" s="15"/>
      <c r="CJ55" s="15"/>
      <c r="CK55" s="15"/>
      <c r="CL55" s="15"/>
      <c r="CM55" s="15"/>
      <c r="CN55" s="18" t="s">
        <v>103</v>
      </c>
      <c r="CO55" s="18" t="s">
        <v>17</v>
      </c>
      <c r="CP55" s="24" t="s">
        <v>102</v>
      </c>
      <c r="CQ55" s="23" t="s">
        <v>30</v>
      </c>
    </row>
    <row r="56" spans="1:95" s="12" customFormat="1" ht="13">
      <c r="A56" s="18">
        <v>53</v>
      </c>
      <c r="B56" s="18" t="s">
        <v>76</v>
      </c>
      <c r="C56" s="18" t="s">
        <v>99</v>
      </c>
      <c r="D56" s="15" t="s">
        <v>93</v>
      </c>
      <c r="E56" s="18" t="s">
        <v>101</v>
      </c>
      <c r="F56" s="18" t="s">
        <v>100</v>
      </c>
      <c r="G56" s="18">
        <v>1983</v>
      </c>
      <c r="H56" s="18">
        <v>1983</v>
      </c>
      <c r="I56" s="18">
        <v>0</v>
      </c>
      <c r="J56" s="18">
        <v>0</v>
      </c>
      <c r="K56" s="18">
        <v>0</v>
      </c>
      <c r="L56" s="18">
        <v>0</v>
      </c>
      <c r="M56" s="18">
        <v>0</v>
      </c>
      <c r="N56" s="18">
        <v>0</v>
      </c>
      <c r="O56" s="15">
        <v>15.39167</v>
      </c>
      <c r="P56" s="15">
        <v>125.4</v>
      </c>
      <c r="Q56" s="15">
        <v>1928</v>
      </c>
      <c r="R56" s="15">
        <v>12</v>
      </c>
      <c r="S56" s="15">
        <v>65</v>
      </c>
      <c r="T56" s="15">
        <v>65.75</v>
      </c>
      <c r="U56" s="15">
        <v>2046.8</v>
      </c>
      <c r="V56" s="15">
        <v>1.558333</v>
      </c>
      <c r="W56" s="15"/>
      <c r="X56" s="15"/>
      <c r="Y56" s="15"/>
      <c r="Z56" s="15"/>
      <c r="AA56" s="15"/>
      <c r="AB56" s="15"/>
      <c r="AC56" s="15"/>
      <c r="AD56" s="15"/>
      <c r="AE56" s="15"/>
      <c r="AF56" s="15"/>
      <c r="AG56" s="15"/>
      <c r="AH56" s="15"/>
      <c r="AI56" s="15"/>
      <c r="AJ56" s="15"/>
      <c r="AK56" s="15"/>
      <c r="AL56" s="15"/>
      <c r="AM56" s="15"/>
      <c r="AN56" s="15"/>
      <c r="AO56" s="15"/>
      <c r="AP56" s="15"/>
      <c r="AQ56" s="15"/>
      <c r="AR56" s="15"/>
      <c r="AS56" s="15"/>
      <c r="AT56" s="15"/>
      <c r="AU56" s="18"/>
      <c r="AV56" s="15"/>
      <c r="AW56" s="15">
        <v>7200</v>
      </c>
      <c r="AX56" s="15">
        <v>9.6</v>
      </c>
      <c r="AY56" s="15">
        <v>13.6</v>
      </c>
      <c r="AZ56" s="15">
        <v>53.9</v>
      </c>
      <c r="BA56" s="15"/>
      <c r="BB56" s="15">
        <v>11.9</v>
      </c>
      <c r="BC56" s="15"/>
      <c r="BD56" s="15"/>
      <c r="BE56" s="15"/>
      <c r="BF56" s="15"/>
      <c r="BG56" s="15"/>
      <c r="BH56" s="15"/>
      <c r="BI56" s="15"/>
      <c r="BJ56" s="15"/>
      <c r="BK56" s="15"/>
      <c r="BL56" s="15"/>
      <c r="BM56" s="18">
        <f>5.3*50%</f>
        <v>2.65</v>
      </c>
      <c r="BN56" s="18">
        <f>13.2*50%</f>
        <v>6.6</v>
      </c>
      <c r="BO56" s="18">
        <f>76.6*50%</f>
        <v>38.299999999999997</v>
      </c>
      <c r="BP56" s="18">
        <f t="shared" ref="BP56:BP64" si="5">SUM(BM56:BO56)</f>
        <v>47.55</v>
      </c>
      <c r="BQ56" s="15"/>
      <c r="BR56" s="15"/>
      <c r="BS56" s="15"/>
      <c r="BT56" s="15"/>
      <c r="BU56" s="15"/>
      <c r="BV56" s="15"/>
      <c r="BW56" s="15"/>
      <c r="BX56" s="15"/>
      <c r="BY56" s="15"/>
      <c r="BZ56" s="15"/>
      <c r="CA56" s="18"/>
      <c r="CB56" s="18"/>
      <c r="CC56" s="18"/>
      <c r="CD56" s="18"/>
      <c r="CE56" s="18"/>
      <c r="CF56" s="15"/>
      <c r="CG56" s="15"/>
      <c r="CH56" s="15"/>
      <c r="CI56" s="15"/>
      <c r="CJ56" s="15"/>
      <c r="CK56" s="15"/>
      <c r="CL56" s="15"/>
      <c r="CM56" s="15"/>
      <c r="CN56" s="18" t="s">
        <v>96</v>
      </c>
      <c r="CO56" s="18" t="s">
        <v>17</v>
      </c>
      <c r="CP56" s="24" t="s">
        <v>95</v>
      </c>
      <c r="CQ56" s="23" t="s">
        <v>1</v>
      </c>
    </row>
    <row r="57" spans="1:95" s="12" customFormat="1" ht="13">
      <c r="A57" s="18">
        <v>54</v>
      </c>
      <c r="B57" s="18" t="s">
        <v>76</v>
      </c>
      <c r="C57" s="18" t="s">
        <v>99</v>
      </c>
      <c r="D57" s="15" t="s">
        <v>93</v>
      </c>
      <c r="E57" s="18" t="s">
        <v>98</v>
      </c>
      <c r="F57" s="18" t="s">
        <v>97</v>
      </c>
      <c r="G57" s="18">
        <v>1983</v>
      </c>
      <c r="H57" s="18">
        <v>1987</v>
      </c>
      <c r="I57" s="18">
        <v>0</v>
      </c>
      <c r="J57" s="18">
        <v>0</v>
      </c>
      <c r="K57" s="18">
        <v>0</v>
      </c>
      <c r="L57" s="18">
        <v>0</v>
      </c>
      <c r="M57" s="18">
        <v>0</v>
      </c>
      <c r="N57" s="18">
        <v>0</v>
      </c>
      <c r="O57" s="15">
        <v>15.375</v>
      </c>
      <c r="P57" s="15">
        <v>127.08</v>
      </c>
      <c r="Q57" s="15">
        <v>1487.6</v>
      </c>
      <c r="R57" s="15">
        <v>27.2</v>
      </c>
      <c r="S57" s="15">
        <v>65</v>
      </c>
      <c r="T57" s="15">
        <v>65.75</v>
      </c>
      <c r="U57" s="15">
        <v>1989.38</v>
      </c>
      <c r="V57" s="15">
        <v>1.691667</v>
      </c>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8"/>
      <c r="AV57" s="15"/>
      <c r="AW57" s="15">
        <v>8000</v>
      </c>
      <c r="AX57" s="15"/>
      <c r="AY57" s="15"/>
      <c r="AZ57" s="15"/>
      <c r="BA57" s="15"/>
      <c r="BB57" s="15"/>
      <c r="BC57" s="15"/>
      <c r="BD57" s="15"/>
      <c r="BE57" s="15"/>
      <c r="BF57" s="15"/>
      <c r="BG57" s="15"/>
      <c r="BH57" s="15"/>
      <c r="BI57" s="15"/>
      <c r="BJ57" s="15"/>
      <c r="BK57" s="15"/>
      <c r="BL57" s="15"/>
      <c r="BM57" s="15">
        <f>37.6*50%+BM58</f>
        <v>21.5258</v>
      </c>
      <c r="BN57" s="15">
        <f>14.3*50%+BN58</f>
        <v>14.651999999999999</v>
      </c>
      <c r="BO57" s="15">
        <f>27.4*50%+BO58</f>
        <v>69.154000000000011</v>
      </c>
      <c r="BP57" s="15">
        <f t="shared" si="5"/>
        <v>105.33180000000002</v>
      </c>
      <c r="BQ57" s="15"/>
      <c r="BR57" s="15"/>
      <c r="BS57" s="15"/>
      <c r="BT57" s="15"/>
      <c r="BU57" s="15"/>
      <c r="BV57" s="15"/>
      <c r="BW57" s="15"/>
      <c r="BX57" s="15"/>
      <c r="BY57" s="15"/>
      <c r="BZ57" s="15"/>
      <c r="CA57" s="15">
        <f>37.6/5*50%</f>
        <v>3.7600000000000002</v>
      </c>
      <c r="CB57" s="15">
        <f>14.3/5*50%</f>
        <v>1.4300000000000002</v>
      </c>
      <c r="CC57" s="15">
        <f>27.4/5*50%</f>
        <v>2.7399999999999998</v>
      </c>
      <c r="CD57" s="15">
        <f>(753+717)*100*100/1000/1000*50%</f>
        <v>7.35</v>
      </c>
      <c r="CE57" s="15">
        <f>91.1/5*50%</f>
        <v>9.11</v>
      </c>
      <c r="CF57" s="15"/>
      <c r="CG57" s="15"/>
      <c r="CH57" s="15"/>
      <c r="CI57" s="15"/>
      <c r="CJ57" s="15"/>
      <c r="CK57" s="15"/>
      <c r="CL57" s="15"/>
      <c r="CM57" s="15"/>
      <c r="CN57" s="18" t="s">
        <v>96</v>
      </c>
      <c r="CO57" s="18" t="s">
        <v>17</v>
      </c>
      <c r="CP57" s="24" t="s">
        <v>95</v>
      </c>
      <c r="CQ57" s="23" t="s">
        <v>1</v>
      </c>
    </row>
    <row r="58" spans="1:95" s="12" customFormat="1" ht="13">
      <c r="A58" s="18">
        <v>55</v>
      </c>
      <c r="B58" s="18" t="s">
        <v>76</v>
      </c>
      <c r="C58" s="18" t="s">
        <v>94</v>
      </c>
      <c r="D58" s="15" t="s">
        <v>93</v>
      </c>
      <c r="E58" s="18" t="s">
        <v>92</v>
      </c>
      <c r="F58" s="18" t="s">
        <v>91</v>
      </c>
      <c r="G58" s="18">
        <v>1982</v>
      </c>
      <c r="H58" s="18">
        <v>1991</v>
      </c>
      <c r="I58" s="18">
        <v>0</v>
      </c>
      <c r="J58" s="18">
        <v>0</v>
      </c>
      <c r="K58" s="18">
        <v>0</v>
      </c>
      <c r="L58" s="18">
        <v>0</v>
      </c>
      <c r="M58" s="18">
        <v>0</v>
      </c>
      <c r="N58" s="18">
        <v>0</v>
      </c>
      <c r="O58" s="15">
        <v>15.3</v>
      </c>
      <c r="P58" s="15">
        <f>(O58-5)*12</f>
        <v>123.60000000000001</v>
      </c>
      <c r="Q58" s="15">
        <v>1581</v>
      </c>
      <c r="R58" s="15">
        <v>20.5</v>
      </c>
      <c r="S58" s="15">
        <v>65</v>
      </c>
      <c r="T58" s="15">
        <v>67.00833333333334</v>
      </c>
      <c r="U58" s="15">
        <v>1872.7599999999998</v>
      </c>
      <c r="V58" s="15">
        <v>1.6700000000000008</v>
      </c>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8"/>
      <c r="AV58" s="15"/>
      <c r="AW58" s="15">
        <v>7100</v>
      </c>
      <c r="AX58" s="15">
        <v>11.3</v>
      </c>
      <c r="AY58" s="15"/>
      <c r="AZ58" s="15">
        <f>(AX58/2)^2*PI()*AW58/10000</f>
        <v>71.204118953796325</v>
      </c>
      <c r="BA58" s="15"/>
      <c r="BB58" s="15"/>
      <c r="BC58" s="15"/>
      <c r="BD58" s="15">
        <v>46.2</v>
      </c>
      <c r="BE58" s="15">
        <v>48.4</v>
      </c>
      <c r="BF58" s="15">
        <v>47.6</v>
      </c>
      <c r="BG58" s="15">
        <v>40.1</v>
      </c>
      <c r="BH58" s="15"/>
      <c r="BI58" s="15">
        <v>44.8</v>
      </c>
      <c r="BJ58" s="15"/>
      <c r="BK58" s="15"/>
      <c r="BL58" s="15"/>
      <c r="BM58" s="15">
        <f>5.9*BD58/100</f>
        <v>2.7258000000000004</v>
      </c>
      <c r="BN58" s="15">
        <f>15.5*BE58/100</f>
        <v>7.5019999999999989</v>
      </c>
      <c r="BO58" s="15">
        <f>116.5*BF58/100</f>
        <v>55.454000000000008</v>
      </c>
      <c r="BP58" s="15">
        <f t="shared" si="5"/>
        <v>65.68180000000001</v>
      </c>
      <c r="BQ58" s="15">
        <f>BU58/BP58</f>
        <v>0.2842416011741456</v>
      </c>
      <c r="BR58" s="15">
        <f>27.9*BG58/100</f>
        <v>11.187899999999999</v>
      </c>
      <c r="BS58" s="15">
        <f>16.7*BI58/100</f>
        <v>7.4815999999999994</v>
      </c>
      <c r="BT58" s="15"/>
      <c r="BU58" s="15">
        <f>SUM(BR58:BT58)</f>
        <v>18.669499999999999</v>
      </c>
      <c r="BV58" s="15">
        <f>BU58+BP58</f>
        <v>84.351300000000009</v>
      </c>
      <c r="BW58" s="15"/>
      <c r="BX58" s="15">
        <f>7+94.2</f>
        <v>101.2</v>
      </c>
      <c r="BY58" s="15"/>
      <c r="BZ58" s="15">
        <f>BV58+BX58</f>
        <v>185.55130000000003</v>
      </c>
      <c r="CA58" s="15">
        <f>2.06+0.99</f>
        <v>3.05</v>
      </c>
      <c r="CB58" s="15">
        <v>0.79</v>
      </c>
      <c r="CC58" s="15">
        <v>4.66</v>
      </c>
      <c r="CD58" s="15">
        <f>2+0.3+1</f>
        <v>3.3</v>
      </c>
      <c r="CE58" s="15">
        <f>SUM(CA58:CD58)</f>
        <v>11.8</v>
      </c>
      <c r="CF58" s="15">
        <v>11</v>
      </c>
      <c r="CG58" s="15"/>
      <c r="CH58" s="15"/>
      <c r="CI58" s="15">
        <f>SUM(CF58:CH58)</f>
        <v>11</v>
      </c>
      <c r="CJ58" s="15">
        <f>CI58+CE58</f>
        <v>22.8</v>
      </c>
      <c r="CK58" s="15">
        <f>52.3*12/44</f>
        <v>14.263636363636362</v>
      </c>
      <c r="CL58" s="15">
        <f>10.7+2.6</f>
        <v>13.299999999999999</v>
      </c>
      <c r="CM58" s="15">
        <f>CJ58-CL58</f>
        <v>9.5000000000000018</v>
      </c>
      <c r="CN58" s="18" t="s">
        <v>90</v>
      </c>
      <c r="CO58" s="18" t="s">
        <v>3</v>
      </c>
      <c r="CP58" s="24" t="s">
        <v>89</v>
      </c>
      <c r="CQ58" s="23" t="s">
        <v>1</v>
      </c>
    </row>
    <row r="59" spans="1:95" s="12" customFormat="1" ht="13">
      <c r="A59" s="18">
        <v>56</v>
      </c>
      <c r="B59" s="18" t="s">
        <v>76</v>
      </c>
      <c r="C59" s="18" t="s">
        <v>75</v>
      </c>
      <c r="D59" s="15" t="s">
        <v>68</v>
      </c>
      <c r="E59" s="18" t="s">
        <v>88</v>
      </c>
      <c r="F59" s="18" t="s">
        <v>87</v>
      </c>
      <c r="G59" s="18">
        <v>2005</v>
      </c>
      <c r="H59" s="18">
        <v>2005</v>
      </c>
      <c r="I59" s="18">
        <v>0</v>
      </c>
      <c r="J59" s="18">
        <v>0</v>
      </c>
      <c r="K59" s="18">
        <v>0</v>
      </c>
      <c r="L59" s="18">
        <v>0</v>
      </c>
      <c r="M59" s="18">
        <v>0</v>
      </c>
      <c r="N59" s="18">
        <v>0</v>
      </c>
      <c r="O59" s="15">
        <v>16.058330000000002</v>
      </c>
      <c r="P59" s="15">
        <v>133.30000000000001</v>
      </c>
      <c r="Q59" s="15">
        <v>953</v>
      </c>
      <c r="R59" s="15">
        <v>21</v>
      </c>
      <c r="S59" s="15">
        <v>270</v>
      </c>
      <c r="T59" s="15">
        <v>62</v>
      </c>
      <c r="U59" s="15">
        <v>1667.3</v>
      </c>
      <c r="V59" s="15">
        <v>1.433333</v>
      </c>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8"/>
      <c r="AV59" s="15"/>
      <c r="AW59" s="15">
        <v>8133</v>
      </c>
      <c r="AX59" s="15">
        <f>(12.2*1033+12.8*7100)/8133</f>
        <v>12.723791958686832</v>
      </c>
      <c r="AY59" s="15">
        <f>(18*1033+18.5*7100)/8133</f>
        <v>18.436493298905692</v>
      </c>
      <c r="AZ59" s="15">
        <f>(AX59/2)^2*PI()*AW59/10000</f>
        <v>103.41267510803563</v>
      </c>
      <c r="BA59" s="15"/>
      <c r="BB59" s="15"/>
      <c r="BC59" s="15"/>
      <c r="BD59" s="15"/>
      <c r="BE59" s="15"/>
      <c r="BF59" s="15"/>
      <c r="BG59" s="15"/>
      <c r="BH59" s="15"/>
      <c r="BI59" s="15"/>
      <c r="BJ59" s="15"/>
      <c r="BK59" s="15"/>
      <c r="BL59" s="15"/>
      <c r="BM59" s="15">
        <f>5.8*50%</f>
        <v>2.9</v>
      </c>
      <c r="BN59" s="15">
        <f>16.6*50%</f>
        <v>8.3000000000000007</v>
      </c>
      <c r="BO59" s="15">
        <f>194.8*50%</f>
        <v>97.4</v>
      </c>
      <c r="BP59" s="15">
        <f t="shared" si="5"/>
        <v>108.60000000000001</v>
      </c>
      <c r="BQ59" s="15"/>
      <c r="BR59" s="15"/>
      <c r="BS59" s="15"/>
      <c r="BT59" s="15"/>
      <c r="BU59" s="15"/>
      <c r="BV59" s="15"/>
      <c r="BW59" s="15"/>
      <c r="BX59" s="15"/>
      <c r="BY59" s="15"/>
      <c r="BZ59" s="15"/>
      <c r="CA59" s="15"/>
      <c r="CB59" s="15"/>
      <c r="CC59" s="15"/>
      <c r="CD59" s="15"/>
      <c r="CE59" s="15"/>
      <c r="CF59" s="15"/>
      <c r="CG59" s="15"/>
      <c r="CH59" s="15"/>
      <c r="CI59" s="15"/>
      <c r="CJ59" s="15"/>
      <c r="CK59" s="15"/>
      <c r="CL59" s="15"/>
      <c r="CM59" s="18"/>
      <c r="CN59" s="18" t="s">
        <v>86</v>
      </c>
      <c r="CO59" s="18" t="s">
        <v>17</v>
      </c>
      <c r="CP59" s="24" t="s">
        <v>81</v>
      </c>
      <c r="CQ59" s="23" t="s">
        <v>1</v>
      </c>
    </row>
    <row r="60" spans="1:95" s="12" customFormat="1" ht="13">
      <c r="A60" s="18">
        <v>57</v>
      </c>
      <c r="B60" s="18" t="s">
        <v>76</v>
      </c>
      <c r="C60" s="18" t="s">
        <v>75</v>
      </c>
      <c r="D60" s="15" t="s">
        <v>68</v>
      </c>
      <c r="E60" s="18" t="s">
        <v>85</v>
      </c>
      <c r="F60" s="18" t="s">
        <v>84</v>
      </c>
      <c r="G60" s="18">
        <v>2006</v>
      </c>
      <c r="H60" s="18">
        <v>2006</v>
      </c>
      <c r="I60" s="18">
        <v>1</v>
      </c>
      <c r="J60" s="18">
        <v>0</v>
      </c>
      <c r="K60" s="18">
        <v>0</v>
      </c>
      <c r="L60" s="18">
        <v>0</v>
      </c>
      <c r="M60" s="18">
        <v>0</v>
      </c>
      <c r="N60" s="18">
        <v>0</v>
      </c>
      <c r="O60" s="15">
        <v>16.175000000000001</v>
      </c>
      <c r="P60" s="15">
        <v>134.80000000000001</v>
      </c>
      <c r="Q60" s="15">
        <v>1568</v>
      </c>
      <c r="R60" s="15">
        <v>6</v>
      </c>
      <c r="S60" s="15">
        <v>270</v>
      </c>
      <c r="T60" s="15">
        <v>64.083330000000004</v>
      </c>
      <c r="U60" s="15">
        <v>1480.5</v>
      </c>
      <c r="V60" s="15">
        <v>1.5833330000000001</v>
      </c>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8"/>
      <c r="AV60" s="15"/>
      <c r="AW60" s="15">
        <v>7967</v>
      </c>
      <c r="AX60" s="15">
        <f>(12.9*167+12.7*7800)/7967</f>
        <v>12.70419229320949</v>
      </c>
      <c r="AY60" s="15">
        <f>(18.6*167+18.4*7800)/7967</f>
        <v>18.404192293209491</v>
      </c>
      <c r="AZ60" s="15">
        <f>(AX60/2)^2*PI()*AW60/10000</f>
        <v>100.99010318518286</v>
      </c>
      <c r="BA60" s="15"/>
      <c r="BB60" s="15"/>
      <c r="BC60" s="15"/>
      <c r="BD60" s="15"/>
      <c r="BE60" s="15"/>
      <c r="BF60" s="15"/>
      <c r="BG60" s="15"/>
      <c r="BH60" s="15"/>
      <c r="BI60" s="15"/>
      <c r="BJ60" s="15"/>
      <c r="BK60" s="15"/>
      <c r="BL60" s="15"/>
      <c r="BM60" s="15">
        <f>5.9*50%</f>
        <v>2.95</v>
      </c>
      <c r="BN60" s="15">
        <f>16.2*50%</f>
        <v>8.1</v>
      </c>
      <c r="BO60" s="15">
        <f>50%*195.2</f>
        <v>97.6</v>
      </c>
      <c r="BP60" s="15">
        <f t="shared" si="5"/>
        <v>108.64999999999999</v>
      </c>
      <c r="BQ60" s="15"/>
      <c r="BR60" s="15"/>
      <c r="BS60" s="15"/>
      <c r="BT60" s="15"/>
      <c r="BU60" s="15"/>
      <c r="BV60" s="15"/>
      <c r="BW60" s="15"/>
      <c r="BX60" s="15"/>
      <c r="BY60" s="15"/>
      <c r="BZ60" s="15"/>
      <c r="CA60" s="15"/>
      <c r="CB60" s="15"/>
      <c r="CC60" s="15"/>
      <c r="CD60" s="15"/>
      <c r="CE60" s="15"/>
      <c r="CF60" s="15"/>
      <c r="CG60" s="15"/>
      <c r="CH60" s="15"/>
      <c r="CI60" s="15"/>
      <c r="CJ60" s="15"/>
      <c r="CK60" s="15"/>
      <c r="CL60" s="15"/>
      <c r="CM60" s="18"/>
      <c r="CN60" s="18" t="s">
        <v>78</v>
      </c>
      <c r="CO60" s="18" t="s">
        <v>17</v>
      </c>
      <c r="CP60" s="24" t="s">
        <v>81</v>
      </c>
      <c r="CQ60" s="23" t="s">
        <v>1</v>
      </c>
    </row>
    <row r="61" spans="1:95" s="12" customFormat="1" ht="13">
      <c r="A61" s="18">
        <v>58</v>
      </c>
      <c r="B61" s="18" t="s">
        <v>76</v>
      </c>
      <c r="C61" s="18" t="s">
        <v>75</v>
      </c>
      <c r="D61" s="15" t="s">
        <v>68</v>
      </c>
      <c r="E61" s="18" t="s">
        <v>83</v>
      </c>
      <c r="F61" s="18" t="s">
        <v>82</v>
      </c>
      <c r="G61" s="18">
        <v>2007</v>
      </c>
      <c r="H61" s="18">
        <v>2007</v>
      </c>
      <c r="I61" s="18">
        <v>0</v>
      </c>
      <c r="J61" s="18">
        <v>0</v>
      </c>
      <c r="K61" s="18">
        <v>0</v>
      </c>
      <c r="L61" s="18">
        <v>0</v>
      </c>
      <c r="M61" s="18">
        <v>0</v>
      </c>
      <c r="N61" s="18">
        <v>0</v>
      </c>
      <c r="O61" s="15">
        <v>16.516670000000001</v>
      </c>
      <c r="P61" s="15">
        <v>138.19999999999999</v>
      </c>
      <c r="Q61" s="15">
        <v>1234</v>
      </c>
      <c r="R61" s="15">
        <v>0</v>
      </c>
      <c r="S61" s="15">
        <v>270</v>
      </c>
      <c r="T61" s="15">
        <v>61.833329999999997</v>
      </c>
      <c r="U61" s="15">
        <v>1997</v>
      </c>
      <c r="V61" s="15">
        <v>1.4583330000000001</v>
      </c>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8"/>
      <c r="AV61" s="15"/>
      <c r="AW61" s="15">
        <v>8133</v>
      </c>
      <c r="AX61" s="15">
        <f>(12.7*333+12.7*7800)/8133</f>
        <v>12.700000000000001</v>
      </c>
      <c r="AY61" s="15">
        <f>(18.5*333+18.4*7800)/8133</f>
        <v>18.404094430099594</v>
      </c>
      <c r="AZ61" s="15">
        <f>(AX61/2)^2*PI()*AW61/10000</f>
        <v>103.02629818749874</v>
      </c>
      <c r="BA61" s="15"/>
      <c r="BB61" s="15"/>
      <c r="BC61" s="15"/>
      <c r="BD61" s="15"/>
      <c r="BE61" s="15"/>
      <c r="BF61" s="15"/>
      <c r="BG61" s="15"/>
      <c r="BH61" s="15"/>
      <c r="BI61" s="15"/>
      <c r="BJ61" s="15"/>
      <c r="BK61" s="15"/>
      <c r="BL61" s="15"/>
      <c r="BM61" s="15">
        <f>5.9*50%</f>
        <v>2.95</v>
      </c>
      <c r="BN61" s="15">
        <f>16.5*50%</f>
        <v>8.25</v>
      </c>
      <c r="BO61" s="15">
        <f>50%*197.4</f>
        <v>98.7</v>
      </c>
      <c r="BP61" s="15">
        <f t="shared" si="5"/>
        <v>109.9</v>
      </c>
      <c r="BQ61" s="15"/>
      <c r="BR61" s="15"/>
      <c r="BS61" s="15"/>
      <c r="BT61" s="15"/>
      <c r="BU61" s="15"/>
      <c r="BV61" s="15"/>
      <c r="BW61" s="15"/>
      <c r="BX61" s="15"/>
      <c r="BY61" s="15"/>
      <c r="BZ61" s="15"/>
      <c r="CA61" s="15">
        <f t="shared" ref="CA61:CC62" si="6">BM61-BM60</f>
        <v>0</v>
      </c>
      <c r="CB61" s="15">
        <f t="shared" si="6"/>
        <v>0.15000000000000036</v>
      </c>
      <c r="CC61" s="15">
        <f t="shared" si="6"/>
        <v>1.1000000000000085</v>
      </c>
      <c r="CD61" s="18"/>
      <c r="CE61" s="15">
        <f>BP61-BP60</f>
        <v>1.2500000000000142</v>
      </c>
      <c r="CF61" s="15"/>
      <c r="CG61" s="15"/>
      <c r="CH61" s="15"/>
      <c r="CI61" s="15"/>
      <c r="CJ61" s="15"/>
      <c r="CK61" s="15"/>
      <c r="CL61" s="15"/>
      <c r="CM61" s="18"/>
      <c r="CN61" s="18" t="s">
        <v>78</v>
      </c>
      <c r="CO61" s="18" t="s">
        <v>17</v>
      </c>
      <c r="CP61" s="24" t="s">
        <v>81</v>
      </c>
      <c r="CQ61" s="23" t="s">
        <v>1</v>
      </c>
    </row>
    <row r="62" spans="1:95" s="12" customFormat="1" ht="13">
      <c r="A62" s="18">
        <v>59</v>
      </c>
      <c r="B62" s="18" t="s">
        <v>76</v>
      </c>
      <c r="C62" s="18" t="s">
        <v>75</v>
      </c>
      <c r="D62" s="15" t="s">
        <v>68</v>
      </c>
      <c r="E62" s="18" t="s">
        <v>80</v>
      </c>
      <c r="F62" s="18" t="s">
        <v>79</v>
      </c>
      <c r="G62" s="18">
        <v>2008</v>
      </c>
      <c r="H62" s="18">
        <v>2008</v>
      </c>
      <c r="I62" s="18">
        <v>0</v>
      </c>
      <c r="J62" s="18">
        <v>0</v>
      </c>
      <c r="K62" s="18">
        <v>0</v>
      </c>
      <c r="L62" s="18">
        <v>0</v>
      </c>
      <c r="M62" s="18">
        <v>0</v>
      </c>
      <c r="N62" s="25">
        <v>0</v>
      </c>
      <c r="O62" s="15">
        <v>16.033329999999999</v>
      </c>
      <c r="P62" s="15">
        <v>134</v>
      </c>
      <c r="Q62" s="15">
        <v>1606</v>
      </c>
      <c r="R62" s="15">
        <v>13</v>
      </c>
      <c r="S62" s="15">
        <v>270</v>
      </c>
      <c r="T62" s="15">
        <v>63.166670000000003</v>
      </c>
      <c r="U62" s="15">
        <v>1897.6</v>
      </c>
      <c r="V62" s="15">
        <v>1.375</v>
      </c>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8"/>
      <c r="AV62" s="15"/>
      <c r="AW62" s="15">
        <v>8300</v>
      </c>
      <c r="AX62" s="15">
        <f>(11.6*367+12.7*7933)/8300</f>
        <v>12.651361445783131</v>
      </c>
      <c r="AY62" s="15">
        <f>(17.4*367+18.5*7933)/8300</f>
        <v>18.451361445783132</v>
      </c>
      <c r="AZ62" s="15">
        <f>(AX62/2)^2*PI()*AW62/10000</f>
        <v>104.33799836625894</v>
      </c>
      <c r="BA62" s="15"/>
      <c r="BB62" s="15"/>
      <c r="BC62" s="15"/>
      <c r="BD62" s="15"/>
      <c r="BE62" s="15"/>
      <c r="BF62" s="15"/>
      <c r="BG62" s="15"/>
      <c r="BH62" s="15"/>
      <c r="BI62" s="15"/>
      <c r="BJ62" s="15"/>
      <c r="BK62" s="15"/>
      <c r="BL62" s="15"/>
      <c r="BM62" s="15">
        <f>6.1*50%</f>
        <v>3.05</v>
      </c>
      <c r="BN62" s="15">
        <f>(16.6+16.2+16.5+16.9)/4*50%</f>
        <v>8.2749999999999986</v>
      </c>
      <c r="BO62" s="15">
        <f>50%*201.4</f>
        <v>100.7</v>
      </c>
      <c r="BP62" s="15">
        <f t="shared" si="5"/>
        <v>112.02500000000001</v>
      </c>
      <c r="BQ62" s="15"/>
      <c r="BR62" s="15"/>
      <c r="BS62" s="15"/>
      <c r="BT62" s="15"/>
      <c r="BU62" s="15"/>
      <c r="BV62" s="15"/>
      <c r="BW62" s="15"/>
      <c r="BX62" s="15"/>
      <c r="BY62" s="15"/>
      <c r="BZ62" s="15"/>
      <c r="CA62" s="15">
        <f t="shared" si="6"/>
        <v>9.9999999999999645E-2</v>
      </c>
      <c r="CB62" s="15">
        <f t="shared" si="6"/>
        <v>2.4999999999998579E-2</v>
      </c>
      <c r="CC62" s="15">
        <f t="shared" si="6"/>
        <v>2</v>
      </c>
      <c r="CD62" s="18"/>
      <c r="CE62" s="15">
        <f>BP62-BP61</f>
        <v>2.125</v>
      </c>
      <c r="CF62" s="15"/>
      <c r="CG62" s="15"/>
      <c r="CH62" s="15"/>
      <c r="CI62" s="15"/>
      <c r="CJ62" s="15"/>
      <c r="CK62" s="15"/>
      <c r="CL62" s="15"/>
      <c r="CM62" s="18"/>
      <c r="CN62" s="18" t="s">
        <v>78</v>
      </c>
      <c r="CO62" s="18" t="s">
        <v>3</v>
      </c>
      <c r="CP62" s="24" t="s">
        <v>77</v>
      </c>
      <c r="CQ62" s="23" t="s">
        <v>1</v>
      </c>
    </row>
    <row r="63" spans="1:95" s="12" customFormat="1" ht="13">
      <c r="A63" s="18">
        <v>60</v>
      </c>
      <c r="B63" s="18" t="s">
        <v>76</v>
      </c>
      <c r="C63" s="18" t="s">
        <v>75</v>
      </c>
      <c r="D63" s="15" t="s">
        <v>68</v>
      </c>
      <c r="E63" s="18" t="s">
        <v>74</v>
      </c>
      <c r="F63" s="18" t="s">
        <v>73</v>
      </c>
      <c r="G63" s="18">
        <v>2006</v>
      </c>
      <c r="H63" s="18">
        <v>2006</v>
      </c>
      <c r="I63" s="18">
        <v>0</v>
      </c>
      <c r="J63" s="18">
        <v>0</v>
      </c>
      <c r="K63" s="18">
        <v>0</v>
      </c>
      <c r="L63" s="18">
        <v>0</v>
      </c>
      <c r="M63" s="18">
        <v>0</v>
      </c>
      <c r="N63" s="18">
        <v>0</v>
      </c>
      <c r="O63" s="15">
        <v>15.3</v>
      </c>
      <c r="P63" s="15">
        <f>(O63-5)*12</f>
        <v>123.60000000000001</v>
      </c>
      <c r="Q63" s="15">
        <v>1459</v>
      </c>
      <c r="R63" s="15">
        <v>6</v>
      </c>
      <c r="S63" s="15">
        <v>280</v>
      </c>
      <c r="T63" s="15">
        <v>64.083330000000004</v>
      </c>
      <c r="U63" s="15">
        <v>1480.5</v>
      </c>
      <c r="V63" s="15">
        <v>1.5833330000000001</v>
      </c>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8"/>
      <c r="AV63" s="15"/>
      <c r="AW63" s="15">
        <v>9675</v>
      </c>
      <c r="AX63" s="15">
        <v>10.52</v>
      </c>
      <c r="AY63" s="15"/>
      <c r="AZ63" s="15">
        <v>88.3</v>
      </c>
      <c r="BA63" s="15"/>
      <c r="BB63" s="15"/>
      <c r="BC63" s="15"/>
      <c r="BD63" s="15">
        <v>41.9</v>
      </c>
      <c r="BE63" s="15">
        <v>46.4</v>
      </c>
      <c r="BF63" s="15">
        <v>46.3</v>
      </c>
      <c r="BG63" s="15">
        <v>43.2</v>
      </c>
      <c r="BH63" s="15">
        <v>44.2</v>
      </c>
      <c r="BI63" s="15">
        <v>44.3</v>
      </c>
      <c r="BJ63" s="15"/>
      <c r="BK63" s="15">
        <v>3.34</v>
      </c>
      <c r="BL63" s="15">
        <v>2.11</v>
      </c>
      <c r="BM63" s="15">
        <v>2.1</v>
      </c>
      <c r="BN63" s="15">
        <v>6.9</v>
      </c>
      <c r="BO63" s="15">
        <v>75.900000000000006</v>
      </c>
      <c r="BP63" s="15">
        <f t="shared" si="5"/>
        <v>84.9</v>
      </c>
      <c r="BQ63" s="15">
        <f>BU63/BP63</f>
        <v>0.65842167255594808</v>
      </c>
      <c r="BR63" s="15">
        <f>10.9+16.9</f>
        <v>27.799999999999997</v>
      </c>
      <c r="BS63" s="15">
        <f>18.2</f>
        <v>18.2</v>
      </c>
      <c r="BT63" s="15">
        <v>9.9</v>
      </c>
      <c r="BU63" s="15">
        <f>SUM(BR63:BT63)</f>
        <v>55.9</v>
      </c>
      <c r="BV63" s="15">
        <f>BU63+BP63</f>
        <v>140.80000000000001</v>
      </c>
      <c r="BW63" s="15"/>
      <c r="BX63" s="15">
        <f>1.4+0.5+4.4+16.9+30.9</f>
        <v>54.099999999999994</v>
      </c>
      <c r="BY63" s="15"/>
      <c r="BZ63" s="15">
        <f>BV63+BX63</f>
        <v>194.9</v>
      </c>
      <c r="CA63" s="15"/>
      <c r="CB63" s="15"/>
      <c r="CC63" s="15"/>
      <c r="CD63" s="15"/>
      <c r="CE63" s="15"/>
      <c r="CF63" s="15"/>
      <c r="CG63" s="15"/>
      <c r="CH63" s="15"/>
      <c r="CI63" s="15"/>
      <c r="CJ63" s="15"/>
      <c r="CK63" s="15"/>
      <c r="CL63" s="15"/>
      <c r="CM63" s="15"/>
      <c r="CN63" s="18" t="s">
        <v>72</v>
      </c>
      <c r="CO63" s="18" t="s">
        <v>3</v>
      </c>
      <c r="CP63" s="24" t="s">
        <v>71</v>
      </c>
      <c r="CQ63" s="23" t="s">
        <v>30</v>
      </c>
    </row>
    <row r="64" spans="1:95" s="12" customFormat="1" ht="13">
      <c r="A64" s="18">
        <v>61</v>
      </c>
      <c r="B64" s="18" t="s">
        <v>70</v>
      </c>
      <c r="C64" s="18" t="s">
        <v>69</v>
      </c>
      <c r="D64" s="15" t="s">
        <v>68</v>
      </c>
      <c r="E64" s="18" t="s">
        <v>67</v>
      </c>
      <c r="F64" s="18" t="s">
        <v>66</v>
      </c>
      <c r="G64" s="18">
        <v>2004</v>
      </c>
      <c r="H64" s="18">
        <v>2005</v>
      </c>
      <c r="I64" s="18">
        <v>0</v>
      </c>
      <c r="J64" s="18">
        <v>0</v>
      </c>
      <c r="K64" s="18">
        <v>0</v>
      </c>
      <c r="L64" s="18">
        <v>0</v>
      </c>
      <c r="M64" s="18">
        <v>0</v>
      </c>
      <c r="N64" s="26">
        <v>1</v>
      </c>
      <c r="O64" s="15">
        <v>15.446149999999999</v>
      </c>
      <c r="P64" s="15">
        <v>127.8</v>
      </c>
      <c r="Q64" s="15">
        <v>2075</v>
      </c>
      <c r="R64" s="15">
        <v>66</v>
      </c>
      <c r="S64" s="15">
        <v>30</v>
      </c>
      <c r="T64" s="15">
        <v>73</v>
      </c>
      <c r="U64" s="15">
        <v>1949.9</v>
      </c>
      <c r="V64" s="15">
        <v>3.4461539999999999</v>
      </c>
      <c r="W64" s="15"/>
      <c r="X64" s="15">
        <v>3.5</v>
      </c>
      <c r="Y64" s="15">
        <v>4.7</v>
      </c>
      <c r="Z64" s="15"/>
      <c r="AA64" s="15"/>
      <c r="AB64" s="15"/>
      <c r="AC64" s="15"/>
      <c r="AD64" s="15"/>
      <c r="AE64" s="15"/>
      <c r="AF64" s="15"/>
      <c r="AG64" s="15"/>
      <c r="AH64" s="15"/>
      <c r="AI64" s="15"/>
      <c r="AJ64" s="15"/>
      <c r="AK64" s="15"/>
      <c r="AL64" s="15"/>
      <c r="AM64" s="15"/>
      <c r="AN64" s="15"/>
      <c r="AO64" s="15"/>
      <c r="AP64" s="15"/>
      <c r="AQ64" s="15">
        <v>534</v>
      </c>
      <c r="AR64" s="15"/>
      <c r="AS64" s="15">
        <v>91.3</v>
      </c>
      <c r="AT64" s="15">
        <v>432</v>
      </c>
      <c r="AU64" s="15">
        <f>AT64-AV64</f>
        <v>50</v>
      </c>
      <c r="AV64" s="15">
        <v>382</v>
      </c>
      <c r="AW64" s="15">
        <v>14867</v>
      </c>
      <c r="AX64" s="15">
        <v>5.9</v>
      </c>
      <c r="AY64" s="15">
        <v>9.5</v>
      </c>
      <c r="AZ64" s="15">
        <v>46.4</v>
      </c>
      <c r="BA64" s="15"/>
      <c r="BB64" s="15"/>
      <c r="BC64" s="15"/>
      <c r="BD64" s="15"/>
      <c r="BE64" s="15"/>
      <c r="BF64" s="15"/>
      <c r="BG64" s="15"/>
      <c r="BH64" s="15"/>
      <c r="BI64" s="15"/>
      <c r="BJ64" s="15"/>
      <c r="BK64" s="15"/>
      <c r="BL64" s="15"/>
      <c r="BM64" s="15">
        <f>4.56*50%</f>
        <v>2.2799999999999998</v>
      </c>
      <c r="BN64" s="15">
        <f>11.9*50%</f>
        <v>5.95</v>
      </c>
      <c r="BO64" s="15">
        <f>71.4*50%</f>
        <v>35.700000000000003</v>
      </c>
      <c r="BP64" s="15">
        <f t="shared" si="5"/>
        <v>43.930000000000007</v>
      </c>
      <c r="BQ64" s="15"/>
      <c r="BR64" s="15"/>
      <c r="BS64" s="15"/>
      <c r="BT64" s="15"/>
      <c r="BU64" s="15"/>
      <c r="BV64" s="15"/>
      <c r="BW64" s="15"/>
      <c r="BX64" s="15"/>
      <c r="BY64" s="15"/>
      <c r="BZ64" s="15"/>
      <c r="CA64" s="15">
        <f>(4.8+0.87)*50%</f>
        <v>2.835</v>
      </c>
      <c r="CB64" s="15">
        <f>3.07*50%</f>
        <v>1.5349999999999999</v>
      </c>
      <c r="CC64" s="15">
        <f>10*50%</f>
        <v>5</v>
      </c>
      <c r="CD64" s="15">
        <f>7.45*50%</f>
        <v>3.7250000000000001</v>
      </c>
      <c r="CE64" s="15">
        <f>SUM(CA64:CC64)</f>
        <v>9.370000000000001</v>
      </c>
      <c r="CF64" s="15"/>
      <c r="CG64" s="15"/>
      <c r="CH64" s="15"/>
      <c r="CI64" s="15"/>
      <c r="CJ64" s="15"/>
      <c r="CK64" s="15"/>
      <c r="CL64" s="15"/>
      <c r="CM64" s="18"/>
      <c r="CN64" s="18" t="s">
        <v>65</v>
      </c>
      <c r="CO64" s="18" t="s">
        <v>3</v>
      </c>
      <c r="CP64" s="24" t="s">
        <v>64</v>
      </c>
      <c r="CQ64" s="23" t="s">
        <v>30</v>
      </c>
    </row>
    <row r="65" spans="1:95" s="12" customFormat="1" ht="13">
      <c r="A65" s="18">
        <v>62</v>
      </c>
      <c r="B65" s="18" t="s">
        <v>54</v>
      </c>
      <c r="C65" s="18" t="s">
        <v>457</v>
      </c>
      <c r="D65" s="15" t="s">
        <v>63</v>
      </c>
      <c r="E65" s="18" t="s">
        <v>62</v>
      </c>
      <c r="F65" s="18" t="s">
        <v>61</v>
      </c>
      <c r="G65" s="18">
        <v>2005</v>
      </c>
      <c r="H65" s="18">
        <v>2005</v>
      </c>
      <c r="I65" s="18">
        <v>1</v>
      </c>
      <c r="J65" s="18">
        <v>1</v>
      </c>
      <c r="K65" s="18">
        <v>1</v>
      </c>
      <c r="L65" s="18">
        <v>1</v>
      </c>
      <c r="M65" s="18">
        <v>0</v>
      </c>
      <c r="N65" s="18">
        <v>0</v>
      </c>
      <c r="O65" s="15">
        <f>(0.3+26)/2</f>
        <v>13.15</v>
      </c>
      <c r="P65" s="15">
        <f>(O65-5)*12</f>
        <v>97.800000000000011</v>
      </c>
      <c r="Q65" s="15">
        <v>1503</v>
      </c>
      <c r="R65" s="15"/>
      <c r="S65" s="15">
        <v>33</v>
      </c>
      <c r="T65" s="15"/>
      <c r="U65" s="15"/>
      <c r="V65" s="15"/>
      <c r="W65" s="15"/>
      <c r="X65" s="15"/>
      <c r="Y65" s="15">
        <v>4.45</v>
      </c>
      <c r="Z65" s="15">
        <v>0.97</v>
      </c>
      <c r="AA65" s="15"/>
      <c r="AB65" s="15"/>
      <c r="AC65" s="15">
        <v>382.85</v>
      </c>
      <c r="AD65" s="15"/>
      <c r="AE65" s="15">
        <v>6.1</v>
      </c>
      <c r="AF65" s="15">
        <v>0.28999999999999998</v>
      </c>
      <c r="AG65" s="15">
        <v>2</v>
      </c>
      <c r="AH65" s="15">
        <v>0.53</v>
      </c>
      <c r="AI65" s="15"/>
      <c r="AJ65" s="15"/>
      <c r="AK65" s="15"/>
      <c r="AL65" s="15">
        <v>45.1</v>
      </c>
      <c r="AM65" s="15">
        <v>17.3</v>
      </c>
      <c r="AN65" s="15">
        <v>6.1</v>
      </c>
      <c r="AO65" s="15">
        <v>3.6</v>
      </c>
      <c r="AP65" s="15">
        <v>3.5</v>
      </c>
      <c r="AQ65" s="15"/>
      <c r="AR65" s="15"/>
      <c r="AS65" s="15"/>
      <c r="AT65" s="15"/>
      <c r="AU65" s="18"/>
      <c r="AV65" s="15"/>
      <c r="AW65" s="15">
        <v>6133</v>
      </c>
      <c r="AX65" s="15">
        <v>8.3000000000000007</v>
      </c>
      <c r="AY65" s="15">
        <v>12</v>
      </c>
      <c r="AZ65" s="15">
        <f>(AX65/2)^2*PI()*AW65/10000</f>
        <v>33.183258542906927</v>
      </c>
      <c r="BA65" s="15"/>
      <c r="BB65" s="15"/>
      <c r="BC65" s="15"/>
      <c r="BD65" s="15"/>
      <c r="BE65" s="15"/>
      <c r="BF65" s="15"/>
      <c r="BG65" s="15"/>
      <c r="BH65" s="15"/>
      <c r="BI65" s="15"/>
      <c r="BJ65" s="15"/>
      <c r="BK65" s="15"/>
      <c r="BL65" s="15"/>
      <c r="BM65" s="15">
        <f>16.29/2</f>
        <v>8.1449999999999996</v>
      </c>
      <c r="BN65" s="15">
        <f>11.17/2</f>
        <v>5.585</v>
      </c>
      <c r="BO65" s="15">
        <f>40.98/2</f>
        <v>20.49</v>
      </c>
      <c r="BP65" s="15">
        <f>69.65/2</f>
        <v>34.825000000000003</v>
      </c>
      <c r="BQ65" s="15">
        <f>BU65/BP65</f>
        <v>0.3043790380473797</v>
      </c>
      <c r="BR65" s="15">
        <f>7.45/2</f>
        <v>3.7250000000000001</v>
      </c>
      <c r="BS65" s="15">
        <f>13.72/2</f>
        <v>6.86</v>
      </c>
      <c r="BT65" s="15"/>
      <c r="BU65" s="15">
        <f>(13.7+7.5)/2</f>
        <v>10.6</v>
      </c>
      <c r="BV65" s="15">
        <f>BU65+BP65</f>
        <v>45.425000000000004</v>
      </c>
      <c r="BW65" s="15"/>
      <c r="BX65" s="15"/>
      <c r="BY65" s="15"/>
      <c r="BZ65" s="15"/>
      <c r="CA65" s="15"/>
      <c r="CB65" s="15"/>
      <c r="CC65" s="15"/>
      <c r="CD65" s="15"/>
      <c r="CE65" s="15"/>
      <c r="CF65" s="15"/>
      <c r="CG65" s="15"/>
      <c r="CH65" s="15"/>
      <c r="CI65" s="15"/>
      <c r="CJ65" s="15"/>
      <c r="CK65" s="15"/>
      <c r="CL65" s="15"/>
      <c r="CM65" s="15"/>
      <c r="CN65" s="18" t="s">
        <v>60</v>
      </c>
      <c r="CO65" s="18" t="s">
        <v>3</v>
      </c>
      <c r="CP65" s="24" t="s">
        <v>59</v>
      </c>
      <c r="CQ65" s="23" t="s">
        <v>30</v>
      </c>
    </row>
    <row r="66" spans="1:95" s="12" customFormat="1" ht="13">
      <c r="A66" s="18">
        <v>63</v>
      </c>
      <c r="B66" s="18" t="s">
        <v>54</v>
      </c>
      <c r="C66" s="18" t="s">
        <v>457</v>
      </c>
      <c r="D66" s="15" t="s">
        <v>52</v>
      </c>
      <c r="E66" s="18" t="s">
        <v>51</v>
      </c>
      <c r="F66" s="18" t="s">
        <v>57</v>
      </c>
      <c r="G66" s="18">
        <v>2011</v>
      </c>
      <c r="H66" s="18">
        <v>2011</v>
      </c>
      <c r="I66" s="18">
        <v>0</v>
      </c>
      <c r="J66" s="18">
        <v>0</v>
      </c>
      <c r="K66" s="18">
        <v>0</v>
      </c>
      <c r="L66" s="18">
        <v>0</v>
      </c>
      <c r="M66" s="18">
        <v>0</v>
      </c>
      <c r="N66" s="18">
        <v>0</v>
      </c>
      <c r="O66" s="15">
        <f>(0.3+26)/2</f>
        <v>13.15</v>
      </c>
      <c r="P66" s="15">
        <f>(O66-5)*12</f>
        <v>97.800000000000011</v>
      </c>
      <c r="Q66" s="15">
        <v>1503</v>
      </c>
      <c r="R66" s="15"/>
      <c r="S66" s="15">
        <v>33</v>
      </c>
      <c r="T66" s="15"/>
      <c r="U66" s="15"/>
      <c r="V66" s="15"/>
      <c r="W66" s="15"/>
      <c r="X66" s="15"/>
      <c r="Y66" s="15">
        <v>4.45</v>
      </c>
      <c r="Z66" s="15">
        <v>0.97</v>
      </c>
      <c r="AA66" s="15"/>
      <c r="AB66" s="15"/>
      <c r="AC66" s="15">
        <v>382.85</v>
      </c>
      <c r="AD66" s="15"/>
      <c r="AE66" s="15">
        <v>6.1</v>
      </c>
      <c r="AF66" s="15">
        <v>0.28999999999999998</v>
      </c>
      <c r="AG66" s="15">
        <v>2</v>
      </c>
      <c r="AH66" s="15">
        <v>0.53</v>
      </c>
      <c r="AI66" s="15"/>
      <c r="AJ66" s="15"/>
      <c r="AK66" s="15"/>
      <c r="AL66" s="15">
        <v>45.1</v>
      </c>
      <c r="AM66" s="15">
        <v>17.3</v>
      </c>
      <c r="AN66" s="15">
        <v>6.1</v>
      </c>
      <c r="AO66" s="15">
        <v>3.6</v>
      </c>
      <c r="AP66" s="15">
        <v>3.5</v>
      </c>
      <c r="AQ66" s="15"/>
      <c r="AR66" s="15"/>
      <c r="AS66" s="15"/>
      <c r="AT66" s="15"/>
      <c r="AU66" s="18"/>
      <c r="AV66" s="15"/>
      <c r="AW66" s="15">
        <v>3050</v>
      </c>
      <c r="AX66" s="15">
        <v>8.9</v>
      </c>
      <c r="AY66" s="15">
        <v>13.2</v>
      </c>
      <c r="AZ66" s="15">
        <f>(AX66/2)^2*PI()*AW66/10000</f>
        <v>18.974473499427123</v>
      </c>
      <c r="BA66" s="15"/>
      <c r="BB66" s="15"/>
      <c r="BC66" s="15"/>
      <c r="BD66" s="15"/>
      <c r="BE66" s="15"/>
      <c r="BF66" s="15"/>
      <c r="BG66" s="15"/>
      <c r="BH66" s="15"/>
      <c r="BI66" s="15"/>
      <c r="BJ66" s="15"/>
      <c r="BK66" s="15"/>
      <c r="BL66" s="15"/>
      <c r="BM66" s="15">
        <f>8.01/2</f>
        <v>4.0049999999999999</v>
      </c>
      <c r="BN66" s="15">
        <f>9.29/2</f>
        <v>4.6449999999999996</v>
      </c>
      <c r="BO66" s="15">
        <f>40.47/2</f>
        <v>20.234999999999999</v>
      </c>
      <c r="BP66" s="15">
        <f>57.77/2</f>
        <v>28.885000000000002</v>
      </c>
      <c r="BQ66" s="15">
        <f>BU66/BP66</f>
        <v>0.92348970053661072</v>
      </c>
      <c r="BR66" s="15">
        <f>9.93/2</f>
        <v>4.9649999999999999</v>
      </c>
      <c r="BS66" s="15">
        <f>43.43/2</f>
        <v>21.715</v>
      </c>
      <c r="BT66" s="15"/>
      <c r="BU66" s="15">
        <f>53.35/2</f>
        <v>26.675000000000001</v>
      </c>
      <c r="BV66" s="15">
        <f>BU66+BP66</f>
        <v>55.56</v>
      </c>
      <c r="BW66" s="15"/>
      <c r="BX66" s="15"/>
      <c r="BY66" s="15"/>
      <c r="BZ66" s="15"/>
      <c r="CA66" s="15"/>
      <c r="CB66" s="15"/>
      <c r="CC66" s="15"/>
      <c r="CD66" s="15"/>
      <c r="CE66" s="15"/>
      <c r="CF66" s="15"/>
      <c r="CG66" s="15"/>
      <c r="CH66" s="15"/>
      <c r="CI66" s="15"/>
      <c r="CJ66" s="15"/>
      <c r="CK66" s="15"/>
      <c r="CL66" s="15"/>
      <c r="CM66" s="15"/>
      <c r="CN66" s="18" t="s">
        <v>56</v>
      </c>
      <c r="CO66" s="18" t="s">
        <v>3</v>
      </c>
      <c r="CP66" s="24" t="s">
        <v>55</v>
      </c>
      <c r="CQ66" s="23" t="s">
        <v>30</v>
      </c>
    </row>
    <row r="67" spans="1:95" s="12" customFormat="1" ht="13">
      <c r="A67" s="18">
        <v>64</v>
      </c>
      <c r="B67" s="18" t="s">
        <v>54</v>
      </c>
      <c r="C67" s="18" t="s">
        <v>53</v>
      </c>
      <c r="D67" s="15" t="s">
        <v>52</v>
      </c>
      <c r="E67" s="18" t="s">
        <v>51</v>
      </c>
      <c r="F67" s="18" t="s">
        <v>50</v>
      </c>
      <c r="G67" s="18">
        <v>1996</v>
      </c>
      <c r="H67" s="18">
        <v>1996</v>
      </c>
      <c r="I67" s="18">
        <v>0</v>
      </c>
      <c r="J67" s="18">
        <v>0</v>
      </c>
      <c r="K67" s="18">
        <v>0</v>
      </c>
      <c r="L67" s="18">
        <v>0</v>
      </c>
      <c r="M67" s="18">
        <v>0</v>
      </c>
      <c r="N67" s="18"/>
      <c r="O67" s="15">
        <f>(5+15)/2</f>
        <v>10</v>
      </c>
      <c r="P67" s="15">
        <f>(O67-5)*12</f>
        <v>60</v>
      </c>
      <c r="Q67" s="15"/>
      <c r="R67" s="15"/>
      <c r="S67" s="15">
        <v>150</v>
      </c>
      <c r="T67" s="15"/>
      <c r="U67" s="15"/>
      <c r="V67" s="15"/>
      <c r="W67" s="15"/>
      <c r="X67" s="15"/>
      <c r="Y67" s="15">
        <v>4.8</v>
      </c>
      <c r="Z67" s="15">
        <v>0.34200000000000003</v>
      </c>
      <c r="AA67" s="15"/>
      <c r="AB67" s="15"/>
      <c r="AC67" s="15">
        <v>281.10000000000002</v>
      </c>
      <c r="AD67" s="15"/>
      <c r="AE67" s="15"/>
      <c r="AF67" s="15">
        <v>0.35</v>
      </c>
      <c r="AG67" s="15">
        <v>1.48</v>
      </c>
      <c r="AH67" s="15">
        <v>0.2</v>
      </c>
      <c r="AI67" s="15"/>
      <c r="AJ67" s="15"/>
      <c r="AK67" s="15"/>
      <c r="AL67" s="15"/>
      <c r="AM67" s="15"/>
      <c r="AN67" s="15"/>
      <c r="AO67" s="15"/>
      <c r="AP67" s="15"/>
      <c r="AQ67" s="15"/>
      <c r="AR67" s="15"/>
      <c r="AS67" s="15"/>
      <c r="AT67" s="15"/>
      <c r="AU67" s="18"/>
      <c r="AV67" s="15"/>
      <c r="AW67" s="15">
        <v>7500</v>
      </c>
      <c r="AX67" s="15">
        <v>8.1999999999999993</v>
      </c>
      <c r="AY67" s="15">
        <v>11.9</v>
      </c>
      <c r="AZ67" s="15">
        <v>40.5</v>
      </c>
      <c r="BA67" s="15"/>
      <c r="BB67" s="15"/>
      <c r="BC67" s="15"/>
      <c r="BD67" s="15"/>
      <c r="BE67" s="15"/>
      <c r="BF67" s="15"/>
      <c r="BG67" s="15"/>
      <c r="BH67" s="15"/>
      <c r="BI67" s="15"/>
      <c r="BJ67" s="15"/>
      <c r="BK67" s="15"/>
      <c r="BL67" s="15"/>
      <c r="BM67" s="15">
        <f>3.849/2</f>
        <v>1.9245000000000001</v>
      </c>
      <c r="BN67" s="15">
        <f>6.499/2</f>
        <v>3.2494999999999998</v>
      </c>
      <c r="BO67" s="15">
        <f>61.428/2</f>
        <v>30.713999999999999</v>
      </c>
      <c r="BP67" s="15">
        <f>71.76/2</f>
        <v>35.880000000000003</v>
      </c>
      <c r="BQ67" s="15">
        <f>BU67/BP67</f>
        <v>0.44377090301003341</v>
      </c>
      <c r="BR67" s="15">
        <f>9.928/2</f>
        <v>4.9640000000000004</v>
      </c>
      <c r="BS67" s="15">
        <f>21.917/2</f>
        <v>10.958500000000001</v>
      </c>
      <c r="BT67" s="15"/>
      <c r="BU67" s="15">
        <f>31.845/2</f>
        <v>15.922499999999999</v>
      </c>
      <c r="BV67" s="15">
        <f>BU67+BP67</f>
        <v>51.802500000000002</v>
      </c>
      <c r="BW67" s="15"/>
      <c r="BX67" s="15"/>
      <c r="BY67" s="15"/>
      <c r="BZ67" s="15"/>
      <c r="CA67" s="15">
        <f>1.366/2</f>
        <v>0.68300000000000005</v>
      </c>
      <c r="CB67" s="15">
        <f>0.69/2</f>
        <v>0.34499999999999997</v>
      </c>
      <c r="CC67" s="15">
        <f>6.115/2</f>
        <v>3.0575000000000001</v>
      </c>
      <c r="CD67" s="15"/>
      <c r="CE67" s="15">
        <f>8.171/2</f>
        <v>4.0854999999999997</v>
      </c>
      <c r="CF67" s="15">
        <f>1.027/2</f>
        <v>0.51349999999999996</v>
      </c>
      <c r="CG67" s="15">
        <f>2.266/2</f>
        <v>1.133</v>
      </c>
      <c r="CH67" s="15"/>
      <c r="CI67" s="15">
        <f>3.293/2</f>
        <v>1.6465000000000001</v>
      </c>
      <c r="CJ67" s="15">
        <f>CE67+CI67</f>
        <v>5.7319999999999993</v>
      </c>
      <c r="CK67" s="15"/>
      <c r="CL67" s="15"/>
      <c r="CM67" s="15"/>
      <c r="CN67" s="18" t="s">
        <v>49</v>
      </c>
      <c r="CO67" s="18" t="s">
        <v>3</v>
      </c>
      <c r="CP67" s="24" t="s">
        <v>48</v>
      </c>
      <c r="CQ67" s="23" t="s">
        <v>30</v>
      </c>
    </row>
    <row r="68" spans="1:95" s="12" customFormat="1">
      <c r="A68" s="18">
        <v>65</v>
      </c>
      <c r="B68" s="18" t="s">
        <v>9</v>
      </c>
      <c r="C68" s="18" t="s">
        <v>47</v>
      </c>
      <c r="D68" s="15" t="s">
        <v>46</v>
      </c>
      <c r="E68" s="18" t="s">
        <v>415</v>
      </c>
      <c r="F68" s="18" t="s">
        <v>45</v>
      </c>
      <c r="G68" s="18">
        <v>2007</v>
      </c>
      <c r="H68" s="18">
        <v>2007</v>
      </c>
      <c r="I68" s="18">
        <v>0</v>
      </c>
      <c r="J68" s="18">
        <v>0</v>
      </c>
      <c r="K68" s="18">
        <v>0</v>
      </c>
      <c r="L68" s="18">
        <v>1</v>
      </c>
      <c r="M68" s="18">
        <v>0</v>
      </c>
      <c r="N68" s="18">
        <v>0</v>
      </c>
      <c r="O68" s="15">
        <v>15.3</v>
      </c>
      <c r="P68" s="15">
        <v>123.60000000000001</v>
      </c>
      <c r="Q68" s="15">
        <v>4618</v>
      </c>
      <c r="R68" s="15">
        <v>0</v>
      </c>
      <c r="S68" s="15">
        <v>1300</v>
      </c>
      <c r="T68" s="15">
        <v>87.9</v>
      </c>
      <c r="U68" s="15">
        <v>1449.4</v>
      </c>
      <c r="V68" s="15">
        <v>1.233333</v>
      </c>
      <c r="W68" s="15"/>
      <c r="X68" s="15">
        <f>(3.8+4.04)/2</f>
        <v>3.92</v>
      </c>
      <c r="Y68" s="15">
        <f>(4.6+5.1)/2</f>
        <v>4.8499999999999996</v>
      </c>
      <c r="Z68" s="15">
        <f>(0.68+0.56)/2</f>
        <v>0.62000000000000011</v>
      </c>
      <c r="AA68" s="15"/>
      <c r="AB68" s="15"/>
      <c r="AC68" s="15">
        <f>1.96*(16*5+30*2)/30</f>
        <v>9.1466666666666665</v>
      </c>
      <c r="AD68" s="15"/>
      <c r="AE68" s="15">
        <f>(2.93+2.52)/2</f>
        <v>2.7250000000000001</v>
      </c>
      <c r="AF68" s="15">
        <f>(0.3415+0.4335)/2</f>
        <v>0.38750000000000001</v>
      </c>
      <c r="AG68" s="15">
        <f>(0.5951+0.7592)/2</f>
        <v>0.67714999999999992</v>
      </c>
      <c r="AH68" s="15">
        <f>(0.1174+0.1507)/2</f>
        <v>0.13405</v>
      </c>
      <c r="AI68" s="15">
        <f>(28+33.4)/2</f>
        <v>30.7</v>
      </c>
      <c r="AJ68" s="15">
        <f>(34.8+24.6)/2</f>
        <v>29.7</v>
      </c>
      <c r="AK68" s="15">
        <f>(37.2+42)/2</f>
        <v>39.6</v>
      </c>
      <c r="AL68" s="15"/>
      <c r="AM68" s="15"/>
      <c r="AN68" s="15"/>
      <c r="AO68" s="15"/>
      <c r="AP68" s="15"/>
      <c r="AQ68" s="15"/>
      <c r="AR68" s="15"/>
      <c r="AS68" s="15"/>
      <c r="AT68" s="15"/>
      <c r="AU68" s="18"/>
      <c r="AV68" s="15"/>
      <c r="AW68" s="15">
        <v>8344</v>
      </c>
      <c r="AX68" s="15">
        <v>10.6</v>
      </c>
      <c r="AY68" s="15">
        <v>21.4</v>
      </c>
      <c r="AZ68" s="15">
        <f t="shared" ref="AZ68:AZ82" si="7">(AX68/2)^2*PI()*AW68/10000</f>
        <v>73.633578526263037</v>
      </c>
      <c r="BA68" s="15"/>
      <c r="BB68" s="15"/>
      <c r="BC68" s="15"/>
      <c r="BD68" s="15">
        <v>45.67</v>
      </c>
      <c r="BE68" s="15">
        <v>48.27</v>
      </c>
      <c r="BF68" s="15">
        <v>48.34</v>
      </c>
      <c r="BG68" s="15"/>
      <c r="BH68" s="15"/>
      <c r="BI68" s="15"/>
      <c r="BJ68" s="15"/>
      <c r="BK68" s="15">
        <v>5.74</v>
      </c>
      <c r="BL68" s="15">
        <v>4</v>
      </c>
      <c r="BM68" s="15">
        <f>4.4*BD68/100</f>
        <v>2.0094800000000004</v>
      </c>
      <c r="BN68" s="15">
        <f>12*BE68/100</f>
        <v>5.7923999999999998</v>
      </c>
      <c r="BO68" s="15">
        <f>151.7*BF68/100</f>
        <v>73.331779999999995</v>
      </c>
      <c r="BP68" s="15">
        <f>BM68+BN68+BO68</f>
        <v>81.133659999999992</v>
      </c>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8" t="s">
        <v>564</v>
      </c>
      <c r="CO68" s="18" t="s">
        <v>3</v>
      </c>
      <c r="CP68" s="24" t="s">
        <v>38</v>
      </c>
      <c r="CQ68" s="23" t="s">
        <v>30</v>
      </c>
    </row>
    <row r="69" spans="1:95" s="12" customFormat="1" ht="13">
      <c r="A69" s="18">
        <v>66</v>
      </c>
      <c r="B69" s="18" t="s">
        <v>9</v>
      </c>
      <c r="C69" s="18" t="s">
        <v>22</v>
      </c>
      <c r="D69" s="15" t="s">
        <v>7</v>
      </c>
      <c r="E69" s="18" t="s">
        <v>416</v>
      </c>
      <c r="F69" s="18" t="s">
        <v>44</v>
      </c>
      <c r="G69" s="18">
        <v>2008</v>
      </c>
      <c r="H69" s="18">
        <v>2009</v>
      </c>
      <c r="I69" s="18">
        <v>1</v>
      </c>
      <c r="J69" s="18">
        <v>0</v>
      </c>
      <c r="K69" s="18">
        <v>0</v>
      </c>
      <c r="L69" s="18">
        <v>1</v>
      </c>
      <c r="M69" s="18">
        <v>0</v>
      </c>
      <c r="N69" s="18">
        <v>1</v>
      </c>
      <c r="O69" s="15">
        <v>23</v>
      </c>
      <c r="P69" s="15">
        <f>(O69-5)*12</f>
        <v>216</v>
      </c>
      <c r="Q69" s="15">
        <v>2600</v>
      </c>
      <c r="R69" s="15">
        <v>0</v>
      </c>
      <c r="S69" s="15">
        <v>1135</v>
      </c>
      <c r="T69" s="15">
        <v>81.458330000000004</v>
      </c>
      <c r="U69" s="15">
        <v>1222</v>
      </c>
      <c r="V69" s="15">
        <v>0.65833299999999995</v>
      </c>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8"/>
      <c r="AV69" s="15"/>
      <c r="AW69" s="15">
        <v>3767</v>
      </c>
      <c r="AX69" s="15">
        <v>9.9</v>
      </c>
      <c r="AY69" s="15">
        <v>13.4</v>
      </c>
      <c r="AZ69" s="15">
        <f t="shared" si="7"/>
        <v>28.99718843375976</v>
      </c>
      <c r="BA69" s="15">
        <v>25.1</v>
      </c>
      <c r="BB69" s="15">
        <v>6.1</v>
      </c>
      <c r="BC69" s="15">
        <v>4.5999999999999996</v>
      </c>
      <c r="BD69" s="15"/>
      <c r="BE69" s="15"/>
      <c r="BF69" s="15"/>
      <c r="BG69" s="15"/>
      <c r="BH69" s="15"/>
      <c r="BI69" s="15"/>
      <c r="BJ69" s="15"/>
      <c r="BK69" s="15"/>
      <c r="BL69" s="15"/>
      <c r="BM69" s="15">
        <f>3.2*0.5</f>
        <v>1.6</v>
      </c>
      <c r="BN69" s="15">
        <f>10.1*0.5</f>
        <v>5.05</v>
      </c>
      <c r="BO69" s="15">
        <f>60.6*0.5</f>
        <v>30.3</v>
      </c>
      <c r="BP69" s="15">
        <f>SUM(BM69:BO69)</f>
        <v>36.950000000000003</v>
      </c>
      <c r="BQ69" s="15">
        <f>BU69/BP69</f>
        <v>1.23680649526387</v>
      </c>
      <c r="BR69" s="15">
        <f>6.4*0.5</f>
        <v>3.2</v>
      </c>
      <c r="BS69" s="15">
        <f>67.1*0.5</f>
        <v>33.549999999999997</v>
      </c>
      <c r="BT69" s="15">
        <f>17.9*0.5</f>
        <v>8.9499999999999993</v>
      </c>
      <c r="BU69" s="15">
        <f>SUM(BR69:BT69)</f>
        <v>45.7</v>
      </c>
      <c r="BV69" s="15">
        <f>BU69+BP69</f>
        <v>82.65</v>
      </c>
      <c r="BW69" s="15"/>
      <c r="BX69" s="15"/>
      <c r="BY69" s="15"/>
      <c r="BZ69" s="15"/>
      <c r="CA69" s="15">
        <f>0.3*0.5</f>
        <v>0.15</v>
      </c>
      <c r="CB69" s="15">
        <f>1.1*0.5</f>
        <v>0.55000000000000004</v>
      </c>
      <c r="CC69" s="15">
        <f>6.9*0.5</f>
        <v>3.45</v>
      </c>
      <c r="CD69" s="15"/>
      <c r="CE69" s="15">
        <f>SUM(CA69:CD69)</f>
        <v>4.1500000000000004</v>
      </c>
      <c r="CF69" s="15"/>
      <c r="CG69" s="15"/>
      <c r="CH69" s="15"/>
      <c r="CI69" s="15"/>
      <c r="CJ69" s="15"/>
      <c r="CK69" s="15"/>
      <c r="CL69" s="15"/>
      <c r="CM69" s="15"/>
      <c r="CN69" s="18" t="s">
        <v>41</v>
      </c>
      <c r="CO69" s="18" t="s">
        <v>3</v>
      </c>
      <c r="CP69" s="24" t="s">
        <v>23</v>
      </c>
      <c r="CQ69" s="23" t="s">
        <v>30</v>
      </c>
    </row>
    <row r="70" spans="1:95" s="12" customFormat="1" ht="14">
      <c r="A70" s="18">
        <v>67</v>
      </c>
      <c r="B70" s="18" t="s">
        <v>9</v>
      </c>
      <c r="C70" s="18" t="s">
        <v>22</v>
      </c>
      <c r="D70" s="15" t="s">
        <v>7</v>
      </c>
      <c r="E70" s="18" t="s">
        <v>417</v>
      </c>
      <c r="F70" s="28" t="s">
        <v>43</v>
      </c>
      <c r="G70" s="18">
        <v>2008</v>
      </c>
      <c r="H70" s="18">
        <v>2009</v>
      </c>
      <c r="I70" s="18">
        <v>0</v>
      </c>
      <c r="J70" s="18">
        <v>0</v>
      </c>
      <c r="K70" s="18">
        <v>0</v>
      </c>
      <c r="L70" s="18">
        <v>0</v>
      </c>
      <c r="M70" s="18">
        <v>0</v>
      </c>
      <c r="N70" s="18">
        <v>0</v>
      </c>
      <c r="O70" s="15">
        <v>23</v>
      </c>
      <c r="P70" s="15">
        <f>(O70-5)*12</f>
        <v>216</v>
      </c>
      <c r="Q70" s="15">
        <v>2600</v>
      </c>
      <c r="R70" s="15">
        <v>0</v>
      </c>
      <c r="S70" s="15">
        <v>1135</v>
      </c>
      <c r="T70" s="15">
        <v>81.458330000000004</v>
      </c>
      <c r="U70" s="15">
        <v>1222</v>
      </c>
      <c r="V70" s="15">
        <v>0.65833299999999995</v>
      </c>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8"/>
      <c r="AV70" s="15"/>
      <c r="AW70" s="15">
        <v>5000</v>
      </c>
      <c r="AX70" s="15">
        <v>9.6999999999999993</v>
      </c>
      <c r="AY70" s="15">
        <v>13.6</v>
      </c>
      <c r="AZ70" s="15">
        <f t="shared" si="7"/>
        <v>36.94905659703295</v>
      </c>
      <c r="BA70" s="15">
        <v>24.6</v>
      </c>
      <c r="BB70" s="15">
        <v>5.4</v>
      </c>
      <c r="BC70" s="15">
        <v>5.6</v>
      </c>
      <c r="BD70" s="15"/>
      <c r="BE70" s="15"/>
      <c r="BF70" s="15"/>
      <c r="BG70" s="15"/>
      <c r="BH70" s="15"/>
      <c r="BI70" s="15"/>
      <c r="BJ70" s="15"/>
      <c r="BK70" s="15"/>
      <c r="BL70" s="15"/>
      <c r="BM70" s="15">
        <f>3.8*0.5</f>
        <v>1.9</v>
      </c>
      <c r="BN70" s="15">
        <f>12.4*0.5</f>
        <v>6.2</v>
      </c>
      <c r="BO70" s="15">
        <f>75.7*0.5</f>
        <v>37.85</v>
      </c>
      <c r="BP70" s="15">
        <f>SUM(BM70:BO70)</f>
        <v>45.95</v>
      </c>
      <c r="BQ70" s="15">
        <f>BU70/BP70</f>
        <v>1.0228509249183895</v>
      </c>
      <c r="BR70" s="15">
        <f>6.2*0.5</f>
        <v>3.1</v>
      </c>
      <c r="BS70" s="15">
        <f>64.8*0.5</f>
        <v>32.4</v>
      </c>
      <c r="BT70" s="15">
        <f>23*0.5</f>
        <v>11.5</v>
      </c>
      <c r="BU70" s="15">
        <f>SUM(BR70:BT70)</f>
        <v>47</v>
      </c>
      <c r="BV70" s="15">
        <f>BU70+BP70</f>
        <v>92.95</v>
      </c>
      <c r="BW70" s="15"/>
      <c r="BX70" s="15"/>
      <c r="BY70" s="15"/>
      <c r="BZ70" s="15"/>
      <c r="CA70" s="15">
        <f>0.4*0.5</f>
        <v>0.2</v>
      </c>
      <c r="CB70" s="15">
        <f>1.6*0.5</f>
        <v>0.8</v>
      </c>
      <c r="CC70" s="15">
        <f>9.2*0.5</f>
        <v>4.5999999999999996</v>
      </c>
      <c r="CD70" s="15"/>
      <c r="CE70" s="15">
        <f>SUM(CA70:CD70)</f>
        <v>5.6</v>
      </c>
      <c r="CF70" s="15"/>
      <c r="CG70" s="15"/>
      <c r="CH70" s="15"/>
      <c r="CI70" s="15"/>
      <c r="CJ70" s="15"/>
      <c r="CK70" s="15"/>
      <c r="CL70" s="15"/>
      <c r="CM70" s="15"/>
      <c r="CN70" s="18" t="s">
        <v>41</v>
      </c>
      <c r="CO70" s="18" t="s">
        <v>3</v>
      </c>
      <c r="CP70" s="24" t="s">
        <v>23</v>
      </c>
      <c r="CQ70" s="23" t="s">
        <v>30</v>
      </c>
    </row>
    <row r="71" spans="1:95" s="12" customFormat="1" ht="14">
      <c r="A71" s="18">
        <v>68</v>
      </c>
      <c r="B71" s="18" t="s">
        <v>9</v>
      </c>
      <c r="C71" s="18" t="s">
        <v>22</v>
      </c>
      <c r="D71" s="15" t="s">
        <v>7</v>
      </c>
      <c r="E71" s="28" t="s">
        <v>418</v>
      </c>
      <c r="F71" s="28" t="s">
        <v>42</v>
      </c>
      <c r="G71" s="18">
        <v>2008</v>
      </c>
      <c r="H71" s="18">
        <v>2009</v>
      </c>
      <c r="I71" s="18">
        <v>0</v>
      </c>
      <c r="J71" s="18">
        <v>0</v>
      </c>
      <c r="K71" s="18">
        <v>0</v>
      </c>
      <c r="L71" s="18">
        <v>0</v>
      </c>
      <c r="M71" s="18">
        <v>0</v>
      </c>
      <c r="N71" s="18">
        <v>0</v>
      </c>
      <c r="O71" s="15">
        <v>23</v>
      </c>
      <c r="P71" s="15">
        <f>(O71-5)*12</f>
        <v>216</v>
      </c>
      <c r="Q71" s="15">
        <v>2600</v>
      </c>
      <c r="R71" s="15">
        <v>0</v>
      </c>
      <c r="S71" s="15">
        <v>1135</v>
      </c>
      <c r="T71" s="15">
        <v>81.458330000000004</v>
      </c>
      <c r="U71" s="15">
        <v>1222</v>
      </c>
      <c r="V71" s="15">
        <v>0.65833299999999995</v>
      </c>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8"/>
      <c r="AV71" s="15"/>
      <c r="AW71" s="15">
        <v>5167</v>
      </c>
      <c r="AX71" s="15">
        <v>7.6</v>
      </c>
      <c r="AY71" s="15">
        <v>12.3</v>
      </c>
      <c r="AZ71" s="15">
        <f t="shared" si="7"/>
        <v>23.439887744146176</v>
      </c>
      <c r="BA71" s="15">
        <v>37.1</v>
      </c>
      <c r="BB71" s="15">
        <v>4.9000000000000004</v>
      </c>
      <c r="BC71" s="15">
        <v>1.9</v>
      </c>
      <c r="BD71" s="15"/>
      <c r="BE71" s="15"/>
      <c r="BF71" s="15"/>
      <c r="BG71" s="15"/>
      <c r="BH71" s="15"/>
      <c r="BI71" s="15"/>
      <c r="BJ71" s="15"/>
      <c r="BK71" s="15"/>
      <c r="BL71" s="15"/>
      <c r="BM71" s="15">
        <f>1.3*0.5</f>
        <v>0.65</v>
      </c>
      <c r="BN71" s="15">
        <f>5.5*0.5</f>
        <v>2.75</v>
      </c>
      <c r="BO71" s="15">
        <f>36.5*0.5</f>
        <v>18.25</v>
      </c>
      <c r="BP71" s="15">
        <f>SUM(BM71:BO71)</f>
        <v>21.65</v>
      </c>
      <c r="BQ71" s="15">
        <f>BU71/BP71</f>
        <v>1.9769053117782913</v>
      </c>
      <c r="BR71" s="15">
        <f>6.2*0.5</f>
        <v>3.1</v>
      </c>
      <c r="BS71" s="15">
        <f>64.5*0.5</f>
        <v>32.25</v>
      </c>
      <c r="BT71" s="15">
        <f>14.9*0.5</f>
        <v>7.45</v>
      </c>
      <c r="BU71" s="15">
        <f>SUM(BR71:BT71)</f>
        <v>42.800000000000004</v>
      </c>
      <c r="BV71" s="15">
        <f>BU71+BP71</f>
        <v>64.45</v>
      </c>
      <c r="BW71" s="15"/>
      <c r="BX71" s="15"/>
      <c r="BY71" s="15"/>
      <c r="BZ71" s="15"/>
      <c r="CA71" s="15">
        <f>0.2*0.5</f>
        <v>0.1</v>
      </c>
      <c r="CB71" s="15">
        <f>0.9*0.5</f>
        <v>0.45</v>
      </c>
      <c r="CC71" s="15">
        <f>6.4*0.5</f>
        <v>3.2</v>
      </c>
      <c r="CD71" s="15"/>
      <c r="CE71" s="15">
        <f>SUM(CA71:CD71)</f>
        <v>3.75</v>
      </c>
      <c r="CF71" s="15"/>
      <c r="CG71" s="15"/>
      <c r="CH71" s="15"/>
      <c r="CI71" s="15"/>
      <c r="CJ71" s="15"/>
      <c r="CK71" s="15"/>
      <c r="CL71" s="15"/>
      <c r="CM71" s="15"/>
      <c r="CN71" s="18" t="s">
        <v>41</v>
      </c>
      <c r="CO71" s="18" t="s">
        <v>17</v>
      </c>
      <c r="CP71" s="24" t="s">
        <v>23</v>
      </c>
      <c r="CQ71" s="23" t="s">
        <v>30</v>
      </c>
    </row>
    <row r="72" spans="1:95" s="12" customFormat="1" ht="13">
      <c r="A72" s="18">
        <v>69</v>
      </c>
      <c r="B72" s="18" t="s">
        <v>9</v>
      </c>
      <c r="C72" s="18" t="s">
        <v>438</v>
      </c>
      <c r="D72" s="15" t="s">
        <v>7</v>
      </c>
      <c r="E72" s="18" t="s">
        <v>441</v>
      </c>
      <c r="F72" s="18" t="s">
        <v>40</v>
      </c>
      <c r="G72" s="18">
        <v>2004</v>
      </c>
      <c r="H72" s="18">
        <v>2007</v>
      </c>
      <c r="I72" s="18">
        <v>1</v>
      </c>
      <c r="J72" s="18">
        <v>1</v>
      </c>
      <c r="K72" s="18">
        <v>1</v>
      </c>
      <c r="L72" s="18">
        <v>1</v>
      </c>
      <c r="M72" s="18">
        <v>0</v>
      </c>
      <c r="N72" s="18">
        <v>0</v>
      </c>
      <c r="O72" s="15">
        <f>(11+22)/2</f>
        <v>16.5</v>
      </c>
      <c r="P72" s="15">
        <f>(O72-5)*12</f>
        <v>138</v>
      </c>
      <c r="Q72" s="15">
        <f>(1900+2500)/2</f>
        <v>2200</v>
      </c>
      <c r="R72" s="15">
        <v>0</v>
      </c>
      <c r="S72" s="15">
        <f>(1200+1500)/2</f>
        <v>1350</v>
      </c>
      <c r="T72" s="15">
        <v>82.666669999999996</v>
      </c>
      <c r="U72" s="15">
        <v>1561.7</v>
      </c>
      <c r="V72" s="15">
        <v>1.2250000000000001</v>
      </c>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8"/>
      <c r="AV72" s="15"/>
      <c r="AW72" s="15">
        <v>7050</v>
      </c>
      <c r="AX72" s="15">
        <v>8.66</v>
      </c>
      <c r="AY72" s="15"/>
      <c r="AZ72" s="15">
        <f t="shared" si="7"/>
        <v>41.525491584537221</v>
      </c>
      <c r="BA72" s="15"/>
      <c r="BB72" s="15"/>
      <c r="BC72" s="15"/>
      <c r="BD72" s="15">
        <v>45.44</v>
      </c>
      <c r="BE72" s="15">
        <v>48.15</v>
      </c>
      <c r="BF72" s="15">
        <v>46.28</v>
      </c>
      <c r="BG72" s="15"/>
      <c r="BH72" s="15"/>
      <c r="BI72" s="15"/>
      <c r="BJ72" s="15"/>
      <c r="BK72" s="15"/>
      <c r="BL72" s="15"/>
      <c r="BM72" s="15">
        <f>3.19*BD72/100</f>
        <v>1.4495359999999999</v>
      </c>
      <c r="BN72" s="15">
        <f>10.19*BE72/100</f>
        <v>4.906485</v>
      </c>
      <c r="BO72" s="15">
        <f>71.94*BF72/100</f>
        <v>33.293831999999995</v>
      </c>
      <c r="BP72" s="15">
        <f>BM72+BN72+BO72</f>
        <v>39.649852999999993</v>
      </c>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8" t="s">
        <v>26</v>
      </c>
      <c r="CO72" s="18" t="s">
        <v>3</v>
      </c>
      <c r="CP72" s="24" t="s">
        <v>25</v>
      </c>
      <c r="CQ72" s="23" t="s">
        <v>30</v>
      </c>
    </row>
    <row r="73" spans="1:95" s="12" customFormat="1">
      <c r="A73" s="18">
        <v>70</v>
      </c>
      <c r="B73" s="18" t="s">
        <v>9</v>
      </c>
      <c r="C73" s="18" t="s">
        <v>34</v>
      </c>
      <c r="D73" s="15" t="s">
        <v>16</v>
      </c>
      <c r="E73" s="18" t="s">
        <v>419</v>
      </c>
      <c r="F73" s="18" t="s">
        <v>39</v>
      </c>
      <c r="G73" s="18">
        <v>2007</v>
      </c>
      <c r="H73" s="18">
        <v>2007</v>
      </c>
      <c r="I73" s="18">
        <v>0</v>
      </c>
      <c r="J73" s="18">
        <v>0</v>
      </c>
      <c r="K73" s="18">
        <v>0</v>
      </c>
      <c r="L73" s="18">
        <v>0</v>
      </c>
      <c r="M73" s="18">
        <v>0</v>
      </c>
      <c r="N73" s="18">
        <v>0</v>
      </c>
      <c r="O73" s="15">
        <v>20.3</v>
      </c>
      <c r="P73" s="15">
        <v>183.60000000000002</v>
      </c>
      <c r="Q73" s="15">
        <v>3389</v>
      </c>
      <c r="R73" s="15">
        <v>0</v>
      </c>
      <c r="S73" s="15">
        <v>667</v>
      </c>
      <c r="T73" s="15">
        <v>85.2</v>
      </c>
      <c r="U73" s="15">
        <v>1599.1</v>
      </c>
      <c r="V73" s="15">
        <v>1.26</v>
      </c>
      <c r="W73" s="15"/>
      <c r="X73" s="15">
        <f>(3.75+3.8)/2</f>
        <v>3.7749999999999999</v>
      </c>
      <c r="Y73" s="15">
        <f>(4.6+4.6)/2</f>
        <v>4.5999999999999996</v>
      </c>
      <c r="Z73" s="15">
        <f>(0.55+0.4)/2</f>
        <v>0.47500000000000003</v>
      </c>
      <c r="AA73" s="15"/>
      <c r="AB73" s="15"/>
      <c r="AC73" s="15">
        <f>0.4*(16*5+30*2)/30</f>
        <v>1.8666666666666667</v>
      </c>
      <c r="AD73" s="15"/>
      <c r="AE73" s="15">
        <f>(2.42+2.34)/2</f>
        <v>2.38</v>
      </c>
      <c r="AF73" s="15">
        <f>(0.5877+0.4611)/2</f>
        <v>0.52439999999999998</v>
      </c>
      <c r="AG73" s="15">
        <f>(1.2162+1.2237)/2</f>
        <v>1.2199499999999999</v>
      </c>
      <c r="AH73" s="15">
        <f>(0.7169+0.8386)/2</f>
        <v>0.77774999999999994</v>
      </c>
      <c r="AI73" s="15">
        <f>(36+38)/2</f>
        <v>37</v>
      </c>
      <c r="AJ73" s="15">
        <f>(36.8+33)/2</f>
        <v>34.9</v>
      </c>
      <c r="AK73" s="15">
        <f>(27.2+37.2)/2</f>
        <v>32.200000000000003</v>
      </c>
      <c r="AL73" s="15"/>
      <c r="AM73" s="15"/>
      <c r="AN73" s="15"/>
      <c r="AO73" s="15"/>
      <c r="AP73" s="15"/>
      <c r="AQ73" s="15"/>
      <c r="AR73" s="15"/>
      <c r="AS73" s="15"/>
      <c r="AT73" s="15"/>
      <c r="AU73" s="18"/>
      <c r="AV73" s="15"/>
      <c r="AW73" s="15">
        <v>7933</v>
      </c>
      <c r="AX73" s="15">
        <v>6.8</v>
      </c>
      <c r="AY73" s="15">
        <v>10.3</v>
      </c>
      <c r="AZ73" s="15">
        <f t="shared" si="7"/>
        <v>28.810126226192569</v>
      </c>
      <c r="BA73" s="15"/>
      <c r="BB73" s="15"/>
      <c r="BC73" s="15"/>
      <c r="BD73" s="15">
        <v>45.44</v>
      </c>
      <c r="BE73" s="15">
        <v>48.15</v>
      </c>
      <c r="BF73" s="15">
        <v>46.28</v>
      </c>
      <c r="BG73" s="15">
        <v>44.87</v>
      </c>
      <c r="BH73" s="15">
        <v>44.87</v>
      </c>
      <c r="BI73" s="15">
        <v>43.54</v>
      </c>
      <c r="BJ73" s="15"/>
      <c r="BK73" s="15">
        <v>3.52</v>
      </c>
      <c r="BL73" s="15">
        <v>2.27</v>
      </c>
      <c r="BM73" s="15">
        <f>3.6*BD73/100</f>
        <v>1.63584</v>
      </c>
      <c r="BN73" s="15">
        <f>9.7*BE73/100</f>
        <v>4.6705499999999995</v>
      </c>
      <c r="BO73" s="15">
        <f>43.1*BF73/100</f>
        <v>19.946680000000001</v>
      </c>
      <c r="BP73" s="15">
        <f>BM73+BN73+BO73</f>
        <v>26.253070000000001</v>
      </c>
      <c r="BQ73" s="15">
        <f>BU73/BP73</f>
        <v>0.133317741506041</v>
      </c>
      <c r="BR73" s="15">
        <v>0.9</v>
      </c>
      <c r="BS73" s="15">
        <v>0.5</v>
      </c>
      <c r="BT73" s="15">
        <v>2.1</v>
      </c>
      <c r="BU73" s="15">
        <f>SUM(BR73:BT73)</f>
        <v>3.5</v>
      </c>
      <c r="BV73" s="15">
        <f>BU73+BP73</f>
        <v>29.753070000000001</v>
      </c>
      <c r="BW73" s="15"/>
      <c r="BX73" s="15">
        <v>172.8</v>
      </c>
      <c r="BY73" s="15"/>
      <c r="BZ73" s="15">
        <f>BV73+BX73</f>
        <v>202.55307000000002</v>
      </c>
      <c r="CA73" s="15"/>
      <c r="CB73" s="15"/>
      <c r="CC73" s="15"/>
      <c r="CD73" s="15"/>
      <c r="CE73" s="15">
        <f>CE75</f>
        <v>4</v>
      </c>
      <c r="CF73" s="15"/>
      <c r="CG73" s="15"/>
      <c r="CH73" s="15"/>
      <c r="CI73" s="15"/>
      <c r="CJ73" s="15"/>
      <c r="CK73" s="15"/>
      <c r="CL73" s="15"/>
      <c r="CM73" s="15"/>
      <c r="CN73" s="18" t="s">
        <v>564</v>
      </c>
      <c r="CO73" s="18" t="s">
        <v>3</v>
      </c>
      <c r="CP73" s="24" t="s">
        <v>38</v>
      </c>
      <c r="CQ73" s="23" t="s">
        <v>30</v>
      </c>
    </row>
    <row r="74" spans="1:95" s="12" customFormat="1" ht="13">
      <c r="A74" s="18">
        <v>71</v>
      </c>
      <c r="B74" s="18" t="s">
        <v>9</v>
      </c>
      <c r="C74" s="18" t="s">
        <v>456</v>
      </c>
      <c r="D74" s="15" t="s">
        <v>16</v>
      </c>
      <c r="E74" s="18" t="s">
        <v>420</v>
      </c>
      <c r="F74" s="18" t="s">
        <v>37</v>
      </c>
      <c r="G74" s="18">
        <v>2007</v>
      </c>
      <c r="H74" s="18">
        <v>2009</v>
      </c>
      <c r="I74" s="18">
        <v>0</v>
      </c>
      <c r="J74" s="18">
        <v>0</v>
      </c>
      <c r="K74" s="18">
        <v>0</v>
      </c>
      <c r="L74" s="18">
        <v>0</v>
      </c>
      <c r="M74" s="18">
        <v>0</v>
      </c>
      <c r="N74" s="18">
        <v>0</v>
      </c>
      <c r="O74" s="15">
        <v>20.3</v>
      </c>
      <c r="P74" s="15">
        <v>183.60000000000002</v>
      </c>
      <c r="Q74" s="15">
        <v>3389</v>
      </c>
      <c r="R74" s="15">
        <v>0</v>
      </c>
      <c r="S74" s="15">
        <v>667</v>
      </c>
      <c r="T74" s="15">
        <v>85.2</v>
      </c>
      <c r="U74" s="15">
        <v>1657.133</v>
      </c>
      <c r="V74" s="15">
        <v>1.2944439999999999</v>
      </c>
      <c r="W74" s="15"/>
      <c r="X74" s="15"/>
      <c r="Y74" s="15"/>
      <c r="Z74" s="15"/>
      <c r="AA74" s="15"/>
      <c r="AB74" s="15"/>
      <c r="AC74" s="15"/>
      <c r="AD74" s="15"/>
      <c r="AE74" s="15"/>
      <c r="AF74" s="15"/>
      <c r="AG74" s="15"/>
      <c r="AH74" s="15"/>
      <c r="AI74" s="15"/>
      <c r="AJ74" s="15"/>
      <c r="AK74" s="15"/>
      <c r="AL74" s="15"/>
      <c r="AM74" s="15"/>
      <c r="AN74" s="15"/>
      <c r="AO74" s="15"/>
      <c r="AP74" s="15"/>
      <c r="AQ74" s="15"/>
      <c r="AR74" s="15"/>
      <c r="AS74" s="15"/>
      <c r="AT74" s="15"/>
      <c r="AU74" s="18"/>
      <c r="AV74" s="15"/>
      <c r="AW74" s="15">
        <v>11467</v>
      </c>
      <c r="AX74" s="15">
        <v>5.9</v>
      </c>
      <c r="AY74" s="15">
        <v>9.5</v>
      </c>
      <c r="AZ74" s="15">
        <f>(AX74/2)^2*PI()*AW74/10000</f>
        <v>31.350445534820999</v>
      </c>
      <c r="BA74" s="15"/>
      <c r="BB74" s="15"/>
      <c r="BC74" s="15"/>
      <c r="BD74" s="15">
        <v>45.44</v>
      </c>
      <c r="BE74" s="15">
        <v>48.15</v>
      </c>
      <c r="BF74" s="15">
        <v>46.28</v>
      </c>
      <c r="BG74" s="15"/>
      <c r="BH74" s="15"/>
      <c r="BI74" s="15"/>
      <c r="BJ74" s="15"/>
      <c r="BK74" s="15"/>
      <c r="BL74" s="15"/>
      <c r="BM74" s="15"/>
      <c r="BN74" s="15"/>
      <c r="BO74" s="15"/>
      <c r="BP74" s="15">
        <v>29.5</v>
      </c>
      <c r="BQ74" s="15"/>
      <c r="BR74" s="15"/>
      <c r="BS74" s="15"/>
      <c r="BT74" s="15"/>
      <c r="BU74" s="15"/>
      <c r="BV74" s="15"/>
      <c r="BW74" s="15"/>
      <c r="BX74" s="15"/>
      <c r="BY74" s="15"/>
      <c r="BZ74" s="15"/>
      <c r="CA74" s="15"/>
      <c r="CB74" s="15"/>
      <c r="CC74" s="15"/>
      <c r="CD74" s="15"/>
      <c r="CE74" s="15">
        <f>(4.1+1.7)/2</f>
        <v>2.9</v>
      </c>
      <c r="CF74" s="15"/>
      <c r="CG74" s="15"/>
      <c r="CH74" s="15"/>
      <c r="CI74" s="15"/>
      <c r="CJ74" s="15"/>
      <c r="CK74" s="15"/>
      <c r="CL74" s="15"/>
      <c r="CM74" s="15"/>
      <c r="CN74" s="18" t="s">
        <v>32</v>
      </c>
      <c r="CO74" s="18" t="s">
        <v>3</v>
      </c>
      <c r="CP74" s="24" t="s">
        <v>31</v>
      </c>
      <c r="CQ74" s="23" t="s">
        <v>30</v>
      </c>
    </row>
    <row r="75" spans="1:95" s="12" customFormat="1" ht="13">
      <c r="A75" s="18">
        <v>72</v>
      </c>
      <c r="B75" s="18" t="s">
        <v>9</v>
      </c>
      <c r="C75" s="18" t="s">
        <v>36</v>
      </c>
      <c r="D75" s="15" t="s">
        <v>478</v>
      </c>
      <c r="E75" s="18" t="s">
        <v>421</v>
      </c>
      <c r="F75" s="18" t="s">
        <v>35</v>
      </c>
      <c r="G75" s="18">
        <v>2007</v>
      </c>
      <c r="H75" s="18">
        <v>2009</v>
      </c>
      <c r="I75" s="18">
        <v>1</v>
      </c>
      <c r="J75" s="18">
        <v>0</v>
      </c>
      <c r="K75" s="18">
        <v>1</v>
      </c>
      <c r="L75" s="18">
        <v>0</v>
      </c>
      <c r="M75" s="18">
        <v>1</v>
      </c>
      <c r="N75" s="18">
        <v>0</v>
      </c>
      <c r="O75" s="15">
        <v>20.3</v>
      </c>
      <c r="P75" s="15">
        <v>183.60000000000002</v>
      </c>
      <c r="Q75" s="15">
        <v>3389</v>
      </c>
      <c r="R75" s="15">
        <v>0</v>
      </c>
      <c r="S75" s="15">
        <v>667</v>
      </c>
      <c r="T75" s="15">
        <v>85.2</v>
      </c>
      <c r="U75" s="15">
        <v>1657.133</v>
      </c>
      <c r="V75" s="15">
        <v>1.2944439999999999</v>
      </c>
      <c r="W75" s="15"/>
      <c r="X75" s="15"/>
      <c r="Y75" s="15"/>
      <c r="Z75" s="15"/>
      <c r="AA75" s="15"/>
      <c r="AB75" s="15"/>
      <c r="AC75" s="15"/>
      <c r="AD75" s="15"/>
      <c r="AE75" s="15"/>
      <c r="AF75" s="15"/>
      <c r="AG75" s="15"/>
      <c r="AH75" s="15"/>
      <c r="AI75" s="15"/>
      <c r="AJ75" s="15"/>
      <c r="AK75" s="15"/>
      <c r="AL75" s="15"/>
      <c r="AM75" s="15"/>
      <c r="AN75" s="15"/>
      <c r="AO75" s="15"/>
      <c r="AP75" s="15"/>
      <c r="AQ75" s="15"/>
      <c r="AR75" s="15"/>
      <c r="AS75" s="15"/>
      <c r="AT75" s="15"/>
      <c r="AU75" s="18"/>
      <c r="AV75" s="15"/>
      <c r="AW75" s="15">
        <v>5567</v>
      </c>
      <c r="AX75" s="15">
        <v>4.8</v>
      </c>
      <c r="AY75" s="15">
        <v>8</v>
      </c>
      <c r="AZ75" s="15">
        <f t="shared" si="7"/>
        <v>10.073805870259802</v>
      </c>
      <c r="BA75" s="15"/>
      <c r="BB75" s="15"/>
      <c r="BC75" s="15"/>
      <c r="BD75" s="15">
        <v>45.44</v>
      </c>
      <c r="BE75" s="15">
        <v>48.15</v>
      </c>
      <c r="BF75" s="15">
        <v>46.28</v>
      </c>
      <c r="BG75" s="15"/>
      <c r="BH75" s="15"/>
      <c r="BI75" s="15"/>
      <c r="BJ75" s="15"/>
      <c r="BK75" s="15"/>
      <c r="BL75" s="15"/>
      <c r="BM75" s="15"/>
      <c r="BN75" s="15"/>
      <c r="BO75" s="15"/>
      <c r="BP75" s="15">
        <v>8</v>
      </c>
      <c r="BQ75" s="15"/>
      <c r="BR75" s="15"/>
      <c r="BS75" s="15"/>
      <c r="BT75" s="15"/>
      <c r="BU75" s="15"/>
      <c r="BV75" s="15"/>
      <c r="BW75" s="15"/>
      <c r="BX75" s="15"/>
      <c r="BY75" s="15"/>
      <c r="BZ75" s="15"/>
      <c r="CA75" s="15"/>
      <c r="CB75" s="15"/>
      <c r="CC75" s="15"/>
      <c r="CD75" s="15"/>
      <c r="CE75" s="15">
        <f>(2.2+5.8)/2</f>
        <v>4</v>
      </c>
      <c r="CF75" s="15"/>
      <c r="CG75" s="15"/>
      <c r="CH75" s="15"/>
      <c r="CI75" s="15"/>
      <c r="CJ75" s="15"/>
      <c r="CK75" s="15"/>
      <c r="CL75" s="15"/>
      <c r="CM75" s="15"/>
      <c r="CN75" s="18" t="s">
        <v>32</v>
      </c>
      <c r="CO75" s="18" t="s">
        <v>17</v>
      </c>
      <c r="CP75" s="24" t="s">
        <v>31</v>
      </c>
      <c r="CQ75" s="23" t="s">
        <v>30</v>
      </c>
    </row>
    <row r="76" spans="1:95" s="12" customFormat="1" ht="13">
      <c r="A76" s="18">
        <v>73</v>
      </c>
      <c r="B76" s="18" t="s">
        <v>9</v>
      </c>
      <c r="C76" s="18" t="s">
        <v>34</v>
      </c>
      <c r="D76" s="15" t="s">
        <v>16</v>
      </c>
      <c r="E76" s="18" t="s">
        <v>422</v>
      </c>
      <c r="F76" s="18" t="s">
        <v>33</v>
      </c>
      <c r="G76" s="18">
        <v>2007</v>
      </c>
      <c r="H76" s="18">
        <v>2009</v>
      </c>
      <c r="I76" s="18">
        <v>1</v>
      </c>
      <c r="J76" s="18">
        <v>0</v>
      </c>
      <c r="K76" s="18">
        <v>1</v>
      </c>
      <c r="L76" s="18">
        <v>0</v>
      </c>
      <c r="M76" s="18">
        <v>0</v>
      </c>
      <c r="N76" s="18">
        <v>0</v>
      </c>
      <c r="O76" s="15">
        <v>20.3</v>
      </c>
      <c r="P76" s="15">
        <v>183.60000000000002</v>
      </c>
      <c r="Q76" s="15">
        <v>3389</v>
      </c>
      <c r="R76" s="15">
        <v>0</v>
      </c>
      <c r="S76" s="15">
        <v>667</v>
      </c>
      <c r="T76" s="15">
        <v>85.2</v>
      </c>
      <c r="U76" s="15">
        <v>1657.133</v>
      </c>
      <c r="V76" s="15">
        <v>1.2944439999999999</v>
      </c>
      <c r="W76" s="15"/>
      <c r="X76" s="15"/>
      <c r="Y76" s="15"/>
      <c r="Z76" s="15"/>
      <c r="AA76" s="15"/>
      <c r="AB76" s="15"/>
      <c r="AC76" s="15"/>
      <c r="AD76" s="15"/>
      <c r="AE76" s="15"/>
      <c r="AF76" s="15"/>
      <c r="AG76" s="15"/>
      <c r="AH76" s="15"/>
      <c r="AI76" s="15"/>
      <c r="AJ76" s="15"/>
      <c r="AK76" s="15"/>
      <c r="AL76" s="15"/>
      <c r="AM76" s="15"/>
      <c r="AN76" s="15"/>
      <c r="AO76" s="15"/>
      <c r="AP76" s="15"/>
      <c r="AQ76" s="15"/>
      <c r="AR76" s="15"/>
      <c r="AS76" s="15"/>
      <c r="AT76" s="15"/>
      <c r="AU76" s="18"/>
      <c r="AV76" s="15"/>
      <c r="AW76" s="15">
        <v>10633</v>
      </c>
      <c r="AX76" s="15">
        <v>5.9</v>
      </c>
      <c r="AY76" s="15">
        <v>9.5</v>
      </c>
      <c r="AZ76" s="15">
        <f t="shared" si="7"/>
        <v>29.070313715161038</v>
      </c>
      <c r="BA76" s="15"/>
      <c r="BB76" s="15"/>
      <c r="BC76" s="15"/>
      <c r="BD76" s="15">
        <v>45.44</v>
      </c>
      <c r="BE76" s="15">
        <v>48.15</v>
      </c>
      <c r="BF76" s="15">
        <v>46.28</v>
      </c>
      <c r="BG76" s="15"/>
      <c r="BH76" s="15"/>
      <c r="BI76" s="15"/>
      <c r="BJ76" s="15"/>
      <c r="BK76" s="15"/>
      <c r="BL76" s="15"/>
      <c r="BM76" s="15"/>
      <c r="BN76" s="15"/>
      <c r="BO76" s="15"/>
      <c r="BP76" s="15">
        <v>28.4</v>
      </c>
      <c r="BQ76" s="15"/>
      <c r="BR76" s="15"/>
      <c r="BS76" s="15"/>
      <c r="BT76" s="15"/>
      <c r="BU76" s="15"/>
      <c r="BV76" s="15"/>
      <c r="BW76" s="15"/>
      <c r="BX76" s="15"/>
      <c r="BY76" s="15"/>
      <c r="BZ76" s="15"/>
      <c r="CA76" s="15"/>
      <c r="CB76" s="15"/>
      <c r="CC76" s="15"/>
      <c r="CD76" s="15"/>
      <c r="CE76" s="15">
        <f>(6.7+1.5)/2</f>
        <v>4.0999999999999996</v>
      </c>
      <c r="CF76" s="15"/>
      <c r="CG76" s="15"/>
      <c r="CH76" s="15"/>
      <c r="CI76" s="15"/>
      <c r="CJ76" s="15"/>
      <c r="CK76" s="15"/>
      <c r="CL76" s="15"/>
      <c r="CM76" s="15"/>
      <c r="CN76" s="18" t="s">
        <v>32</v>
      </c>
      <c r="CO76" s="18" t="s">
        <v>3</v>
      </c>
      <c r="CP76" s="24" t="s">
        <v>31</v>
      </c>
      <c r="CQ76" s="23" t="s">
        <v>30</v>
      </c>
    </row>
    <row r="77" spans="1:95" s="12" customFormat="1" ht="13">
      <c r="A77" s="18">
        <v>74</v>
      </c>
      <c r="B77" s="18" t="s">
        <v>9</v>
      </c>
      <c r="C77" s="18" t="s">
        <v>29</v>
      </c>
      <c r="D77" s="15" t="s">
        <v>16</v>
      </c>
      <c r="E77" s="18" t="s">
        <v>423</v>
      </c>
      <c r="F77" s="18" t="s">
        <v>28</v>
      </c>
      <c r="G77" s="18">
        <v>2004</v>
      </c>
      <c r="H77" s="18">
        <v>2007</v>
      </c>
      <c r="I77" s="18">
        <v>1</v>
      </c>
      <c r="J77" s="18">
        <v>1</v>
      </c>
      <c r="K77" s="18">
        <v>1</v>
      </c>
      <c r="L77" s="18">
        <v>1</v>
      </c>
      <c r="M77" s="18">
        <v>0</v>
      </c>
      <c r="N77" s="18">
        <v>0</v>
      </c>
      <c r="O77" s="15">
        <f>(11+22)/2</f>
        <v>16.5</v>
      </c>
      <c r="P77" s="15">
        <f t="shared" ref="P77:P91" si="8">(O77-5)*12</f>
        <v>138</v>
      </c>
      <c r="Q77" s="15">
        <f>(1900+2500)/2</f>
        <v>2200</v>
      </c>
      <c r="R77" s="15">
        <v>0</v>
      </c>
      <c r="S77" s="15">
        <f>(600+900)/2</f>
        <v>750</v>
      </c>
      <c r="T77" s="15">
        <v>82.666669999999996</v>
      </c>
      <c r="U77" s="15">
        <v>1561.7</v>
      </c>
      <c r="V77" s="15">
        <v>1.2250000000000001</v>
      </c>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8"/>
      <c r="AV77" s="15"/>
      <c r="AW77" s="15">
        <v>6996</v>
      </c>
      <c r="AX77" s="15">
        <v>8.73</v>
      </c>
      <c r="AY77" s="15"/>
      <c r="AZ77" s="15">
        <f t="shared" si="7"/>
        <v>41.876287192360493</v>
      </c>
      <c r="BA77" s="15"/>
      <c r="BB77" s="15"/>
      <c r="BC77" s="15"/>
      <c r="BD77" s="15">
        <v>45.44</v>
      </c>
      <c r="BE77" s="15">
        <v>48.15</v>
      </c>
      <c r="BF77" s="15">
        <v>46.28</v>
      </c>
      <c r="BG77" s="15"/>
      <c r="BH77" s="15"/>
      <c r="BI77" s="15"/>
      <c r="BJ77" s="15"/>
      <c r="BK77" s="15"/>
      <c r="BL77" s="15"/>
      <c r="BM77" s="15">
        <f>3.65*BD77/100</f>
        <v>1.65856</v>
      </c>
      <c r="BN77" s="15">
        <f>11.33*BE77/100</f>
        <v>5.4553949999999993</v>
      </c>
      <c r="BO77" s="15">
        <f>79.42*BF77/100</f>
        <v>36.755575999999998</v>
      </c>
      <c r="BP77" s="15">
        <f>BM77+BN77+BO77</f>
        <v>43.869530999999995</v>
      </c>
      <c r="BQ77" s="15"/>
      <c r="BR77" s="15"/>
      <c r="BS77" s="15"/>
      <c r="BT77" s="15"/>
      <c r="BU77" s="15"/>
      <c r="BV77" s="15"/>
      <c r="BW77" s="15"/>
      <c r="BX77" s="15"/>
      <c r="BY77" s="15"/>
      <c r="BZ77" s="15"/>
      <c r="CA77" s="15"/>
      <c r="CB77" s="15"/>
      <c r="CC77" s="15"/>
      <c r="CD77" s="15"/>
      <c r="CE77" s="15"/>
      <c r="CF77" s="15"/>
      <c r="CG77" s="15"/>
      <c r="CH77" s="15"/>
      <c r="CI77" s="15"/>
      <c r="CJ77" s="15"/>
      <c r="CK77" s="15"/>
      <c r="CL77" s="15"/>
      <c r="CM77" s="15"/>
      <c r="CN77" s="18" t="s">
        <v>27</v>
      </c>
      <c r="CO77" s="18" t="s">
        <v>17</v>
      </c>
      <c r="CP77" s="24" t="s">
        <v>25</v>
      </c>
      <c r="CQ77" s="23" t="s">
        <v>1</v>
      </c>
    </row>
    <row r="78" spans="1:95" s="12" customFormat="1" ht="13">
      <c r="A78" s="18">
        <v>75</v>
      </c>
      <c r="B78" s="18" t="s">
        <v>9</v>
      </c>
      <c r="C78" s="18" t="s">
        <v>565</v>
      </c>
      <c r="D78" s="15" t="s">
        <v>7</v>
      </c>
      <c r="E78" s="18" t="s">
        <v>443</v>
      </c>
      <c r="F78" s="18" t="s">
        <v>444</v>
      </c>
      <c r="G78" s="18">
        <v>2004</v>
      </c>
      <c r="H78" s="18">
        <v>2007</v>
      </c>
      <c r="I78" s="18">
        <v>1</v>
      </c>
      <c r="J78" s="18">
        <v>1</v>
      </c>
      <c r="K78" s="18">
        <v>1</v>
      </c>
      <c r="L78" s="18">
        <v>1</v>
      </c>
      <c r="M78" s="18">
        <v>0</v>
      </c>
      <c r="N78" s="18">
        <v>0</v>
      </c>
      <c r="O78" s="15">
        <f>(11+22)/2</f>
        <v>16.5</v>
      </c>
      <c r="P78" s="15">
        <f t="shared" si="8"/>
        <v>138</v>
      </c>
      <c r="Q78" s="15">
        <f>(1900+2500)/2</f>
        <v>2200</v>
      </c>
      <c r="R78" s="15">
        <v>0</v>
      </c>
      <c r="S78" s="15">
        <f>(900+1200)/2</f>
        <v>1050</v>
      </c>
      <c r="T78" s="15">
        <v>82.666669999999996</v>
      </c>
      <c r="U78" s="15">
        <v>1561.7</v>
      </c>
      <c r="V78" s="15">
        <v>1.2250000000000001</v>
      </c>
      <c r="W78" s="15"/>
      <c r="X78" s="15"/>
      <c r="Y78" s="15"/>
      <c r="Z78" s="15"/>
      <c r="AA78" s="15"/>
      <c r="AB78" s="15"/>
      <c r="AC78" s="15"/>
      <c r="AD78" s="15"/>
      <c r="AE78" s="15"/>
      <c r="AF78" s="15"/>
      <c r="AG78" s="15"/>
      <c r="AH78" s="15"/>
      <c r="AI78" s="15"/>
      <c r="AJ78" s="15"/>
      <c r="AK78" s="15"/>
      <c r="AL78" s="15"/>
      <c r="AM78" s="15"/>
      <c r="AN78" s="15"/>
      <c r="AO78" s="15"/>
      <c r="AP78" s="15"/>
      <c r="AQ78" s="15"/>
      <c r="AR78" s="15"/>
      <c r="AS78" s="15"/>
      <c r="AT78" s="15"/>
      <c r="AU78" s="18"/>
      <c r="AV78" s="15"/>
      <c r="AW78" s="15">
        <v>7188</v>
      </c>
      <c r="AX78" s="15">
        <v>8.8699999999999992</v>
      </c>
      <c r="AY78" s="15"/>
      <c r="AZ78" s="15">
        <f t="shared" si="7"/>
        <v>44.41658755718521</v>
      </c>
      <c r="BA78" s="15"/>
      <c r="BB78" s="15"/>
      <c r="BC78" s="15"/>
      <c r="BD78" s="15">
        <v>45.44</v>
      </c>
      <c r="BE78" s="15">
        <v>48.15</v>
      </c>
      <c r="BF78" s="15">
        <v>46.28</v>
      </c>
      <c r="BG78" s="15"/>
      <c r="BH78" s="15"/>
      <c r="BI78" s="15"/>
      <c r="BJ78" s="15"/>
      <c r="BK78" s="15"/>
      <c r="BL78" s="15"/>
      <c r="BM78" s="15">
        <f>2.89*BD78/100</f>
        <v>1.3132159999999999</v>
      </c>
      <c r="BN78" s="15">
        <f>9.91*BE78/100</f>
        <v>4.7716649999999996</v>
      </c>
      <c r="BO78" s="15">
        <f>67.23*BF78/100</f>
        <v>31.114044000000003</v>
      </c>
      <c r="BP78" s="15">
        <f>BM78+BN78+BO78</f>
        <v>37.198925000000003</v>
      </c>
      <c r="BQ78" s="15"/>
      <c r="BR78" s="15"/>
      <c r="BS78" s="15"/>
      <c r="BT78" s="15"/>
      <c r="BU78" s="15"/>
      <c r="BV78" s="15"/>
      <c r="BW78" s="15"/>
      <c r="BX78" s="15"/>
      <c r="BY78" s="15"/>
      <c r="BZ78" s="15"/>
      <c r="CA78" s="15"/>
      <c r="CB78" s="15"/>
      <c r="CC78" s="15"/>
      <c r="CD78" s="15"/>
      <c r="CE78" s="15"/>
      <c r="CF78" s="15"/>
      <c r="CG78" s="15"/>
      <c r="CH78" s="15"/>
      <c r="CI78" s="15"/>
      <c r="CJ78" s="15"/>
      <c r="CK78" s="15"/>
      <c r="CL78" s="15"/>
      <c r="CM78" s="15"/>
      <c r="CN78" s="18" t="s">
        <v>26</v>
      </c>
      <c r="CO78" s="18" t="s">
        <v>3</v>
      </c>
      <c r="CP78" s="24" t="s">
        <v>25</v>
      </c>
      <c r="CQ78" s="23" t="s">
        <v>1</v>
      </c>
    </row>
    <row r="79" spans="1:95" s="12" customFormat="1" ht="13">
      <c r="A79" s="18">
        <v>76</v>
      </c>
      <c r="B79" s="18" t="s">
        <v>9</v>
      </c>
      <c r="C79" s="18" t="s">
        <v>22</v>
      </c>
      <c r="D79" s="15" t="s">
        <v>7</v>
      </c>
      <c r="E79" s="18" t="s">
        <v>424</v>
      </c>
      <c r="F79" s="18" t="s">
        <v>24</v>
      </c>
      <c r="G79" s="18">
        <v>2008</v>
      </c>
      <c r="H79" s="18">
        <v>2009</v>
      </c>
      <c r="I79" s="18">
        <v>1</v>
      </c>
      <c r="J79" s="18">
        <v>1</v>
      </c>
      <c r="K79" s="18">
        <v>0</v>
      </c>
      <c r="L79" s="18">
        <v>1</v>
      </c>
      <c r="M79" s="18">
        <v>0</v>
      </c>
      <c r="N79" s="18">
        <v>0</v>
      </c>
      <c r="O79" s="15">
        <v>23</v>
      </c>
      <c r="P79" s="15">
        <f t="shared" si="8"/>
        <v>216</v>
      </c>
      <c r="Q79" s="15">
        <v>2600</v>
      </c>
      <c r="R79" s="15">
        <v>0</v>
      </c>
      <c r="S79" s="15">
        <v>1135</v>
      </c>
      <c r="T79" s="15">
        <v>81.458330000000004</v>
      </c>
      <c r="U79" s="15">
        <v>1222</v>
      </c>
      <c r="V79" s="15">
        <v>0.65833299999999995</v>
      </c>
      <c r="W79" s="15"/>
      <c r="X79" s="15"/>
      <c r="Y79" s="15"/>
      <c r="Z79" s="15"/>
      <c r="AA79" s="15"/>
      <c r="AB79" s="15"/>
      <c r="AC79" s="15"/>
      <c r="AD79" s="15"/>
      <c r="AE79" s="15"/>
      <c r="AF79" s="15"/>
      <c r="AG79" s="15"/>
      <c r="AH79" s="15"/>
      <c r="AI79" s="15"/>
      <c r="AJ79" s="15"/>
      <c r="AK79" s="15"/>
      <c r="AL79" s="15"/>
      <c r="AM79" s="15"/>
      <c r="AN79" s="15"/>
      <c r="AO79" s="15"/>
      <c r="AP79" s="15"/>
      <c r="AQ79" s="15"/>
      <c r="AR79" s="15"/>
      <c r="AS79" s="15"/>
      <c r="AT79" s="15"/>
      <c r="AU79" s="18"/>
      <c r="AV79" s="15"/>
      <c r="AW79" s="15">
        <v>5167</v>
      </c>
      <c r="AX79" s="15">
        <v>8.9</v>
      </c>
      <c r="AY79" s="15">
        <v>12.6</v>
      </c>
      <c r="AZ79" s="15">
        <f t="shared" si="7"/>
        <v>32.144624449685232</v>
      </c>
      <c r="BA79" s="15"/>
      <c r="BB79" s="15"/>
      <c r="BC79" s="15"/>
      <c r="BD79" s="15"/>
      <c r="BE79" s="15"/>
      <c r="BF79" s="15"/>
      <c r="BG79" s="15"/>
      <c r="BH79" s="15"/>
      <c r="BI79" s="15"/>
      <c r="BJ79" s="15"/>
      <c r="BK79" s="15"/>
      <c r="BL79" s="15"/>
      <c r="BM79" s="15">
        <f>2.8*0.5</f>
        <v>1.4</v>
      </c>
      <c r="BN79" s="15">
        <f>9.7*0.5</f>
        <v>4.8499999999999996</v>
      </c>
      <c r="BO79" s="15">
        <f>61*0.5</f>
        <v>30.5</v>
      </c>
      <c r="BP79" s="15">
        <f>SUM(BM79:BO79)</f>
        <v>36.75</v>
      </c>
      <c r="BQ79" s="15">
        <f>BU79/BP79</f>
        <v>1.2394557823129251</v>
      </c>
      <c r="BR79" s="15">
        <f>6.2*0.5</f>
        <v>3.1</v>
      </c>
      <c r="BS79" s="15">
        <f>64.5*0.5</f>
        <v>32.25</v>
      </c>
      <c r="BT79" s="15">
        <f>20.4*0.5</f>
        <v>10.199999999999999</v>
      </c>
      <c r="BU79" s="15">
        <f>SUM(BR79:BT79)</f>
        <v>45.55</v>
      </c>
      <c r="BV79" s="15">
        <f>BU79+BP79</f>
        <v>82.3</v>
      </c>
      <c r="BW79" s="15"/>
      <c r="BX79" s="15"/>
      <c r="BY79" s="15"/>
      <c r="BZ79" s="15"/>
      <c r="CA79" s="15">
        <f>0.3*0.5</f>
        <v>0.15</v>
      </c>
      <c r="CB79" s="15">
        <f>1.2*0.5</f>
        <v>0.6</v>
      </c>
      <c r="CC79" s="15">
        <f>7.8*0.5</f>
        <v>3.9</v>
      </c>
      <c r="CD79" s="15"/>
      <c r="CE79" s="15">
        <f>SUM(CA79:CD79)</f>
        <v>4.6500000000000004</v>
      </c>
      <c r="CF79" s="15"/>
      <c r="CG79" s="15"/>
      <c r="CH79" s="15"/>
      <c r="CI79" s="15"/>
      <c r="CJ79" s="15"/>
      <c r="CK79" s="15"/>
      <c r="CL79" s="15"/>
      <c r="CM79" s="15"/>
      <c r="CN79" s="18" t="s">
        <v>20</v>
      </c>
      <c r="CO79" s="18" t="s">
        <v>17</v>
      </c>
      <c r="CP79" s="24" t="s">
        <v>23</v>
      </c>
      <c r="CQ79" s="23" t="s">
        <v>1</v>
      </c>
    </row>
    <row r="80" spans="1:95" s="12" customFormat="1" ht="13">
      <c r="A80" s="18">
        <v>77</v>
      </c>
      <c r="B80" s="18" t="s">
        <v>9</v>
      </c>
      <c r="C80" s="18" t="s">
        <v>22</v>
      </c>
      <c r="D80" s="15" t="s">
        <v>7</v>
      </c>
      <c r="E80" s="18" t="s">
        <v>425</v>
      </c>
      <c r="F80" s="18" t="s">
        <v>21</v>
      </c>
      <c r="G80" s="18">
        <v>2008</v>
      </c>
      <c r="H80" s="18">
        <v>2009</v>
      </c>
      <c r="I80" s="18">
        <v>1</v>
      </c>
      <c r="J80" s="18">
        <v>1</v>
      </c>
      <c r="K80" s="18">
        <v>0</v>
      </c>
      <c r="L80" s="18">
        <v>1</v>
      </c>
      <c r="M80" s="18">
        <v>0</v>
      </c>
      <c r="N80" s="18">
        <v>0</v>
      </c>
      <c r="O80" s="15">
        <v>23</v>
      </c>
      <c r="P80" s="15">
        <f t="shared" si="8"/>
        <v>216</v>
      </c>
      <c r="Q80" s="15">
        <v>2600</v>
      </c>
      <c r="R80" s="15">
        <v>0</v>
      </c>
      <c r="S80" s="15">
        <v>1135</v>
      </c>
      <c r="T80" s="15">
        <v>81.458330000000004</v>
      </c>
      <c r="U80" s="15">
        <v>1222</v>
      </c>
      <c r="V80" s="15">
        <v>0.65833299999999995</v>
      </c>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8"/>
      <c r="AV80" s="15"/>
      <c r="AW80" s="15">
        <v>5733</v>
      </c>
      <c r="AX80" s="15">
        <v>9.1</v>
      </c>
      <c r="AY80" s="15">
        <v>13.2</v>
      </c>
      <c r="AZ80" s="15">
        <f t="shared" si="7"/>
        <v>37.286756601543445</v>
      </c>
      <c r="BA80" s="15"/>
      <c r="BB80" s="15"/>
      <c r="BC80" s="15"/>
      <c r="BD80" s="15"/>
      <c r="BE80" s="15"/>
      <c r="BF80" s="15"/>
      <c r="BG80" s="15"/>
      <c r="BH80" s="15"/>
      <c r="BI80" s="15"/>
      <c r="BJ80" s="15"/>
      <c r="BK80" s="15"/>
      <c r="BL80" s="15"/>
      <c r="BM80" s="15">
        <f>3.2*0.5</f>
        <v>1.6</v>
      </c>
      <c r="BN80" s="15">
        <f>10.8*0.5</f>
        <v>5.4</v>
      </c>
      <c r="BO80" s="15">
        <f>69.9*0.5</f>
        <v>34.950000000000003</v>
      </c>
      <c r="BP80" s="15">
        <f>SUM(BM80:BO80)</f>
        <v>41.95</v>
      </c>
      <c r="BQ80" s="15">
        <f>BU80/BP80</f>
        <v>1.1108462455303934</v>
      </c>
      <c r="BR80" s="15">
        <f>6.1*0.5</f>
        <v>3.05</v>
      </c>
      <c r="BS80" s="15">
        <f>63.4*0.5</f>
        <v>31.7</v>
      </c>
      <c r="BT80" s="15">
        <f>23.7*0.5</f>
        <v>11.85</v>
      </c>
      <c r="BU80" s="15">
        <f>SUM(BR80:BT80)</f>
        <v>46.6</v>
      </c>
      <c r="BV80" s="15">
        <f>BU80+BP80</f>
        <v>88.550000000000011</v>
      </c>
      <c r="BW80" s="15"/>
      <c r="BX80" s="15"/>
      <c r="BY80" s="15"/>
      <c r="BZ80" s="15"/>
      <c r="CA80" s="15">
        <f>0.2*0.5</f>
        <v>0.1</v>
      </c>
      <c r="CB80" s="15">
        <f>0.9*0.5</f>
        <v>0.45</v>
      </c>
      <c r="CC80" s="15">
        <f>5.8*0.5</f>
        <v>2.9</v>
      </c>
      <c r="CD80" s="15"/>
      <c r="CE80" s="15">
        <f>SUM(CA80:CD80)</f>
        <v>3.45</v>
      </c>
      <c r="CF80" s="15"/>
      <c r="CG80" s="15"/>
      <c r="CH80" s="15"/>
      <c r="CI80" s="15"/>
      <c r="CJ80" s="15"/>
      <c r="CK80" s="15"/>
      <c r="CL80" s="15"/>
      <c r="CM80" s="15"/>
      <c r="CN80" s="18" t="s">
        <v>20</v>
      </c>
      <c r="CO80" s="18" t="s">
        <v>3</v>
      </c>
      <c r="CP80" s="24" t="s">
        <v>19</v>
      </c>
      <c r="CQ80" s="23" t="s">
        <v>1</v>
      </c>
    </row>
    <row r="81" spans="1:95" s="12" customFormat="1" ht="13">
      <c r="A81" s="18">
        <v>78</v>
      </c>
      <c r="B81" s="18" t="s">
        <v>9</v>
      </c>
      <c r="C81" s="18" t="s">
        <v>455</v>
      </c>
      <c r="D81" s="15" t="s">
        <v>16</v>
      </c>
      <c r="E81" s="18" t="s">
        <v>426</v>
      </c>
      <c r="F81" s="18" t="s">
        <v>18</v>
      </c>
      <c r="G81" s="18">
        <v>2008</v>
      </c>
      <c r="H81" s="18">
        <v>2008</v>
      </c>
      <c r="I81" s="18">
        <v>1</v>
      </c>
      <c r="J81" s="18">
        <v>1</v>
      </c>
      <c r="K81" s="18">
        <v>0</v>
      </c>
      <c r="L81" s="18">
        <v>1</v>
      </c>
      <c r="M81" s="18">
        <v>0</v>
      </c>
      <c r="N81" s="18">
        <v>0</v>
      </c>
      <c r="O81" s="15">
        <v>15.3</v>
      </c>
      <c r="P81" s="15">
        <f t="shared" si="8"/>
        <v>123.60000000000001</v>
      </c>
      <c r="Q81" s="15">
        <v>1558</v>
      </c>
      <c r="R81" s="15">
        <v>0</v>
      </c>
      <c r="S81" s="15">
        <v>769</v>
      </c>
      <c r="T81" s="15">
        <v>82.666669999999996</v>
      </c>
      <c r="U81" s="15">
        <v>1561.7</v>
      </c>
      <c r="V81" s="15">
        <v>1.2250000000000001</v>
      </c>
      <c r="W81" s="15"/>
      <c r="X81" s="15"/>
      <c r="Y81" s="15"/>
      <c r="Z81" s="15"/>
      <c r="AA81" s="15"/>
      <c r="AB81" s="15"/>
      <c r="AC81" s="15"/>
      <c r="AD81" s="15"/>
      <c r="AE81" s="15"/>
      <c r="AF81" s="15"/>
      <c r="AG81" s="15"/>
      <c r="AH81" s="15"/>
      <c r="AI81" s="15"/>
      <c r="AJ81" s="15"/>
      <c r="AK81" s="15"/>
      <c r="AL81" s="15"/>
      <c r="AM81" s="15"/>
      <c r="AN81" s="15"/>
      <c r="AO81" s="15"/>
      <c r="AP81" s="15"/>
      <c r="AQ81" s="15"/>
      <c r="AR81" s="15"/>
      <c r="AS81" s="15"/>
      <c r="AT81" s="15"/>
      <c r="AU81" s="18"/>
      <c r="AV81" s="15"/>
      <c r="AW81" s="15">
        <v>5733</v>
      </c>
      <c r="AX81" s="15">
        <v>6.3</v>
      </c>
      <c r="AY81" s="15"/>
      <c r="AZ81" s="15">
        <f t="shared" si="7"/>
        <v>17.871167365236797</v>
      </c>
      <c r="BA81" s="15"/>
      <c r="BB81" s="15"/>
      <c r="BC81" s="15"/>
      <c r="BD81" s="15"/>
      <c r="BE81" s="15"/>
      <c r="BF81" s="15"/>
      <c r="BG81" s="15"/>
      <c r="BH81" s="15"/>
      <c r="BI81" s="15"/>
      <c r="BJ81" s="15"/>
      <c r="BK81" s="15"/>
      <c r="BL81" s="15"/>
      <c r="BM81" s="15"/>
      <c r="BN81" s="15"/>
      <c r="BO81" s="15"/>
      <c r="BP81" s="15">
        <v>38.4</v>
      </c>
      <c r="BQ81" s="15"/>
      <c r="BR81" s="15"/>
      <c r="BS81" s="15"/>
      <c r="BT81" s="15"/>
      <c r="BU81" s="15"/>
      <c r="BV81" s="15"/>
      <c r="BW81" s="15"/>
      <c r="BX81" s="15"/>
      <c r="BY81" s="15"/>
      <c r="BZ81" s="15"/>
      <c r="CA81" s="15"/>
      <c r="CB81" s="15"/>
      <c r="CC81" s="15"/>
      <c r="CD81" s="15"/>
      <c r="CE81" s="15"/>
      <c r="CF81" s="15"/>
      <c r="CG81" s="15"/>
      <c r="CH81" s="15"/>
      <c r="CI81" s="15"/>
      <c r="CJ81" s="15"/>
      <c r="CK81" s="15"/>
      <c r="CL81" s="15"/>
      <c r="CM81" s="15"/>
      <c r="CN81" s="18" t="s">
        <v>14</v>
      </c>
      <c r="CO81" s="18" t="s">
        <v>17</v>
      </c>
      <c r="CP81" s="24" t="s">
        <v>13</v>
      </c>
      <c r="CQ81" s="23" t="s">
        <v>1</v>
      </c>
    </row>
    <row r="82" spans="1:95" s="12" customFormat="1" ht="13">
      <c r="A82" s="18">
        <v>79</v>
      </c>
      <c r="B82" s="18" t="s">
        <v>9</v>
      </c>
      <c r="C82" s="18" t="s">
        <v>455</v>
      </c>
      <c r="D82" s="15" t="s">
        <v>16</v>
      </c>
      <c r="E82" s="18" t="s">
        <v>427</v>
      </c>
      <c r="F82" s="18" t="s">
        <v>15</v>
      </c>
      <c r="G82" s="18">
        <v>2008</v>
      </c>
      <c r="H82" s="18">
        <v>2014</v>
      </c>
      <c r="I82" s="18">
        <v>0</v>
      </c>
      <c r="J82" s="18">
        <v>0</v>
      </c>
      <c r="K82" s="18">
        <v>0</v>
      </c>
      <c r="L82" s="18">
        <v>0</v>
      </c>
      <c r="M82" s="18">
        <v>0</v>
      </c>
      <c r="N82" s="18">
        <v>0</v>
      </c>
      <c r="O82" s="15">
        <v>15.3</v>
      </c>
      <c r="P82" s="15">
        <f t="shared" si="8"/>
        <v>123.60000000000001</v>
      </c>
      <c r="Q82" s="15">
        <v>1558</v>
      </c>
      <c r="R82" s="15">
        <v>0</v>
      </c>
      <c r="S82" s="15">
        <v>769</v>
      </c>
      <c r="T82" s="15">
        <v>82.666669999999996</v>
      </c>
      <c r="U82" s="15">
        <v>1561.7</v>
      </c>
      <c r="V82" s="15">
        <v>1.2250000000000001</v>
      </c>
      <c r="W82" s="15"/>
      <c r="X82" s="15"/>
      <c r="Y82" s="15"/>
      <c r="Z82" s="15"/>
      <c r="AA82" s="15"/>
      <c r="AB82" s="15"/>
      <c r="AC82" s="15"/>
      <c r="AD82" s="15"/>
      <c r="AE82" s="15"/>
      <c r="AF82" s="15"/>
      <c r="AG82" s="15"/>
      <c r="AH82" s="15"/>
      <c r="AI82" s="15"/>
      <c r="AJ82" s="15"/>
      <c r="AK82" s="15"/>
      <c r="AL82" s="15"/>
      <c r="AM82" s="15"/>
      <c r="AN82" s="15"/>
      <c r="AO82" s="15"/>
      <c r="AP82" s="15"/>
      <c r="AQ82" s="15"/>
      <c r="AR82" s="15"/>
      <c r="AS82" s="15"/>
      <c r="AT82" s="15"/>
      <c r="AU82" s="18"/>
      <c r="AV82" s="15"/>
      <c r="AW82" s="15">
        <v>13067</v>
      </c>
      <c r="AX82" s="15">
        <v>5.5</v>
      </c>
      <c r="AY82" s="15"/>
      <c r="AZ82" s="15">
        <f t="shared" si="7"/>
        <v>31.044963348371233</v>
      </c>
      <c r="BA82" s="15"/>
      <c r="BB82" s="15"/>
      <c r="BC82" s="15"/>
      <c r="BD82" s="15"/>
      <c r="BE82" s="15"/>
      <c r="BF82" s="15"/>
      <c r="BG82" s="15"/>
      <c r="BH82" s="15"/>
      <c r="BI82" s="15"/>
      <c r="BJ82" s="15"/>
      <c r="BK82" s="15"/>
      <c r="BL82" s="15"/>
      <c r="BM82" s="15"/>
      <c r="BN82" s="15"/>
      <c r="BO82" s="15"/>
      <c r="BP82" s="15">
        <v>60.4</v>
      </c>
      <c r="BQ82" s="15"/>
      <c r="BR82" s="15"/>
      <c r="BS82" s="15"/>
      <c r="BT82" s="15"/>
      <c r="BU82" s="15"/>
      <c r="BV82" s="15"/>
      <c r="BW82" s="15"/>
      <c r="BX82" s="15"/>
      <c r="BY82" s="15"/>
      <c r="BZ82" s="15"/>
      <c r="CA82" s="15"/>
      <c r="CB82" s="15"/>
      <c r="CC82" s="15"/>
      <c r="CD82" s="15"/>
      <c r="CE82" s="15">
        <f>((51.7-53.2)+(53.2-60.4)+(60.4-59.2)+(59.2-49.8)+(49.8-46.7)+(46.7-38.4))/6</f>
        <v>2.2166666666666672</v>
      </c>
      <c r="CF82" s="15"/>
      <c r="CG82" s="15"/>
      <c r="CH82" s="15"/>
      <c r="CI82" s="15"/>
      <c r="CJ82" s="15"/>
      <c r="CK82" s="15"/>
      <c r="CL82" s="15"/>
      <c r="CM82" s="15"/>
      <c r="CN82" s="18" t="s">
        <v>14</v>
      </c>
      <c r="CO82" s="18" t="s">
        <v>3</v>
      </c>
      <c r="CP82" s="24" t="s">
        <v>13</v>
      </c>
      <c r="CQ82" s="23" t="s">
        <v>1</v>
      </c>
    </row>
    <row r="83" spans="1:95" s="12" customFormat="1" ht="14">
      <c r="A83" s="18">
        <v>80</v>
      </c>
      <c r="B83" s="18" t="s">
        <v>9</v>
      </c>
      <c r="C83" s="18" t="s">
        <v>8</v>
      </c>
      <c r="D83" s="15" t="s">
        <v>7</v>
      </c>
      <c r="E83" s="18" t="s">
        <v>12</v>
      </c>
      <c r="F83" s="28" t="s">
        <v>11</v>
      </c>
      <c r="G83" s="18">
        <v>2012</v>
      </c>
      <c r="H83" s="18">
        <v>2012</v>
      </c>
      <c r="I83" s="18">
        <v>1</v>
      </c>
      <c r="J83" s="18">
        <v>1</v>
      </c>
      <c r="K83" s="18">
        <v>1</v>
      </c>
      <c r="L83" s="18">
        <v>0</v>
      </c>
      <c r="M83" s="18">
        <v>0</v>
      </c>
      <c r="N83" s="18">
        <v>0</v>
      </c>
      <c r="O83" s="15">
        <v>17.2</v>
      </c>
      <c r="P83" s="15">
        <f t="shared" si="8"/>
        <v>146.39999999999998</v>
      </c>
      <c r="Q83" s="15">
        <v>3030</v>
      </c>
      <c r="R83" s="15">
        <v>0</v>
      </c>
      <c r="S83" s="15">
        <v>1120</v>
      </c>
      <c r="T83" s="15">
        <v>83.666666666666671</v>
      </c>
      <c r="U83" s="15">
        <v>1388.8000000000002</v>
      </c>
      <c r="V83" s="15">
        <v>1.1000000000000003</v>
      </c>
      <c r="W83" s="15"/>
      <c r="X83" s="15"/>
      <c r="Y83" s="15">
        <v>4.0999999999999996</v>
      </c>
      <c r="Z83" s="15"/>
      <c r="AA83" s="15"/>
      <c r="AB83" s="15"/>
      <c r="AC83" s="15"/>
      <c r="AD83" s="15"/>
      <c r="AE83" s="15"/>
      <c r="AF83" s="15"/>
      <c r="AG83" s="15"/>
      <c r="AH83" s="15"/>
      <c r="AI83" s="15"/>
      <c r="AJ83" s="15"/>
      <c r="AK83" s="15"/>
      <c r="AL83" s="15"/>
      <c r="AM83" s="15"/>
      <c r="AN83" s="15"/>
      <c r="AO83" s="15"/>
      <c r="AP83" s="15"/>
      <c r="AQ83" s="15"/>
      <c r="AR83" s="15"/>
      <c r="AS83" s="15"/>
      <c r="AT83" s="15"/>
      <c r="AU83" s="18"/>
      <c r="AV83" s="15"/>
      <c r="AW83" s="15">
        <v>3954</v>
      </c>
      <c r="AX83" s="15">
        <v>8.4</v>
      </c>
      <c r="AY83" s="15">
        <v>12</v>
      </c>
      <c r="AZ83" s="15">
        <f>(AX83/2)^2*PI()*AW83/10000</f>
        <v>21.912156369446688</v>
      </c>
      <c r="BA83" s="15"/>
      <c r="BB83" s="15"/>
      <c r="BC83" s="15"/>
      <c r="BD83" s="15">
        <v>47.6</v>
      </c>
      <c r="BE83" s="15">
        <v>43.5</v>
      </c>
      <c r="BF83" s="15">
        <v>49.5</v>
      </c>
      <c r="BG83" s="15">
        <v>43.4</v>
      </c>
      <c r="BH83" s="15">
        <v>49.4</v>
      </c>
      <c r="BI83" s="15">
        <v>48.4</v>
      </c>
      <c r="BJ83" s="15">
        <v>49.5</v>
      </c>
      <c r="BK83" s="15">
        <v>4.05</v>
      </c>
      <c r="BL83" s="15">
        <f>(2.57+1.93)/2</f>
        <v>2.25</v>
      </c>
      <c r="BM83" s="15">
        <v>2.06</v>
      </c>
      <c r="BN83" s="15">
        <v>3.73</v>
      </c>
      <c r="BO83" s="15">
        <v>21.47</v>
      </c>
      <c r="BP83" s="15">
        <f>SUM(BM83:BO83)</f>
        <v>27.259999999999998</v>
      </c>
      <c r="BQ83" s="15"/>
      <c r="BR83" s="15"/>
      <c r="BS83" s="15"/>
      <c r="BT83" s="15"/>
      <c r="BU83" s="15"/>
      <c r="BV83" s="15"/>
      <c r="BW83" s="15"/>
      <c r="BX83" s="15"/>
      <c r="BY83" s="15"/>
      <c r="BZ83" s="15"/>
      <c r="CA83" s="15">
        <v>0.38</v>
      </c>
      <c r="CB83" s="15">
        <v>0.69</v>
      </c>
      <c r="CC83" s="15">
        <v>4.05</v>
      </c>
      <c r="CD83" s="15">
        <v>1.99</v>
      </c>
      <c r="CE83" s="15">
        <f>SUM(CA83:CD83)</f>
        <v>7.1099999999999994</v>
      </c>
      <c r="CF83" s="15">
        <v>0.8</v>
      </c>
      <c r="CG83" s="15">
        <v>0.59</v>
      </c>
      <c r="CH83" s="15"/>
      <c r="CI83" s="15">
        <f>SUM(CF83:CH83)</f>
        <v>1.3900000000000001</v>
      </c>
      <c r="CJ83" s="15">
        <f>CI83+CE83</f>
        <v>8.5</v>
      </c>
      <c r="CK83" s="15">
        <v>11.21</v>
      </c>
      <c r="CL83" s="15">
        <v>4.4800000000000004</v>
      </c>
      <c r="CM83" s="15">
        <f>CJ83-CL83</f>
        <v>4.0199999999999996</v>
      </c>
      <c r="CN83" s="18" t="s">
        <v>10</v>
      </c>
      <c r="CO83" s="18" t="s">
        <v>3</v>
      </c>
      <c r="CP83" s="24" t="s">
        <v>2</v>
      </c>
      <c r="CQ83" s="23" t="s">
        <v>1</v>
      </c>
    </row>
    <row r="84" spans="1:95" s="12" customFormat="1" ht="14">
      <c r="A84" s="35">
        <v>81</v>
      </c>
      <c r="B84" s="35" t="s">
        <v>9</v>
      </c>
      <c r="C84" s="35" t="s">
        <v>8</v>
      </c>
      <c r="D84" s="36" t="s">
        <v>7</v>
      </c>
      <c r="E84" s="35" t="s">
        <v>6</v>
      </c>
      <c r="F84" s="37" t="s">
        <v>5</v>
      </c>
      <c r="G84" s="35">
        <v>2012</v>
      </c>
      <c r="H84" s="35">
        <v>2015</v>
      </c>
      <c r="I84" s="35">
        <v>0</v>
      </c>
      <c r="J84" s="35">
        <v>0</v>
      </c>
      <c r="K84" s="35">
        <v>0</v>
      </c>
      <c r="L84" s="35">
        <v>0</v>
      </c>
      <c r="M84" s="35">
        <v>0</v>
      </c>
      <c r="N84" s="35">
        <v>0</v>
      </c>
      <c r="O84" s="36">
        <v>18.600000000000001</v>
      </c>
      <c r="P84" s="36">
        <f t="shared" si="8"/>
        <v>163.20000000000002</v>
      </c>
      <c r="Q84" s="36">
        <v>2407</v>
      </c>
      <c r="R84" s="36">
        <v>0</v>
      </c>
      <c r="S84" s="36">
        <v>1120</v>
      </c>
      <c r="T84" s="36">
        <v>83.104169999999996</v>
      </c>
      <c r="U84" s="36">
        <v>1541.15</v>
      </c>
      <c r="V84" s="36">
        <v>1.077083</v>
      </c>
      <c r="W84" s="36"/>
      <c r="X84" s="36"/>
      <c r="Y84" s="36">
        <v>4.0999999999999996</v>
      </c>
      <c r="Z84" s="36"/>
      <c r="AA84" s="36"/>
      <c r="AB84" s="36"/>
      <c r="AC84" s="36"/>
      <c r="AD84" s="36"/>
      <c r="AE84" s="36"/>
      <c r="AF84" s="36"/>
      <c r="AG84" s="36"/>
      <c r="AH84" s="36"/>
      <c r="AI84" s="36"/>
      <c r="AJ84" s="36"/>
      <c r="AK84" s="36"/>
      <c r="AL84" s="36"/>
      <c r="AM84" s="36"/>
      <c r="AN84" s="36"/>
      <c r="AO84" s="36"/>
      <c r="AP84" s="36"/>
      <c r="AQ84" s="36"/>
      <c r="AR84" s="36"/>
      <c r="AS84" s="36"/>
      <c r="AT84" s="36"/>
      <c r="AU84" s="35"/>
      <c r="AV84" s="36"/>
      <c r="AW84" s="36">
        <v>6000</v>
      </c>
      <c r="AX84" s="36"/>
      <c r="AY84" s="36"/>
      <c r="AZ84" s="36"/>
      <c r="BA84" s="36"/>
      <c r="BB84" s="36"/>
      <c r="BC84" s="36"/>
      <c r="BD84" s="36">
        <v>47.6</v>
      </c>
      <c r="BE84" s="36">
        <v>43.5</v>
      </c>
      <c r="BF84" s="36">
        <v>49.5</v>
      </c>
      <c r="BG84" s="36">
        <v>43.4</v>
      </c>
      <c r="BH84" s="36">
        <v>49.4</v>
      </c>
      <c r="BI84" s="36">
        <v>48.4</v>
      </c>
      <c r="BJ84" s="36">
        <v>49.5</v>
      </c>
      <c r="BK84" s="36">
        <v>4.05</v>
      </c>
      <c r="BL84" s="36">
        <f>(2.57+1.93)/2</f>
        <v>2.25</v>
      </c>
      <c r="BM84" s="36">
        <v>3.13</v>
      </c>
      <c r="BN84" s="36">
        <v>5.65</v>
      </c>
      <c r="BO84" s="36">
        <v>33.26</v>
      </c>
      <c r="BP84" s="36">
        <f>SUM(BM84:BO84)</f>
        <v>42.04</v>
      </c>
      <c r="BQ84" s="36">
        <f>BU84/BP84</f>
        <v>0.80137963843958127</v>
      </c>
      <c r="BR84" s="36">
        <v>6.48</v>
      </c>
      <c r="BS84" s="36">
        <v>27.21</v>
      </c>
      <c r="BT84" s="36"/>
      <c r="BU84" s="36">
        <f>SUM(BR84:BT84)</f>
        <v>33.69</v>
      </c>
      <c r="BV84" s="36">
        <f>BU84+BP84</f>
        <v>75.72999999999999</v>
      </c>
      <c r="BW84" s="36"/>
      <c r="BX84" s="36">
        <v>70.25</v>
      </c>
      <c r="BY84" s="36"/>
      <c r="BZ84" s="36">
        <f>BV84+BX84</f>
        <v>145.97999999999999</v>
      </c>
      <c r="CA84" s="36">
        <v>0.41</v>
      </c>
      <c r="CB84" s="36">
        <v>0.75</v>
      </c>
      <c r="CC84" s="36">
        <v>4.42</v>
      </c>
      <c r="CD84" s="36">
        <v>2.1800000000000002</v>
      </c>
      <c r="CE84" s="36">
        <f>SUM(CA84:CD84)</f>
        <v>7.76</v>
      </c>
      <c r="CF84" s="36">
        <v>0.71</v>
      </c>
      <c r="CG84" s="36">
        <v>0.4</v>
      </c>
      <c r="CH84" s="36"/>
      <c r="CI84" s="36">
        <f>SUM(CF84:CH84)</f>
        <v>1.1099999999999999</v>
      </c>
      <c r="CJ84" s="36">
        <f>CI84+CE84</f>
        <v>8.8699999999999992</v>
      </c>
      <c r="CK84" s="36">
        <v>11.41</v>
      </c>
      <c r="CL84" s="36">
        <v>4.55</v>
      </c>
      <c r="CM84" s="36">
        <f>CJ84-CL84</f>
        <v>4.3199999999999994</v>
      </c>
      <c r="CN84" s="35" t="s">
        <v>4</v>
      </c>
      <c r="CO84" s="35" t="s">
        <v>3</v>
      </c>
      <c r="CP84" s="38" t="s">
        <v>2</v>
      </c>
      <c r="CQ84" s="39" t="s">
        <v>1</v>
      </c>
    </row>
    <row r="85" spans="1:95" s="12" customFormat="1" ht="14">
      <c r="A85" s="18">
        <v>82</v>
      </c>
      <c r="B85" s="18" t="s">
        <v>465</v>
      </c>
      <c r="C85" s="18" t="s">
        <v>536</v>
      </c>
      <c r="D85" s="15" t="s">
        <v>133</v>
      </c>
      <c r="E85" s="18" t="s">
        <v>532</v>
      </c>
      <c r="F85" s="28" t="s">
        <v>537</v>
      </c>
      <c r="G85" s="18">
        <v>2018</v>
      </c>
      <c r="H85" s="18">
        <v>2018</v>
      </c>
      <c r="I85" s="18">
        <v>1</v>
      </c>
      <c r="J85" s="18">
        <v>1</v>
      </c>
      <c r="K85" s="18">
        <v>1</v>
      </c>
      <c r="L85" s="18">
        <v>1</v>
      </c>
      <c r="M85" s="18">
        <v>0</v>
      </c>
      <c r="N85" s="18">
        <v>0</v>
      </c>
      <c r="O85" s="15">
        <v>16</v>
      </c>
      <c r="P85" s="15">
        <f t="shared" si="8"/>
        <v>132</v>
      </c>
      <c r="Q85" s="15">
        <v>1600</v>
      </c>
      <c r="R85" s="15">
        <v>0</v>
      </c>
      <c r="S85" s="15"/>
      <c r="T85" s="15"/>
      <c r="U85" s="15"/>
      <c r="V85" s="15"/>
      <c r="W85" s="15"/>
      <c r="X85" s="15"/>
      <c r="Y85" s="15"/>
      <c r="Z85" s="15"/>
      <c r="AA85" s="15"/>
      <c r="AB85" s="15"/>
      <c r="AC85" s="15"/>
      <c r="AD85" s="15"/>
      <c r="AE85" s="15"/>
      <c r="AF85" s="15"/>
      <c r="AG85" s="15"/>
      <c r="AH85" s="15"/>
      <c r="AI85" s="15"/>
      <c r="AJ85" s="15"/>
      <c r="AK85" s="15"/>
      <c r="AL85" s="15"/>
      <c r="AM85" s="15"/>
      <c r="AN85" s="15"/>
      <c r="AO85" s="15"/>
      <c r="AP85" s="15"/>
      <c r="AQ85" s="15"/>
      <c r="AR85" s="15"/>
      <c r="AS85" s="15"/>
      <c r="AT85" s="15"/>
      <c r="AU85" s="18"/>
      <c r="AV85" s="15"/>
      <c r="AW85" s="15">
        <f>340.466*0+2272.763</f>
        <v>2272.7629999999999</v>
      </c>
      <c r="AX85" s="15">
        <v>10.199999999999999</v>
      </c>
      <c r="AY85" s="15"/>
      <c r="AZ85" s="15">
        <f>(AX85/2)^2*PI()*AW85/10000</f>
        <v>18.571388510335968</v>
      </c>
      <c r="BA85" s="15"/>
      <c r="BB85" s="15"/>
      <c r="BC85" s="15"/>
      <c r="BD85" s="15"/>
      <c r="BE85" s="15"/>
      <c r="BF85" s="15"/>
      <c r="BG85" s="15"/>
      <c r="BH85" s="15"/>
      <c r="BI85" s="15"/>
      <c r="BJ85" s="15"/>
      <c r="BK85" s="15"/>
      <c r="BL85" s="15"/>
      <c r="BM85" s="15"/>
      <c r="BN85" s="15"/>
      <c r="BO85" s="15"/>
      <c r="BP85" s="15">
        <f>BV85/1.36</f>
        <v>19.360294117647054</v>
      </c>
      <c r="BQ85" s="15">
        <v>0.36159999999999998</v>
      </c>
      <c r="BR85" s="15"/>
      <c r="BS85" s="15"/>
      <c r="BT85" s="15"/>
      <c r="BU85" s="15">
        <f>BV85-BP85</f>
        <v>6.9697058823529439</v>
      </c>
      <c r="BV85" s="15">
        <v>26.33</v>
      </c>
      <c r="BW85" s="15">
        <v>2.0699999999999998</v>
      </c>
      <c r="BX85" s="15">
        <f>50.11+44.92</f>
        <v>95.03</v>
      </c>
      <c r="BY85" s="15">
        <f>0.17+0.4</f>
        <v>0.57000000000000006</v>
      </c>
      <c r="BZ85" s="15">
        <f>SUM(BV85:BY85)</f>
        <v>124</v>
      </c>
      <c r="CA85" s="15"/>
      <c r="CB85" s="15"/>
      <c r="CC85" s="15"/>
      <c r="CD85" s="15"/>
      <c r="CE85" s="15"/>
      <c r="CF85" s="15"/>
      <c r="CG85" s="15"/>
      <c r="CH85" s="15"/>
      <c r="CI85" s="15"/>
      <c r="CJ85" s="15"/>
      <c r="CK85" s="15"/>
      <c r="CL85" s="15"/>
      <c r="CM85" s="15"/>
      <c r="CN85" s="18" t="s">
        <v>530</v>
      </c>
      <c r="CO85" s="18" t="s">
        <v>3</v>
      </c>
      <c r="CP85" s="24" t="s">
        <v>531</v>
      </c>
      <c r="CQ85" s="23" t="s">
        <v>1</v>
      </c>
    </row>
    <row r="86" spans="1:95" s="12" customFormat="1" ht="14">
      <c r="A86" s="18">
        <v>83</v>
      </c>
      <c r="B86" s="18" t="s">
        <v>465</v>
      </c>
      <c r="C86" s="18" t="s">
        <v>536</v>
      </c>
      <c r="D86" s="15" t="s">
        <v>133</v>
      </c>
      <c r="E86" s="18" t="s">
        <v>535</v>
      </c>
      <c r="F86" s="28" t="s">
        <v>538</v>
      </c>
      <c r="G86" s="18">
        <v>2016</v>
      </c>
      <c r="H86" s="18">
        <v>2018</v>
      </c>
      <c r="I86" s="18">
        <v>0</v>
      </c>
      <c r="J86" s="18">
        <v>0</v>
      </c>
      <c r="K86" s="18">
        <v>0</v>
      </c>
      <c r="L86" s="18">
        <v>0</v>
      </c>
      <c r="M86" s="18">
        <v>0</v>
      </c>
      <c r="N86" s="18">
        <v>0</v>
      </c>
      <c r="O86" s="15">
        <v>16</v>
      </c>
      <c r="P86" s="15">
        <f t="shared" si="8"/>
        <v>132</v>
      </c>
      <c r="Q86" s="15">
        <v>1600</v>
      </c>
      <c r="R86" s="15">
        <v>0</v>
      </c>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8"/>
      <c r="AV86" s="15"/>
      <c r="AW86" s="15">
        <f>340.466*2+2272.763</f>
        <v>2953.6949999999997</v>
      </c>
      <c r="AX86" s="15">
        <v>10.1</v>
      </c>
      <c r="AY86" s="15"/>
      <c r="AZ86" s="15">
        <f t="shared" ref="AZ86:AZ87" si="9">(AX86/2)^2*PI()*AW86/10000</f>
        <v>23.664551434637737</v>
      </c>
      <c r="BA86" s="15"/>
      <c r="BB86" s="15"/>
      <c r="BC86" s="15"/>
      <c r="BD86" s="15"/>
      <c r="BE86" s="15"/>
      <c r="BF86" s="15"/>
      <c r="BG86" s="15"/>
      <c r="BH86" s="15"/>
      <c r="BI86" s="15"/>
      <c r="BJ86" s="15"/>
      <c r="BK86" s="15"/>
      <c r="BL86" s="15"/>
      <c r="BM86" s="15"/>
      <c r="BN86" s="15"/>
      <c r="BO86" s="15"/>
      <c r="BP86" s="15">
        <f t="shared" ref="BP86:BP88" si="10">BV86/1.36</f>
        <v>23.882352941176467</v>
      </c>
      <c r="BQ86" s="15">
        <v>0.36159999999999998</v>
      </c>
      <c r="BR86" s="15"/>
      <c r="BS86" s="15"/>
      <c r="BT86" s="15"/>
      <c r="BU86" s="15">
        <f t="shared" ref="BU86:BU88" si="11">BV86-BP86</f>
        <v>8.5976470588235294</v>
      </c>
      <c r="BV86" s="15">
        <v>32.479999999999997</v>
      </c>
      <c r="BW86" s="15">
        <v>1.43</v>
      </c>
      <c r="BX86" s="15">
        <f>56.29+46.49</f>
        <v>102.78</v>
      </c>
      <c r="BY86" s="15">
        <f>0.3+0.47</f>
        <v>0.77</v>
      </c>
      <c r="BZ86" s="15">
        <f t="shared" ref="BZ86:BZ88" si="12">SUM(BV86:BY86)</f>
        <v>137.46</v>
      </c>
      <c r="CA86" s="15"/>
      <c r="CB86" s="15"/>
      <c r="CC86" s="15"/>
      <c r="CD86" s="15"/>
      <c r="CE86" s="15"/>
      <c r="CF86" s="15"/>
      <c r="CG86" s="15"/>
      <c r="CH86" s="15"/>
      <c r="CI86" s="15"/>
      <c r="CJ86" s="15"/>
      <c r="CK86" s="15"/>
      <c r="CL86" s="15"/>
      <c r="CM86" s="15"/>
      <c r="CN86" s="18" t="s">
        <v>530</v>
      </c>
      <c r="CO86" s="18" t="s">
        <v>3</v>
      </c>
      <c r="CP86" s="24" t="s">
        <v>531</v>
      </c>
      <c r="CQ86" s="23" t="s">
        <v>1</v>
      </c>
    </row>
    <row r="87" spans="1:95" s="12" customFormat="1" ht="14">
      <c r="A87" s="18">
        <v>84</v>
      </c>
      <c r="B87" s="18" t="s">
        <v>465</v>
      </c>
      <c r="C87" s="18" t="s">
        <v>536</v>
      </c>
      <c r="D87" s="15" t="s">
        <v>133</v>
      </c>
      <c r="E87" s="18" t="s">
        <v>533</v>
      </c>
      <c r="F87" s="28" t="s">
        <v>539</v>
      </c>
      <c r="G87" s="18">
        <v>2008</v>
      </c>
      <c r="H87" s="18">
        <v>2018</v>
      </c>
      <c r="I87" s="18">
        <v>0</v>
      </c>
      <c r="J87" s="18">
        <v>0</v>
      </c>
      <c r="K87" s="18">
        <v>0</v>
      </c>
      <c r="L87" s="18">
        <v>0</v>
      </c>
      <c r="M87" s="18">
        <v>0</v>
      </c>
      <c r="N87" s="18">
        <v>0</v>
      </c>
      <c r="O87" s="15">
        <v>16</v>
      </c>
      <c r="P87" s="15">
        <f t="shared" si="8"/>
        <v>132</v>
      </c>
      <c r="Q87" s="15">
        <v>1600</v>
      </c>
      <c r="R87" s="15">
        <v>0</v>
      </c>
      <c r="S87" s="15"/>
      <c r="T87" s="15"/>
      <c r="U87" s="15"/>
      <c r="V87" s="15"/>
      <c r="W87" s="15"/>
      <c r="X87" s="15"/>
      <c r="Y87" s="15"/>
      <c r="Z87" s="15"/>
      <c r="AA87" s="15"/>
      <c r="AB87" s="15"/>
      <c r="AC87" s="15"/>
      <c r="AD87" s="15"/>
      <c r="AE87" s="15"/>
      <c r="AF87" s="15"/>
      <c r="AG87" s="15"/>
      <c r="AH87" s="15"/>
      <c r="AI87" s="15"/>
      <c r="AJ87" s="15"/>
      <c r="AK87" s="15"/>
      <c r="AL87" s="15"/>
      <c r="AM87" s="15"/>
      <c r="AN87" s="15"/>
      <c r="AO87" s="15"/>
      <c r="AP87" s="15"/>
      <c r="AQ87" s="15"/>
      <c r="AR87" s="15"/>
      <c r="AS87" s="15"/>
      <c r="AT87" s="15"/>
      <c r="AU87" s="18"/>
      <c r="AV87" s="15"/>
      <c r="AW87" s="15">
        <f>340.466*(7+10)/2+2272.763</f>
        <v>5166.7240000000002</v>
      </c>
      <c r="AX87" s="15">
        <v>9.6</v>
      </c>
      <c r="AY87" s="15"/>
      <c r="AZ87" s="15">
        <f t="shared" si="9"/>
        <v>37.397933940156065</v>
      </c>
      <c r="BA87" s="15"/>
      <c r="BB87" s="15"/>
      <c r="BC87" s="15"/>
      <c r="BD87" s="15"/>
      <c r="BE87" s="15"/>
      <c r="BF87" s="15"/>
      <c r="BG87" s="15"/>
      <c r="BH87" s="15"/>
      <c r="BI87" s="15"/>
      <c r="BJ87" s="15"/>
      <c r="BK87" s="15"/>
      <c r="BL87" s="15"/>
      <c r="BM87" s="15"/>
      <c r="BN87" s="15"/>
      <c r="BO87" s="15"/>
      <c r="BP87" s="15">
        <f t="shared" si="10"/>
        <v>36.772058823529406</v>
      </c>
      <c r="BQ87" s="15">
        <v>0.36159999999999998</v>
      </c>
      <c r="BR87" s="15"/>
      <c r="BS87" s="15"/>
      <c r="BT87" s="15"/>
      <c r="BU87" s="15">
        <f t="shared" si="11"/>
        <v>13.237941176470592</v>
      </c>
      <c r="BV87" s="15">
        <v>50.01</v>
      </c>
      <c r="BW87" s="15">
        <v>1.9</v>
      </c>
      <c r="BX87" s="15">
        <f>59.64+49.3</f>
        <v>108.94</v>
      </c>
      <c r="BY87" s="15">
        <f>0.31+0.43</f>
        <v>0.74</v>
      </c>
      <c r="BZ87" s="15">
        <f t="shared" si="12"/>
        <v>161.59</v>
      </c>
      <c r="CA87" s="15"/>
      <c r="CB87" s="15"/>
      <c r="CC87" s="15"/>
      <c r="CD87" s="15"/>
      <c r="CE87" s="15"/>
      <c r="CF87" s="15"/>
      <c r="CG87" s="15"/>
      <c r="CH87" s="15"/>
      <c r="CI87" s="15"/>
      <c r="CJ87" s="15"/>
      <c r="CK87" s="15"/>
      <c r="CL87" s="15"/>
      <c r="CM87" s="15"/>
      <c r="CN87" s="18" t="s">
        <v>530</v>
      </c>
      <c r="CO87" s="18" t="s">
        <v>3</v>
      </c>
      <c r="CP87" s="24" t="s">
        <v>531</v>
      </c>
      <c r="CQ87" s="23" t="s">
        <v>1</v>
      </c>
    </row>
    <row r="88" spans="1:95" s="12" customFormat="1" ht="14">
      <c r="A88" s="18">
        <v>85</v>
      </c>
      <c r="B88" s="18" t="s">
        <v>465</v>
      </c>
      <c r="C88" s="18" t="s">
        <v>536</v>
      </c>
      <c r="D88" s="15" t="s">
        <v>133</v>
      </c>
      <c r="E88" s="18" t="s">
        <v>534</v>
      </c>
      <c r="F88" s="28" t="s">
        <v>540</v>
      </c>
      <c r="G88" s="18">
        <v>2000</v>
      </c>
      <c r="H88" s="18">
        <v>2018</v>
      </c>
      <c r="I88" s="18">
        <v>0</v>
      </c>
      <c r="J88" s="18">
        <v>0</v>
      </c>
      <c r="K88" s="18">
        <v>0</v>
      </c>
      <c r="L88" s="18">
        <v>0</v>
      </c>
      <c r="M88" s="18">
        <v>0</v>
      </c>
      <c r="N88" s="18">
        <v>0</v>
      </c>
      <c r="O88" s="15">
        <v>16</v>
      </c>
      <c r="P88" s="15">
        <f t="shared" si="8"/>
        <v>132</v>
      </c>
      <c r="Q88" s="15">
        <v>1600</v>
      </c>
      <c r="R88" s="15">
        <v>0</v>
      </c>
      <c r="S88" s="15"/>
      <c r="T88" s="15"/>
      <c r="U88" s="15"/>
      <c r="V88" s="15"/>
      <c r="W88" s="15"/>
      <c r="X88" s="15"/>
      <c r="Y88" s="15"/>
      <c r="Z88" s="15"/>
      <c r="AA88" s="15"/>
      <c r="AB88" s="15"/>
      <c r="AC88" s="15"/>
      <c r="AD88" s="15"/>
      <c r="AE88" s="15"/>
      <c r="AF88" s="15"/>
      <c r="AG88" s="15"/>
      <c r="AH88" s="15"/>
      <c r="AI88" s="15"/>
      <c r="AJ88" s="15"/>
      <c r="AK88" s="15"/>
      <c r="AL88" s="15"/>
      <c r="AM88" s="15"/>
      <c r="AN88" s="15"/>
      <c r="AO88" s="15"/>
      <c r="AP88" s="15"/>
      <c r="AQ88" s="15"/>
      <c r="AR88" s="15"/>
      <c r="AS88" s="15"/>
      <c r="AT88" s="15"/>
      <c r="AU88" s="18"/>
      <c r="AV88" s="15"/>
      <c r="AW88" s="15">
        <f>340.466*(15+18)/2+2272.763</f>
        <v>7890.4520000000002</v>
      </c>
      <c r="AX88" s="15">
        <v>8.6</v>
      </c>
      <c r="AY88" s="15"/>
      <c r="AZ88" s="15">
        <f>(AX88/2)^2*PI()*AW88/10000</f>
        <v>45.834095581863643</v>
      </c>
      <c r="BA88" s="15"/>
      <c r="BB88" s="15"/>
      <c r="BC88" s="15"/>
      <c r="BD88" s="15"/>
      <c r="BE88" s="15"/>
      <c r="BF88" s="15"/>
      <c r="BG88" s="15"/>
      <c r="BH88" s="15"/>
      <c r="BI88" s="15"/>
      <c r="BJ88" s="15"/>
      <c r="BK88" s="15"/>
      <c r="BL88" s="15"/>
      <c r="BM88" s="15"/>
      <c r="BN88" s="15"/>
      <c r="BO88" s="15"/>
      <c r="BP88" s="15">
        <f t="shared" si="10"/>
        <v>47.882352941176471</v>
      </c>
      <c r="BQ88" s="15">
        <v>0.36159999999999998</v>
      </c>
      <c r="BR88" s="15"/>
      <c r="BS88" s="15"/>
      <c r="BT88" s="15"/>
      <c r="BU88" s="15">
        <f t="shared" si="11"/>
        <v>17.237647058823534</v>
      </c>
      <c r="BV88" s="15">
        <v>65.12</v>
      </c>
      <c r="BW88" s="15">
        <v>2.65</v>
      </c>
      <c r="BX88" s="15">
        <f>65.41+48.32</f>
        <v>113.72999999999999</v>
      </c>
      <c r="BY88" s="15">
        <f>0.14+0.07</f>
        <v>0.21000000000000002</v>
      </c>
      <c r="BZ88" s="15">
        <f t="shared" si="12"/>
        <v>181.71</v>
      </c>
      <c r="CA88" s="15"/>
      <c r="CB88" s="15"/>
      <c r="CC88" s="15"/>
      <c r="CD88" s="15"/>
      <c r="CE88" s="15"/>
      <c r="CF88" s="15"/>
      <c r="CG88" s="15"/>
      <c r="CH88" s="15"/>
      <c r="CI88" s="15"/>
      <c r="CJ88" s="15"/>
      <c r="CK88" s="15"/>
      <c r="CL88" s="15"/>
      <c r="CM88" s="15"/>
      <c r="CN88" s="18" t="s">
        <v>530</v>
      </c>
      <c r="CO88" s="18" t="s">
        <v>3</v>
      </c>
      <c r="CP88" s="24" t="s">
        <v>531</v>
      </c>
      <c r="CQ88" s="23" t="s">
        <v>1</v>
      </c>
    </row>
    <row r="89" spans="1:95" s="12" customFormat="1" ht="14">
      <c r="A89" s="18">
        <v>86</v>
      </c>
      <c r="B89" s="18" t="s">
        <v>465</v>
      </c>
      <c r="C89" s="18" t="s">
        <v>527</v>
      </c>
      <c r="D89" s="15" t="s">
        <v>133</v>
      </c>
      <c r="E89" s="18" t="s">
        <v>524</v>
      </c>
      <c r="F89" s="28" t="s">
        <v>528</v>
      </c>
      <c r="G89" s="18">
        <v>1989</v>
      </c>
      <c r="H89" s="18">
        <v>1990</v>
      </c>
      <c r="I89" s="18">
        <v>1</v>
      </c>
      <c r="J89" s="18">
        <v>0</v>
      </c>
      <c r="K89" s="18">
        <v>0</v>
      </c>
      <c r="L89" s="18">
        <v>1</v>
      </c>
      <c r="M89" s="18">
        <v>0</v>
      </c>
      <c r="N89" s="18">
        <v>0</v>
      </c>
      <c r="O89" s="15">
        <v>21.2</v>
      </c>
      <c r="P89" s="15">
        <f>(O89-5)*12</f>
        <v>194.39999999999998</v>
      </c>
      <c r="Q89" s="15">
        <v>2001.2</v>
      </c>
      <c r="R89" s="15">
        <v>0</v>
      </c>
      <c r="S89" s="15">
        <f>(320+350)/2</f>
        <v>335</v>
      </c>
      <c r="T89" s="15">
        <v>81.400000000000006</v>
      </c>
      <c r="U89" s="15">
        <v>1820</v>
      </c>
      <c r="V89" s="15"/>
      <c r="W89" s="15"/>
      <c r="X89" s="15"/>
      <c r="Y89" s="15">
        <v>5.2</v>
      </c>
      <c r="Z89" s="15"/>
      <c r="AA89" s="15"/>
      <c r="AB89" s="15"/>
      <c r="AC89" s="15"/>
      <c r="AD89" s="15"/>
      <c r="AE89" s="15"/>
      <c r="AF89" s="15"/>
      <c r="AG89" s="15"/>
      <c r="AH89" s="15"/>
      <c r="AI89" s="15"/>
      <c r="AJ89" s="15"/>
      <c r="AK89" s="15"/>
      <c r="AL89" s="15"/>
      <c r="AM89" s="15"/>
      <c r="AN89" s="15"/>
      <c r="AO89" s="15"/>
      <c r="AP89" s="15"/>
      <c r="AQ89" s="15"/>
      <c r="AR89" s="15"/>
      <c r="AS89" s="15"/>
      <c r="AT89" s="15"/>
      <c r="AU89" s="18"/>
      <c r="AV89" s="15"/>
      <c r="AW89" s="15"/>
      <c r="AX89" s="15"/>
      <c r="AY89" s="15">
        <v>16</v>
      </c>
      <c r="AZ89" s="15"/>
      <c r="BA89" s="15"/>
      <c r="BB89" s="15"/>
      <c r="BC89" s="15"/>
      <c r="BD89" s="15"/>
      <c r="BE89" s="15"/>
      <c r="BF89" s="15"/>
      <c r="BG89" s="15"/>
      <c r="BH89" s="15"/>
      <c r="BI89" s="15"/>
      <c r="BJ89" s="15"/>
      <c r="BK89" s="15"/>
      <c r="BL89" s="15"/>
      <c r="BM89" s="15">
        <f>3.23%*BV89</f>
        <v>1.258731</v>
      </c>
      <c r="BN89" s="15">
        <f>10.7%*BV89</f>
        <v>4.1697899999999999</v>
      </c>
      <c r="BO89" s="15">
        <f>58.67%*BV89</f>
        <v>22.863699</v>
      </c>
      <c r="BP89" s="15">
        <f>56.58*0.5</f>
        <v>28.29</v>
      </c>
      <c r="BQ89" s="15">
        <f t="shared" ref="BQ89" si="13">BU89/BP89</f>
        <v>0.37751855779427362</v>
      </c>
      <c r="BR89" s="15">
        <f>17.25%*BV89</f>
        <v>6.7223249999999997</v>
      </c>
      <c r="BS89" s="15">
        <f>10.16%*BV89</f>
        <v>3.9593519999999995</v>
      </c>
      <c r="BT89" s="15"/>
      <c r="BU89" s="15">
        <f>21.36*0.5</f>
        <v>10.68</v>
      </c>
      <c r="BV89" s="15">
        <f>BP89+BU89</f>
        <v>38.97</v>
      </c>
      <c r="BW89" s="15"/>
      <c r="BX89" s="15"/>
      <c r="BY89" s="15">
        <f>0.495*0.5</f>
        <v>0.2475</v>
      </c>
      <c r="BZ89" s="15"/>
      <c r="CA89" s="15"/>
      <c r="CB89" s="15"/>
      <c r="CC89" s="15"/>
      <c r="CD89" s="15">
        <f>2.475*0.5</f>
        <v>1.2375</v>
      </c>
      <c r="CE89" s="15">
        <f>(10.77+0.054+0.326)*0.5+CD89</f>
        <v>6.8125</v>
      </c>
      <c r="CF89" s="15"/>
      <c r="CG89" s="15"/>
      <c r="CH89" s="15"/>
      <c r="CI89" s="15">
        <v>4.2720000000000002</v>
      </c>
      <c r="CJ89" s="15">
        <f>CE89+CI89</f>
        <v>11.0845</v>
      </c>
      <c r="CK89" s="15"/>
      <c r="CL89" s="15"/>
      <c r="CM89" s="15"/>
      <c r="CN89" s="18" t="s">
        <v>525</v>
      </c>
      <c r="CO89" s="18" t="s">
        <v>3</v>
      </c>
      <c r="CP89" s="24" t="s">
        <v>526</v>
      </c>
      <c r="CQ89" s="23" t="s">
        <v>1</v>
      </c>
    </row>
    <row r="90" spans="1:95" s="12" customFormat="1" ht="14">
      <c r="A90" s="18">
        <v>87</v>
      </c>
      <c r="B90" s="18" t="s">
        <v>465</v>
      </c>
      <c r="C90" s="18" t="s">
        <v>523</v>
      </c>
      <c r="D90" s="15" t="s">
        <v>16</v>
      </c>
      <c r="E90" s="18" t="s">
        <v>522</v>
      </c>
      <c r="F90" s="28" t="s">
        <v>519</v>
      </c>
      <c r="G90" s="18">
        <v>2010</v>
      </c>
      <c r="H90" s="18">
        <v>2011</v>
      </c>
      <c r="I90" s="18">
        <v>1</v>
      </c>
      <c r="J90" s="18">
        <v>0</v>
      </c>
      <c r="K90" s="18">
        <v>0</v>
      </c>
      <c r="L90" s="18">
        <v>1</v>
      </c>
      <c r="M90" s="18">
        <v>0</v>
      </c>
      <c r="N90" s="18">
        <v>0</v>
      </c>
      <c r="O90" s="15">
        <v>16.600000000000001</v>
      </c>
      <c r="P90" s="15">
        <f>(O90-5)*12</f>
        <v>139.20000000000002</v>
      </c>
      <c r="Q90" s="15">
        <v>1270</v>
      </c>
      <c r="R90" s="15">
        <v>0</v>
      </c>
      <c r="S90" s="15">
        <v>380</v>
      </c>
      <c r="T90" s="15">
        <v>70.2</v>
      </c>
      <c r="U90" s="15">
        <v>2021</v>
      </c>
      <c r="V90" s="15"/>
      <c r="W90" s="15"/>
      <c r="X90" s="15"/>
      <c r="Y90" s="15"/>
      <c r="Z90" s="15"/>
      <c r="AA90" s="15"/>
      <c r="AB90" s="15"/>
      <c r="AC90" s="15"/>
      <c r="AD90" s="15"/>
      <c r="AE90" s="15"/>
      <c r="AF90" s="15"/>
      <c r="AG90" s="15"/>
      <c r="AH90" s="15"/>
      <c r="AI90" s="15"/>
      <c r="AJ90" s="15"/>
      <c r="AK90" s="15"/>
      <c r="AL90" s="15"/>
      <c r="AM90" s="15"/>
      <c r="AN90" s="15"/>
      <c r="AO90" s="15"/>
      <c r="AP90" s="15"/>
      <c r="AQ90" s="15"/>
      <c r="AR90" s="15"/>
      <c r="AS90" s="15"/>
      <c r="AT90" s="15"/>
      <c r="AU90" s="18"/>
      <c r="AV90" s="15"/>
      <c r="AW90" s="15"/>
      <c r="AX90" s="15">
        <f>(12+18)/2</f>
        <v>15</v>
      </c>
      <c r="AY90" s="15">
        <f>(13+20)/2</f>
        <v>16.5</v>
      </c>
      <c r="AZ90" s="15"/>
      <c r="BA90" s="15"/>
      <c r="BB90" s="15"/>
      <c r="BC90" s="15"/>
      <c r="BD90" s="15"/>
      <c r="BE90" s="15"/>
      <c r="BF90" s="15"/>
      <c r="BG90" s="15"/>
      <c r="BH90" s="15"/>
      <c r="BI90" s="15"/>
      <c r="BJ90" s="15"/>
      <c r="BK90" s="15"/>
      <c r="BL90" s="15"/>
      <c r="BM90" s="15"/>
      <c r="BN90" s="15"/>
      <c r="BO90" s="15"/>
      <c r="BP90" s="15"/>
      <c r="BQ90" s="15"/>
      <c r="BR90" s="15"/>
      <c r="BS90" s="15"/>
      <c r="BT90" s="15"/>
      <c r="BU90" s="15"/>
      <c r="BV90" s="15"/>
      <c r="BW90" s="15"/>
      <c r="BX90" s="15"/>
      <c r="BY90" s="15"/>
      <c r="BZ90" s="15"/>
      <c r="CA90" s="15"/>
      <c r="CB90" s="15"/>
      <c r="CC90" s="15"/>
      <c r="CD90" s="15"/>
      <c r="CE90" s="15"/>
      <c r="CF90" s="15"/>
      <c r="CG90" s="15"/>
      <c r="CH90" s="15"/>
      <c r="CI90" s="15"/>
      <c r="CJ90" s="15"/>
      <c r="CK90" s="15"/>
      <c r="CL90" s="15"/>
      <c r="CM90" s="15">
        <v>6.68</v>
      </c>
      <c r="CN90" s="18" t="s">
        <v>520</v>
      </c>
      <c r="CO90" s="18" t="s">
        <v>3</v>
      </c>
      <c r="CP90" s="24" t="s">
        <v>521</v>
      </c>
      <c r="CQ90" s="23" t="s">
        <v>1</v>
      </c>
    </row>
    <row r="91" spans="1:95" s="12" customFormat="1" ht="14">
      <c r="A91" s="18">
        <v>88</v>
      </c>
      <c r="B91" s="18" t="s">
        <v>465</v>
      </c>
      <c r="C91" s="18" t="s">
        <v>466</v>
      </c>
      <c r="D91" s="15" t="s">
        <v>16</v>
      </c>
      <c r="E91" s="18" t="s">
        <v>471</v>
      </c>
      <c r="F91" s="28" t="s">
        <v>467</v>
      </c>
      <c r="G91" s="18">
        <v>2014</v>
      </c>
      <c r="H91" s="18">
        <v>2016</v>
      </c>
      <c r="I91" s="18">
        <v>1</v>
      </c>
      <c r="J91" s="18">
        <v>0</v>
      </c>
      <c r="K91" s="18">
        <v>1</v>
      </c>
      <c r="L91" s="18">
        <v>0</v>
      </c>
      <c r="M91" s="18">
        <v>0</v>
      </c>
      <c r="N91" s="18">
        <v>0</v>
      </c>
      <c r="O91" s="15">
        <v>15.8</v>
      </c>
      <c r="P91" s="15">
        <f t="shared" si="8"/>
        <v>129.60000000000002</v>
      </c>
      <c r="Q91" s="15">
        <v>1450</v>
      </c>
      <c r="R91" s="15">
        <v>0</v>
      </c>
      <c r="S91" s="15">
        <f>(150+200)/2</f>
        <v>175</v>
      </c>
      <c r="T91" s="15"/>
      <c r="U91" s="15">
        <v>1847</v>
      </c>
      <c r="V91" s="15"/>
      <c r="W91" s="15"/>
      <c r="X91" s="15"/>
      <c r="Y91" s="15">
        <f>(4.96+4.96)/2</f>
        <v>4.96</v>
      </c>
      <c r="Z91" s="15">
        <v>1.76</v>
      </c>
      <c r="AA91" s="15"/>
      <c r="AB91" s="15"/>
      <c r="AC91" s="15">
        <v>7.52</v>
      </c>
      <c r="AD91" s="15"/>
      <c r="AE91" s="15"/>
      <c r="AF91" s="15"/>
      <c r="AG91" s="15"/>
      <c r="AH91" s="15"/>
      <c r="AI91" s="15">
        <f>(498/(498+321+181)*100)</f>
        <v>49.8</v>
      </c>
      <c r="AJ91" s="15">
        <f>(321/(498+321+181)*100)</f>
        <v>32.1</v>
      </c>
      <c r="AK91" s="15">
        <f>(181/(498+321+181)*100)</f>
        <v>18.099999999999998</v>
      </c>
      <c r="AL91" s="15"/>
      <c r="AM91" s="15"/>
      <c r="AN91" s="15"/>
      <c r="AO91" s="15"/>
      <c r="AP91" s="15"/>
      <c r="AQ91" s="15"/>
      <c r="AR91" s="15"/>
      <c r="AS91" s="15"/>
      <c r="AT91" s="15"/>
      <c r="AU91" s="18"/>
      <c r="AV91" s="15"/>
      <c r="AW91" s="15">
        <v>3000</v>
      </c>
      <c r="AX91" s="15">
        <v>9.8000000000000007</v>
      </c>
      <c r="AY91" s="15"/>
      <c r="AZ91" s="15">
        <f t="shared" ref="AZ91:AZ101" si="14">(AX91/2)^2*PI()*AW91/10000</f>
        <v>22.628891883807285</v>
      </c>
      <c r="BA91" s="15"/>
      <c r="BB91" s="15"/>
      <c r="BC91" s="15"/>
      <c r="BD91" s="15"/>
      <c r="BE91" s="15"/>
      <c r="BF91" s="15"/>
      <c r="BG91" s="15"/>
      <c r="BH91" s="15"/>
      <c r="BI91" s="15"/>
      <c r="BJ91" s="15"/>
      <c r="BK91" s="15"/>
      <c r="BL91" s="15"/>
      <c r="BM91" s="15"/>
      <c r="BN91" s="15"/>
      <c r="BO91" s="15"/>
      <c r="BP91" s="15"/>
      <c r="BQ91" s="15"/>
      <c r="BR91" s="15"/>
      <c r="BS91" s="15"/>
      <c r="BT91" s="15"/>
      <c r="BU91" s="15"/>
      <c r="BV91" s="15"/>
      <c r="BW91" s="15"/>
      <c r="BX91" s="15"/>
      <c r="BY91" s="15"/>
      <c r="BZ91" s="15"/>
      <c r="CA91" s="15"/>
      <c r="CB91" s="15"/>
      <c r="CC91" s="15"/>
      <c r="CD91" s="15"/>
      <c r="CE91" s="15"/>
      <c r="CF91" s="15"/>
      <c r="CG91" s="15"/>
      <c r="CH91" s="15"/>
      <c r="CI91" s="15"/>
      <c r="CJ91" s="15"/>
      <c r="CK91" s="15">
        <f>31.66*12/44</f>
        <v>8.6345454545454547</v>
      </c>
      <c r="CL91" s="15">
        <f>20.11*12/44</f>
        <v>5.4845454545454544</v>
      </c>
      <c r="CM91" s="15"/>
      <c r="CN91" s="18" t="s">
        <v>488</v>
      </c>
      <c r="CO91" s="18" t="s">
        <v>3</v>
      </c>
      <c r="CP91" s="24" t="s">
        <v>475</v>
      </c>
      <c r="CQ91" s="23" t="s">
        <v>495</v>
      </c>
    </row>
    <row r="92" spans="1:95" s="12" customFormat="1" ht="14">
      <c r="A92" s="18">
        <v>89</v>
      </c>
      <c r="B92" s="18" t="s">
        <v>465</v>
      </c>
      <c r="C92" s="18" t="s">
        <v>466</v>
      </c>
      <c r="D92" s="15" t="s">
        <v>16</v>
      </c>
      <c r="E92" s="18" t="s">
        <v>472</v>
      </c>
      <c r="F92" s="28" t="s">
        <v>468</v>
      </c>
      <c r="G92" s="18">
        <v>2014</v>
      </c>
      <c r="H92" s="18">
        <v>2016</v>
      </c>
      <c r="I92" s="18">
        <v>1</v>
      </c>
      <c r="J92" s="18">
        <v>1</v>
      </c>
      <c r="K92" s="18">
        <v>1</v>
      </c>
      <c r="L92" s="18">
        <v>0</v>
      </c>
      <c r="M92" s="18">
        <v>0</v>
      </c>
      <c r="N92" s="18">
        <v>0</v>
      </c>
      <c r="O92" s="15">
        <v>15.8</v>
      </c>
      <c r="P92" s="15">
        <f t="shared" ref="P92:P101" si="15">(O92-5)*12</f>
        <v>129.60000000000002</v>
      </c>
      <c r="Q92" s="15">
        <v>1450</v>
      </c>
      <c r="R92" s="15">
        <v>0</v>
      </c>
      <c r="S92" s="15">
        <f>(150+200)/2</f>
        <v>175</v>
      </c>
      <c r="T92" s="15"/>
      <c r="U92" s="15">
        <v>1847</v>
      </c>
      <c r="V92" s="15"/>
      <c r="W92" s="15"/>
      <c r="X92" s="15"/>
      <c r="Y92" s="15">
        <v>5.18</v>
      </c>
      <c r="Z92" s="15">
        <v>2.15</v>
      </c>
      <c r="AA92" s="15"/>
      <c r="AB92" s="15"/>
      <c r="AC92" s="15">
        <v>9.1</v>
      </c>
      <c r="AD92" s="15"/>
      <c r="AE92" s="15"/>
      <c r="AF92" s="15"/>
      <c r="AG92" s="15"/>
      <c r="AH92" s="15"/>
      <c r="AI92" s="15">
        <f>(498/(498+321+181)*100)</f>
        <v>49.8</v>
      </c>
      <c r="AJ92" s="15">
        <f>(321/(498+321+181)*100)</f>
        <v>32.1</v>
      </c>
      <c r="AK92" s="15">
        <f>(181/(498+321+181)*100)</f>
        <v>18.099999999999998</v>
      </c>
      <c r="AL92" s="15"/>
      <c r="AM92" s="15"/>
      <c r="AN92" s="15"/>
      <c r="AO92" s="15"/>
      <c r="AP92" s="15"/>
      <c r="AQ92" s="15"/>
      <c r="AR92" s="15"/>
      <c r="AS92" s="15"/>
      <c r="AT92" s="15"/>
      <c r="AU92" s="18"/>
      <c r="AV92" s="15"/>
      <c r="AW92" s="15">
        <v>3000</v>
      </c>
      <c r="AX92" s="15">
        <v>9.8000000000000007</v>
      </c>
      <c r="AY92" s="15"/>
      <c r="AZ92" s="15">
        <f t="shared" si="14"/>
        <v>22.628891883807285</v>
      </c>
      <c r="BA92" s="15"/>
      <c r="BB92" s="15"/>
      <c r="BC92" s="15"/>
      <c r="BD92" s="15"/>
      <c r="BE92" s="15"/>
      <c r="BF92" s="15"/>
      <c r="BG92" s="15"/>
      <c r="BH92" s="15"/>
      <c r="BI92" s="15"/>
      <c r="BJ92" s="15"/>
      <c r="BK92" s="15"/>
      <c r="BL92" s="15"/>
      <c r="BM92" s="15"/>
      <c r="BN92" s="15"/>
      <c r="BO92" s="15"/>
      <c r="BP92" s="15"/>
      <c r="BQ92" s="15"/>
      <c r="BR92" s="15"/>
      <c r="BS92" s="15"/>
      <c r="BT92" s="15"/>
      <c r="BU92" s="15"/>
      <c r="BV92" s="15"/>
      <c r="BW92" s="15"/>
      <c r="BX92" s="15"/>
      <c r="BY92" s="15"/>
      <c r="BZ92" s="15"/>
      <c r="CA92" s="15"/>
      <c r="CB92" s="15"/>
      <c r="CC92" s="15"/>
      <c r="CD92" s="15"/>
      <c r="CE92" s="15"/>
      <c r="CF92" s="15"/>
      <c r="CG92" s="15"/>
      <c r="CH92" s="15"/>
      <c r="CI92" s="15"/>
      <c r="CJ92" s="15"/>
      <c r="CK92" s="15">
        <f>32.32*12/44</f>
        <v>8.8145454545454545</v>
      </c>
      <c r="CL92" s="15">
        <f>17.71*12/44</f>
        <v>4.83</v>
      </c>
      <c r="CM92" s="15"/>
      <c r="CN92" s="18" t="s">
        <v>489</v>
      </c>
      <c r="CO92" s="18" t="s">
        <v>3</v>
      </c>
      <c r="CP92" s="24" t="s">
        <v>475</v>
      </c>
      <c r="CQ92" s="23" t="s">
        <v>495</v>
      </c>
    </row>
    <row r="93" spans="1:95" s="12" customFormat="1" ht="14">
      <c r="A93" s="18">
        <v>90</v>
      </c>
      <c r="B93" s="18" t="s">
        <v>465</v>
      </c>
      <c r="C93" s="18" t="s">
        <v>466</v>
      </c>
      <c r="D93" s="15" t="s">
        <v>16</v>
      </c>
      <c r="E93" s="18" t="s">
        <v>473</v>
      </c>
      <c r="F93" s="28" t="s">
        <v>469</v>
      </c>
      <c r="G93" s="18">
        <v>2014</v>
      </c>
      <c r="H93" s="18">
        <v>2016</v>
      </c>
      <c r="I93" s="18">
        <v>1</v>
      </c>
      <c r="J93" s="18">
        <v>1</v>
      </c>
      <c r="K93" s="18">
        <v>1</v>
      </c>
      <c r="L93" s="18">
        <v>0</v>
      </c>
      <c r="M93" s="18">
        <v>0</v>
      </c>
      <c r="N93" s="18">
        <v>0</v>
      </c>
      <c r="O93" s="15">
        <v>15.8</v>
      </c>
      <c r="P93" s="15">
        <f t="shared" si="15"/>
        <v>129.60000000000002</v>
      </c>
      <c r="Q93" s="15">
        <v>1450</v>
      </c>
      <c r="R93" s="15">
        <v>0</v>
      </c>
      <c r="S93" s="15">
        <f>(150+200)/2</f>
        <v>175</v>
      </c>
      <c r="T93" s="15"/>
      <c r="U93" s="15">
        <v>1847</v>
      </c>
      <c r="V93" s="15"/>
      <c r="W93" s="15"/>
      <c r="X93" s="15"/>
      <c r="Y93" s="15">
        <v>4.62</v>
      </c>
      <c r="Z93" s="15">
        <v>2.02</v>
      </c>
      <c r="AA93" s="15"/>
      <c r="AB93" s="15"/>
      <c r="AC93" s="15">
        <v>8.7899999999999991</v>
      </c>
      <c r="AD93" s="15"/>
      <c r="AE93" s="15"/>
      <c r="AF93" s="15"/>
      <c r="AG93" s="15"/>
      <c r="AH93" s="15"/>
      <c r="AI93" s="15">
        <f>(498/(498+321+181)*100)</f>
        <v>49.8</v>
      </c>
      <c r="AJ93" s="15">
        <f>(321/(498+321+181)*100)</f>
        <v>32.1</v>
      </c>
      <c r="AK93" s="15">
        <f>(181/(498+321+181)*100)</f>
        <v>18.099999999999998</v>
      </c>
      <c r="AL93" s="15"/>
      <c r="AM93" s="15"/>
      <c r="AN93" s="15"/>
      <c r="AO93" s="15"/>
      <c r="AP93" s="15"/>
      <c r="AQ93" s="15"/>
      <c r="AR93" s="15"/>
      <c r="AS93" s="15"/>
      <c r="AT93" s="15"/>
      <c r="AU93" s="18"/>
      <c r="AV93" s="15"/>
      <c r="AW93" s="15">
        <v>3000</v>
      </c>
      <c r="AX93" s="15">
        <v>9.8000000000000007</v>
      </c>
      <c r="AY93" s="15"/>
      <c r="AZ93" s="15">
        <f t="shared" si="14"/>
        <v>22.628891883807285</v>
      </c>
      <c r="BA93" s="15"/>
      <c r="BB93" s="15"/>
      <c r="BC93" s="15"/>
      <c r="BD93" s="15"/>
      <c r="BE93" s="15"/>
      <c r="BF93" s="15"/>
      <c r="BG93" s="15"/>
      <c r="BH93" s="15"/>
      <c r="BI93" s="15"/>
      <c r="BJ93" s="15"/>
      <c r="BK93" s="15"/>
      <c r="BL93" s="15"/>
      <c r="BM93" s="15"/>
      <c r="BN93" s="15"/>
      <c r="BO93" s="15"/>
      <c r="BP93" s="15"/>
      <c r="BQ93" s="15"/>
      <c r="BR93" s="15"/>
      <c r="BS93" s="15"/>
      <c r="BT93" s="15"/>
      <c r="BU93" s="15"/>
      <c r="BV93" s="15"/>
      <c r="BW93" s="15"/>
      <c r="BX93" s="15"/>
      <c r="BY93" s="15"/>
      <c r="BZ93" s="15"/>
      <c r="CA93" s="15"/>
      <c r="CB93" s="15"/>
      <c r="CC93" s="15"/>
      <c r="CD93" s="15"/>
      <c r="CE93" s="15"/>
      <c r="CF93" s="15"/>
      <c r="CG93" s="15"/>
      <c r="CH93" s="15"/>
      <c r="CI93" s="15"/>
      <c r="CJ93" s="15"/>
      <c r="CK93" s="15">
        <f>37.65*12/44</f>
        <v>10.268181818181818</v>
      </c>
      <c r="CL93" s="15">
        <f>22.06*12/44</f>
        <v>6.0163636363636357</v>
      </c>
      <c r="CM93" s="15"/>
      <c r="CN93" s="18" t="s">
        <v>490</v>
      </c>
      <c r="CO93" s="18" t="s">
        <v>3</v>
      </c>
      <c r="CP93" s="24" t="s">
        <v>475</v>
      </c>
      <c r="CQ93" s="23" t="s">
        <v>497</v>
      </c>
    </row>
    <row r="94" spans="1:95" s="12" customFormat="1" ht="14">
      <c r="A94" s="18">
        <v>91</v>
      </c>
      <c r="B94" s="18" t="s">
        <v>465</v>
      </c>
      <c r="C94" s="18" t="s">
        <v>466</v>
      </c>
      <c r="D94" s="15" t="s">
        <v>16</v>
      </c>
      <c r="E94" s="18" t="s">
        <v>474</v>
      </c>
      <c r="F94" s="28" t="s">
        <v>470</v>
      </c>
      <c r="G94" s="18">
        <v>2014</v>
      </c>
      <c r="H94" s="18">
        <v>2016</v>
      </c>
      <c r="I94" s="18">
        <v>1</v>
      </c>
      <c r="J94" s="18">
        <v>1</v>
      </c>
      <c r="K94" s="18">
        <v>1</v>
      </c>
      <c r="L94" s="18">
        <v>0</v>
      </c>
      <c r="M94" s="18">
        <v>0</v>
      </c>
      <c r="N94" s="18">
        <v>0</v>
      </c>
      <c r="O94" s="15">
        <v>15.8</v>
      </c>
      <c r="P94" s="15">
        <f t="shared" si="15"/>
        <v>129.60000000000002</v>
      </c>
      <c r="Q94" s="15">
        <v>1450</v>
      </c>
      <c r="R94" s="15">
        <v>0</v>
      </c>
      <c r="S94" s="15">
        <f>(150+200)/2</f>
        <v>175</v>
      </c>
      <c r="T94" s="15"/>
      <c r="U94" s="15">
        <v>1847</v>
      </c>
      <c r="V94" s="15"/>
      <c r="W94" s="15"/>
      <c r="X94" s="15"/>
      <c r="Y94" s="15">
        <v>4.8499999999999996</v>
      </c>
      <c r="Z94" s="15">
        <v>2.09</v>
      </c>
      <c r="AA94" s="15"/>
      <c r="AB94" s="15"/>
      <c r="AC94" s="15">
        <v>8.81</v>
      </c>
      <c r="AD94" s="15"/>
      <c r="AE94" s="15"/>
      <c r="AF94" s="15"/>
      <c r="AG94" s="15"/>
      <c r="AH94" s="15"/>
      <c r="AI94" s="15">
        <f>(498/(498+321+181)*100)</f>
        <v>49.8</v>
      </c>
      <c r="AJ94" s="15">
        <f>(321/(498+321+181)*100)</f>
        <v>32.1</v>
      </c>
      <c r="AK94" s="15">
        <f>(181/(498+321+181)*100)</f>
        <v>18.099999999999998</v>
      </c>
      <c r="AL94" s="15"/>
      <c r="AM94" s="15"/>
      <c r="AN94" s="15"/>
      <c r="AO94" s="15"/>
      <c r="AP94" s="15"/>
      <c r="AQ94" s="15"/>
      <c r="AR94" s="15"/>
      <c r="AS94" s="15"/>
      <c r="AT94" s="15"/>
      <c r="AU94" s="18"/>
      <c r="AV94" s="15"/>
      <c r="AW94" s="15">
        <v>3000</v>
      </c>
      <c r="AX94" s="15">
        <v>9.8000000000000007</v>
      </c>
      <c r="AY94" s="15"/>
      <c r="AZ94" s="15">
        <f t="shared" si="14"/>
        <v>22.628891883807285</v>
      </c>
      <c r="BA94" s="15"/>
      <c r="BB94" s="15"/>
      <c r="BC94" s="15"/>
      <c r="BD94" s="15"/>
      <c r="BE94" s="15"/>
      <c r="BF94" s="15"/>
      <c r="BG94" s="15"/>
      <c r="BH94" s="15"/>
      <c r="BI94" s="15"/>
      <c r="BJ94" s="15"/>
      <c r="BK94" s="15"/>
      <c r="BL94" s="15"/>
      <c r="BM94" s="15"/>
      <c r="BN94" s="15"/>
      <c r="BO94" s="15"/>
      <c r="BP94" s="15"/>
      <c r="BQ94" s="15"/>
      <c r="BR94" s="15"/>
      <c r="BS94" s="15"/>
      <c r="BT94" s="15"/>
      <c r="BU94" s="15"/>
      <c r="BV94" s="15"/>
      <c r="BW94" s="15"/>
      <c r="BX94" s="15"/>
      <c r="BY94" s="15"/>
      <c r="BZ94" s="15"/>
      <c r="CA94" s="15"/>
      <c r="CB94" s="15"/>
      <c r="CC94" s="15"/>
      <c r="CD94" s="15"/>
      <c r="CE94" s="15"/>
      <c r="CF94" s="15"/>
      <c r="CG94" s="15"/>
      <c r="CH94" s="15"/>
      <c r="CI94" s="15"/>
      <c r="CJ94" s="15"/>
      <c r="CK94" s="15">
        <f>36.53*12/44</f>
        <v>9.9627272727272729</v>
      </c>
      <c r="CL94" s="15">
        <f>21.47*12/44</f>
        <v>5.8554545454545455</v>
      </c>
      <c r="CM94" s="15"/>
      <c r="CN94" s="18" t="s">
        <v>491</v>
      </c>
      <c r="CO94" s="18" t="s">
        <v>3</v>
      </c>
      <c r="CP94" s="24" t="s">
        <v>475</v>
      </c>
      <c r="CQ94" s="23" t="s">
        <v>496</v>
      </c>
    </row>
    <row r="95" spans="1:95" s="12" customFormat="1" ht="14">
      <c r="A95" s="18">
        <v>92</v>
      </c>
      <c r="B95" s="18" t="s">
        <v>465</v>
      </c>
      <c r="C95" s="18" t="s">
        <v>499</v>
      </c>
      <c r="D95" s="15" t="s">
        <v>133</v>
      </c>
      <c r="E95" s="18" t="s">
        <v>514</v>
      </c>
      <c r="F95" s="28" t="s">
        <v>515</v>
      </c>
      <c r="G95" s="18">
        <v>2013</v>
      </c>
      <c r="H95" s="18">
        <v>2013</v>
      </c>
      <c r="I95" s="18">
        <v>1</v>
      </c>
      <c r="J95" s="18">
        <v>0</v>
      </c>
      <c r="K95" s="18">
        <v>1</v>
      </c>
      <c r="L95" s="18">
        <v>1</v>
      </c>
      <c r="M95" s="18">
        <v>0</v>
      </c>
      <c r="N95" s="18">
        <v>0</v>
      </c>
      <c r="O95" s="15">
        <v>16.399999999999999</v>
      </c>
      <c r="P95" s="15">
        <f t="shared" si="15"/>
        <v>136.79999999999998</v>
      </c>
      <c r="Q95" s="15">
        <v>1628</v>
      </c>
      <c r="R95" s="15">
        <v>0</v>
      </c>
      <c r="S95" s="15">
        <f>(165+220)/2</f>
        <v>192.5</v>
      </c>
      <c r="T95" s="15"/>
      <c r="U95" s="15"/>
      <c r="V95" s="15"/>
      <c r="W95" s="15"/>
      <c r="X95" s="15"/>
      <c r="Y95" s="15"/>
      <c r="Z95" s="15"/>
      <c r="AA95" s="15"/>
      <c r="AB95" s="15"/>
      <c r="AC95" s="15"/>
      <c r="AD95" s="15"/>
      <c r="AE95" s="15"/>
      <c r="AF95" s="15"/>
      <c r="AG95" s="15"/>
      <c r="AH95" s="15"/>
      <c r="AI95" s="15"/>
      <c r="AJ95" s="15"/>
      <c r="AK95" s="15"/>
      <c r="AL95" s="15"/>
      <c r="AM95" s="15"/>
      <c r="AN95" s="15"/>
      <c r="AO95" s="15"/>
      <c r="AP95" s="15"/>
      <c r="AQ95" s="15"/>
      <c r="AR95" s="15"/>
      <c r="AS95" s="15"/>
      <c r="AT95" s="15"/>
      <c r="AU95" s="18"/>
      <c r="AV95" s="15"/>
      <c r="AW95" s="15">
        <v>3400</v>
      </c>
      <c r="AX95" s="15">
        <v>10.1</v>
      </c>
      <c r="AY95" s="15"/>
      <c r="AZ95" s="15">
        <f t="shared" si="14"/>
        <v>27.240278660379055</v>
      </c>
      <c r="BA95" s="15"/>
      <c r="BB95" s="15"/>
      <c r="BC95" s="15"/>
      <c r="BD95" s="15"/>
      <c r="BE95" s="15"/>
      <c r="BF95" s="15"/>
      <c r="BG95" s="15"/>
      <c r="BH95" s="15"/>
      <c r="BI95" s="15"/>
      <c r="BJ95" s="15"/>
      <c r="BK95" s="15"/>
      <c r="BL95" s="15"/>
      <c r="BM95" s="15"/>
      <c r="BN95" s="15">
        <v>7.0030480000000006</v>
      </c>
      <c r="BO95" s="15">
        <v>27.351870000000002</v>
      </c>
      <c r="BP95" s="15">
        <f>SUM(BM95:BO95)</f>
        <v>34.354918000000005</v>
      </c>
      <c r="BQ95" s="15">
        <f>BU95/BP95</f>
        <v>0.7056956445071414</v>
      </c>
      <c r="BR95" s="15">
        <v>8.317634</v>
      </c>
      <c r="BS95" s="15">
        <v>4.955444</v>
      </c>
      <c r="BT95" s="15">
        <v>10.971037999999998</v>
      </c>
      <c r="BU95" s="15">
        <f>SUM(BR95:BT95)</f>
        <v>24.244115999999998</v>
      </c>
      <c r="BV95" s="15">
        <f>BP95+BU95</f>
        <v>58.599034000000003</v>
      </c>
      <c r="BW95" s="15">
        <v>1.799226</v>
      </c>
      <c r="BX95" s="15">
        <v>119.5</v>
      </c>
      <c r="BY95" s="15"/>
      <c r="BZ95" s="15">
        <f>SUM(BV95:BY95)</f>
        <v>179.89825999999999</v>
      </c>
      <c r="CA95" s="15"/>
      <c r="CB95" s="15"/>
      <c r="CC95" s="15"/>
      <c r="CD95" s="15"/>
      <c r="CE95" s="15">
        <f>BP95/5</f>
        <v>6.8709836000000006</v>
      </c>
      <c r="CF95" s="15"/>
      <c r="CG95" s="15"/>
      <c r="CH95" s="15"/>
      <c r="CI95" s="15"/>
      <c r="CJ95" s="15"/>
      <c r="CK95" s="15"/>
      <c r="CL95" s="15"/>
      <c r="CM95" s="15"/>
      <c r="CN95" s="18" t="s">
        <v>512</v>
      </c>
      <c r="CO95" s="18" t="s">
        <v>3</v>
      </c>
      <c r="CP95" s="24" t="s">
        <v>513</v>
      </c>
      <c r="CQ95" s="23" t="s">
        <v>496</v>
      </c>
    </row>
    <row r="96" spans="1:95" s="12" customFormat="1" ht="14">
      <c r="A96" s="18">
        <v>93</v>
      </c>
      <c r="B96" s="18" t="s">
        <v>465</v>
      </c>
      <c r="C96" s="18" t="s">
        <v>508</v>
      </c>
      <c r="D96" s="15" t="s">
        <v>133</v>
      </c>
      <c r="E96" s="18" t="s">
        <v>514</v>
      </c>
      <c r="F96" s="28" t="s">
        <v>516</v>
      </c>
      <c r="G96" s="18">
        <v>2013</v>
      </c>
      <c r="H96" s="18">
        <v>2013</v>
      </c>
      <c r="I96" s="18">
        <v>1</v>
      </c>
      <c r="J96" s="18">
        <v>0</v>
      </c>
      <c r="K96" s="18">
        <v>1</v>
      </c>
      <c r="L96" s="18">
        <v>1</v>
      </c>
      <c r="M96" s="18">
        <v>0</v>
      </c>
      <c r="N96" s="18">
        <v>0</v>
      </c>
      <c r="O96" s="15">
        <v>17.100000000000001</v>
      </c>
      <c r="P96" s="15">
        <f t="shared" si="15"/>
        <v>145.20000000000002</v>
      </c>
      <c r="Q96" s="15">
        <v>1602</v>
      </c>
      <c r="R96" s="15">
        <v>0</v>
      </c>
      <c r="S96" s="15">
        <f>(248+265)/2</f>
        <v>256.5</v>
      </c>
      <c r="T96" s="15"/>
      <c r="U96" s="15"/>
      <c r="V96" s="15"/>
      <c r="W96" s="15"/>
      <c r="X96" s="15"/>
      <c r="Y96" s="15"/>
      <c r="Z96" s="15"/>
      <c r="AA96" s="15"/>
      <c r="AB96" s="15"/>
      <c r="AC96" s="15"/>
      <c r="AD96" s="15"/>
      <c r="AE96" s="15"/>
      <c r="AF96" s="15"/>
      <c r="AG96" s="15"/>
      <c r="AH96" s="15"/>
      <c r="AI96" s="15"/>
      <c r="AJ96" s="15"/>
      <c r="AK96" s="15"/>
      <c r="AL96" s="15"/>
      <c r="AM96" s="15"/>
      <c r="AN96" s="15"/>
      <c r="AO96" s="15"/>
      <c r="AP96" s="15"/>
      <c r="AQ96" s="15"/>
      <c r="AR96" s="15"/>
      <c r="AS96" s="15"/>
      <c r="AT96" s="15"/>
      <c r="AU96" s="18"/>
      <c r="AV96" s="15"/>
      <c r="AW96" s="15">
        <v>3378</v>
      </c>
      <c r="AX96" s="15">
        <v>10.119999999999999</v>
      </c>
      <c r="AY96" s="15"/>
      <c r="AZ96" s="15">
        <f t="shared" si="14"/>
        <v>27.171308386589551</v>
      </c>
      <c r="BA96" s="15"/>
      <c r="BB96" s="15"/>
      <c r="BC96" s="15"/>
      <c r="BD96" s="15"/>
      <c r="BE96" s="15"/>
      <c r="BF96" s="15"/>
      <c r="BG96" s="15"/>
      <c r="BH96" s="15"/>
      <c r="BI96" s="15"/>
      <c r="BJ96" s="15"/>
      <c r="BK96" s="15"/>
      <c r="BL96" s="15"/>
      <c r="BM96" s="15"/>
      <c r="BN96" s="15">
        <v>8.3222719999999999</v>
      </c>
      <c r="BO96" s="15">
        <v>23.906903999999997</v>
      </c>
      <c r="BP96" s="15">
        <f t="shared" ref="BP96:BP98" si="16">SUM(BM96:BO96)</f>
        <v>32.229175999999995</v>
      </c>
      <c r="BQ96" s="15">
        <f>BU96/BP96</f>
        <v>0.49375761266747886</v>
      </c>
      <c r="BR96" s="15">
        <v>5.5105610000000009</v>
      </c>
      <c r="BS96" s="15">
        <v>3.7931110000000006</v>
      </c>
      <c r="BT96" s="15">
        <v>6.6097290000000006</v>
      </c>
      <c r="BU96" s="15">
        <f t="shared" ref="BU96:BU98" si="17">SUM(BR96:BT96)</f>
        <v>15.913401000000004</v>
      </c>
      <c r="BV96" s="15">
        <f t="shared" ref="BV96:BV98" si="18">BP96+BU96</f>
        <v>48.142577000000003</v>
      </c>
      <c r="BW96" s="15">
        <v>0.90779500000000013</v>
      </c>
      <c r="BX96" s="15">
        <v>114.7</v>
      </c>
      <c r="BY96" s="15"/>
      <c r="BZ96" s="15">
        <f>SUM(BV96:BY96)</f>
        <v>163.750372</v>
      </c>
      <c r="CA96" s="15"/>
      <c r="CB96" s="15"/>
      <c r="CC96" s="15"/>
      <c r="CD96" s="15"/>
      <c r="CE96" s="15">
        <f t="shared" ref="CE96:CE98" si="19">BP96/5</f>
        <v>6.4458351999999994</v>
      </c>
      <c r="CF96" s="15"/>
      <c r="CG96" s="15"/>
      <c r="CH96" s="15"/>
      <c r="CI96" s="15"/>
      <c r="CJ96" s="15"/>
      <c r="CK96" s="15"/>
      <c r="CL96" s="15"/>
      <c r="CM96" s="15"/>
      <c r="CN96" s="18" t="s">
        <v>512</v>
      </c>
      <c r="CO96" s="18" t="s">
        <v>3</v>
      </c>
      <c r="CP96" s="24" t="s">
        <v>513</v>
      </c>
      <c r="CQ96" s="23" t="s">
        <v>496</v>
      </c>
    </row>
    <row r="97" spans="1:101" s="12" customFormat="1" ht="14">
      <c r="A97" s="18">
        <v>94</v>
      </c>
      <c r="B97" s="18" t="s">
        <v>465</v>
      </c>
      <c r="C97" s="18" t="s">
        <v>510</v>
      </c>
      <c r="D97" s="15" t="s">
        <v>133</v>
      </c>
      <c r="E97" s="18" t="s">
        <v>514</v>
      </c>
      <c r="F97" s="28" t="s">
        <v>517</v>
      </c>
      <c r="G97" s="18">
        <v>2013</v>
      </c>
      <c r="H97" s="18">
        <v>2013</v>
      </c>
      <c r="I97" s="18">
        <v>1</v>
      </c>
      <c r="J97" s="18">
        <v>0</v>
      </c>
      <c r="K97" s="18">
        <v>1</v>
      </c>
      <c r="L97" s="18">
        <v>1</v>
      </c>
      <c r="M97" s="18">
        <v>0</v>
      </c>
      <c r="N97" s="18">
        <v>0</v>
      </c>
      <c r="O97" s="15">
        <v>19.3</v>
      </c>
      <c r="P97" s="15">
        <f t="shared" si="15"/>
        <v>171.60000000000002</v>
      </c>
      <c r="Q97" s="15">
        <v>1670</v>
      </c>
      <c r="R97" s="15">
        <v>0</v>
      </c>
      <c r="S97" s="15">
        <f>(250+278)/2</f>
        <v>264</v>
      </c>
      <c r="T97" s="15"/>
      <c r="U97" s="15"/>
      <c r="V97" s="15"/>
      <c r="W97" s="15"/>
      <c r="X97" s="15"/>
      <c r="Y97" s="15"/>
      <c r="Z97" s="15"/>
      <c r="AA97" s="15"/>
      <c r="AB97" s="15"/>
      <c r="AC97" s="15"/>
      <c r="AD97" s="15"/>
      <c r="AE97" s="15"/>
      <c r="AF97" s="15"/>
      <c r="AG97" s="15"/>
      <c r="AH97" s="15"/>
      <c r="AI97" s="15"/>
      <c r="AJ97" s="15"/>
      <c r="AK97" s="15"/>
      <c r="AL97" s="15"/>
      <c r="AM97" s="15"/>
      <c r="AN97" s="15"/>
      <c r="AO97" s="15"/>
      <c r="AP97" s="15"/>
      <c r="AQ97" s="15"/>
      <c r="AR97" s="15"/>
      <c r="AS97" s="15"/>
      <c r="AT97" s="15"/>
      <c r="AU97" s="18"/>
      <c r="AV97" s="15"/>
      <c r="AW97" s="15">
        <v>3667</v>
      </c>
      <c r="AX97" s="15">
        <v>9.99</v>
      </c>
      <c r="AY97" s="15"/>
      <c r="AZ97" s="15">
        <f t="shared" si="14"/>
        <v>28.74297835103151</v>
      </c>
      <c r="BA97" s="15"/>
      <c r="BB97" s="15"/>
      <c r="BC97" s="15"/>
      <c r="BD97" s="15"/>
      <c r="BE97" s="15"/>
      <c r="BF97" s="15"/>
      <c r="BG97" s="15"/>
      <c r="BH97" s="15"/>
      <c r="BI97" s="15"/>
      <c r="BJ97" s="15"/>
      <c r="BK97" s="15"/>
      <c r="BL97" s="15"/>
      <c r="BM97" s="15"/>
      <c r="BN97" s="15">
        <v>7.2895279999999998</v>
      </c>
      <c r="BO97" s="15">
        <v>30.685542000000002</v>
      </c>
      <c r="BP97" s="15">
        <f t="shared" si="16"/>
        <v>37.975070000000002</v>
      </c>
      <c r="BQ97" s="15">
        <f>BU97/BP97</f>
        <v>0.35880721220527045</v>
      </c>
      <c r="BR97" s="15">
        <v>4.8877759999999997</v>
      </c>
      <c r="BS97" s="15">
        <v>2.7125050000000002</v>
      </c>
      <c r="BT97" s="15">
        <v>6.0254479999999999</v>
      </c>
      <c r="BU97" s="15">
        <f t="shared" si="17"/>
        <v>13.625729</v>
      </c>
      <c r="BV97" s="15">
        <f t="shared" si="18"/>
        <v>51.600799000000002</v>
      </c>
      <c r="BW97" s="15">
        <v>1.0955360000000001</v>
      </c>
      <c r="BX97" s="15">
        <v>98.2</v>
      </c>
      <c r="BY97" s="15"/>
      <c r="BZ97" s="15">
        <f>SUM(BV97:BY97)</f>
        <v>150.89633500000002</v>
      </c>
      <c r="CA97" s="15"/>
      <c r="CB97" s="15"/>
      <c r="CC97" s="15"/>
      <c r="CD97" s="15"/>
      <c r="CE97" s="15">
        <f t="shared" si="19"/>
        <v>7.5950140000000008</v>
      </c>
      <c r="CF97" s="15"/>
      <c r="CG97" s="15"/>
      <c r="CH97" s="15"/>
      <c r="CI97" s="15"/>
      <c r="CJ97" s="15"/>
      <c r="CK97" s="15"/>
      <c r="CL97" s="15"/>
      <c r="CM97" s="15"/>
      <c r="CN97" s="18" t="s">
        <v>512</v>
      </c>
      <c r="CO97" s="18" t="s">
        <v>3</v>
      </c>
      <c r="CP97" s="24" t="s">
        <v>513</v>
      </c>
      <c r="CQ97" s="23" t="s">
        <v>496</v>
      </c>
    </row>
    <row r="98" spans="1:101" s="12" customFormat="1" ht="14">
      <c r="A98" s="18">
        <v>95</v>
      </c>
      <c r="B98" s="18" t="s">
        <v>465</v>
      </c>
      <c r="C98" s="18" t="s">
        <v>511</v>
      </c>
      <c r="D98" s="15" t="s">
        <v>133</v>
      </c>
      <c r="E98" s="18" t="s">
        <v>514</v>
      </c>
      <c r="F98" s="28" t="s">
        <v>518</v>
      </c>
      <c r="G98" s="18">
        <v>2013</v>
      </c>
      <c r="H98" s="18">
        <v>2013</v>
      </c>
      <c r="I98" s="18">
        <v>1</v>
      </c>
      <c r="J98" s="18">
        <v>0</v>
      </c>
      <c r="K98" s="18">
        <v>1</v>
      </c>
      <c r="L98" s="18">
        <v>1</v>
      </c>
      <c r="M98" s="18">
        <v>0</v>
      </c>
      <c r="N98" s="18">
        <v>0</v>
      </c>
      <c r="O98" s="15">
        <v>21</v>
      </c>
      <c r="P98" s="15">
        <f t="shared" si="15"/>
        <v>192</v>
      </c>
      <c r="Q98" s="15">
        <v>1618</v>
      </c>
      <c r="R98" s="15">
        <v>0</v>
      </c>
      <c r="S98" s="15">
        <f>(204+268)/2</f>
        <v>236</v>
      </c>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8"/>
      <c r="AV98" s="15"/>
      <c r="AW98" s="15">
        <v>4722</v>
      </c>
      <c r="AX98" s="15">
        <v>8.3699999999999992</v>
      </c>
      <c r="AY98" s="15"/>
      <c r="AZ98" s="15">
        <f t="shared" si="14"/>
        <v>25.98165311216508</v>
      </c>
      <c r="BA98" s="15"/>
      <c r="BB98" s="15"/>
      <c r="BC98" s="15"/>
      <c r="BD98" s="15"/>
      <c r="BE98" s="15"/>
      <c r="BF98" s="15"/>
      <c r="BG98" s="15"/>
      <c r="BH98" s="15"/>
      <c r="BI98" s="15"/>
      <c r="BJ98" s="15"/>
      <c r="BK98" s="15"/>
      <c r="BL98" s="15"/>
      <c r="BM98" s="15"/>
      <c r="BN98" s="15">
        <v>6.956640000000001</v>
      </c>
      <c r="BO98" s="15">
        <v>24.367563999999998</v>
      </c>
      <c r="BP98" s="15">
        <f t="shared" si="16"/>
        <v>31.324203999999998</v>
      </c>
      <c r="BQ98" s="15">
        <f>BU98/BP98</f>
        <v>0.49275138803207896</v>
      </c>
      <c r="BR98" s="15">
        <v>7.1595420000000001</v>
      </c>
      <c r="BS98" s="15">
        <v>3.5266299999999999</v>
      </c>
      <c r="BT98" s="15">
        <v>4.7488730000000006</v>
      </c>
      <c r="BU98" s="15">
        <f t="shared" si="17"/>
        <v>15.435044999999999</v>
      </c>
      <c r="BV98" s="15">
        <f t="shared" si="18"/>
        <v>46.759248999999997</v>
      </c>
      <c r="BW98" s="15">
        <v>1.5749059999999999</v>
      </c>
      <c r="BX98" s="15">
        <v>87.83</v>
      </c>
      <c r="BY98" s="15"/>
      <c r="BZ98" s="15">
        <f>SUM(BV98:BY98)</f>
        <v>136.16415499999999</v>
      </c>
      <c r="CA98" s="15"/>
      <c r="CB98" s="15"/>
      <c r="CC98" s="15"/>
      <c r="CD98" s="15"/>
      <c r="CE98" s="15">
        <f t="shared" si="19"/>
        <v>6.2648408</v>
      </c>
      <c r="CF98" s="15"/>
      <c r="CG98" s="15"/>
      <c r="CH98" s="15"/>
      <c r="CI98" s="15"/>
      <c r="CJ98" s="15"/>
      <c r="CK98" s="15"/>
      <c r="CL98" s="15"/>
      <c r="CM98" s="15"/>
      <c r="CN98" s="18" t="s">
        <v>512</v>
      </c>
      <c r="CO98" s="18" t="s">
        <v>3</v>
      </c>
      <c r="CP98" s="24" t="s">
        <v>513</v>
      </c>
      <c r="CQ98" s="23" t="s">
        <v>496</v>
      </c>
    </row>
    <row r="99" spans="1:101" s="12" customFormat="1" ht="14">
      <c r="A99" s="18">
        <v>96</v>
      </c>
      <c r="B99" s="18" t="s">
        <v>465</v>
      </c>
      <c r="C99" s="18" t="s">
        <v>487</v>
      </c>
      <c r="D99" s="15" t="s">
        <v>16</v>
      </c>
      <c r="E99" s="18" t="s">
        <v>494</v>
      </c>
      <c r="F99" s="28" t="s">
        <v>501</v>
      </c>
      <c r="G99" s="18">
        <v>2017</v>
      </c>
      <c r="H99" s="18">
        <v>2017</v>
      </c>
      <c r="I99" s="18">
        <v>0</v>
      </c>
      <c r="J99" s="18">
        <v>0</v>
      </c>
      <c r="K99" s="18">
        <v>0</v>
      </c>
      <c r="L99" s="18">
        <v>0</v>
      </c>
      <c r="M99" s="18">
        <v>0</v>
      </c>
      <c r="N99" s="18">
        <v>1</v>
      </c>
      <c r="O99" s="15">
        <v>17.489999999999998</v>
      </c>
      <c r="P99" s="15">
        <f t="shared" si="15"/>
        <v>149.88</v>
      </c>
      <c r="Q99" s="15">
        <v>1420</v>
      </c>
      <c r="R99" s="15">
        <v>0</v>
      </c>
      <c r="S99" s="15">
        <f>(100+300)/2</f>
        <v>200</v>
      </c>
      <c r="T99" s="15"/>
      <c r="U99" s="15">
        <v>1774</v>
      </c>
      <c r="V99" s="15"/>
      <c r="W99" s="15"/>
      <c r="X99" s="15"/>
      <c r="Y99" s="15">
        <v>5.21</v>
      </c>
      <c r="Z99" s="15"/>
      <c r="AA99" s="15"/>
      <c r="AB99" s="15"/>
      <c r="AC99" s="15"/>
      <c r="AD99" s="15"/>
      <c r="AE99" s="15"/>
      <c r="AF99" s="15"/>
      <c r="AG99" s="15"/>
      <c r="AH99" s="15"/>
      <c r="AI99" s="15"/>
      <c r="AJ99" s="15"/>
      <c r="AK99" s="15"/>
      <c r="AL99" s="15"/>
      <c r="AM99" s="15"/>
      <c r="AN99" s="15"/>
      <c r="AO99" s="15"/>
      <c r="AP99" s="15"/>
      <c r="AQ99" s="15"/>
      <c r="AR99" s="15"/>
      <c r="AS99" s="15"/>
      <c r="AT99" s="15"/>
      <c r="AU99" s="18"/>
      <c r="AV99" s="15"/>
      <c r="AW99" s="15">
        <v>2500</v>
      </c>
      <c r="AX99" s="15">
        <v>8.9700000000000006</v>
      </c>
      <c r="AY99" s="15">
        <v>10.5</v>
      </c>
      <c r="AZ99" s="15">
        <f t="shared" si="14"/>
        <v>15.798460771326438</v>
      </c>
      <c r="BA99" s="15"/>
      <c r="BB99" s="15"/>
      <c r="BC99" s="15"/>
      <c r="BD99" s="15"/>
      <c r="BE99" s="15"/>
      <c r="BF99" s="15"/>
      <c r="BG99" s="15"/>
      <c r="BH99" s="15"/>
      <c r="BI99" s="15"/>
      <c r="BJ99" s="15"/>
      <c r="BK99" s="15"/>
      <c r="BL99" s="15"/>
      <c r="BM99" s="15"/>
      <c r="BN99" s="15"/>
      <c r="BO99" s="15"/>
      <c r="BP99" s="15"/>
      <c r="BQ99" s="15"/>
      <c r="BR99" s="15"/>
      <c r="BS99" s="15"/>
      <c r="BT99" s="15"/>
      <c r="BU99" s="15"/>
      <c r="BV99" s="15"/>
      <c r="BW99" s="15"/>
      <c r="BX99" s="15"/>
      <c r="BY99" s="15"/>
      <c r="BZ99" s="15"/>
      <c r="CA99" s="15"/>
      <c r="CB99" s="15"/>
      <c r="CC99" s="15"/>
      <c r="CD99" s="15"/>
      <c r="CE99" s="15">
        <f>28.16*12/44</f>
        <v>7.6800000000000006</v>
      </c>
      <c r="CF99" s="15"/>
      <c r="CG99" s="15"/>
      <c r="CH99" s="15"/>
      <c r="CI99" s="15"/>
      <c r="CJ99" s="15"/>
      <c r="CK99" s="15">
        <f>72.04*12/44</f>
        <v>19.647272727272728</v>
      </c>
      <c r="CL99" s="15"/>
      <c r="CM99" s="15">
        <f>4.71*12/44</f>
        <v>1.2845454545454544</v>
      </c>
      <c r="CN99" s="18" t="s">
        <v>492</v>
      </c>
      <c r="CO99" s="18" t="s">
        <v>3</v>
      </c>
      <c r="CP99" s="24" t="s">
        <v>493</v>
      </c>
      <c r="CQ99" s="23" t="s">
        <v>495</v>
      </c>
    </row>
    <row r="100" spans="1:101" s="12" customFormat="1" ht="14">
      <c r="A100" s="18">
        <v>97</v>
      </c>
      <c r="B100" s="18" t="s">
        <v>498</v>
      </c>
      <c r="C100" s="18" t="s">
        <v>499</v>
      </c>
      <c r="D100" s="15" t="s">
        <v>16</v>
      </c>
      <c r="E100" s="18" t="s">
        <v>506</v>
      </c>
      <c r="F100" s="28" t="s">
        <v>500</v>
      </c>
      <c r="G100" s="18">
        <v>2013</v>
      </c>
      <c r="H100" s="18">
        <v>2015</v>
      </c>
      <c r="I100" s="18">
        <v>1</v>
      </c>
      <c r="J100" s="18">
        <v>0</v>
      </c>
      <c r="K100" s="18">
        <v>1</v>
      </c>
      <c r="L100" s="18">
        <v>1</v>
      </c>
      <c r="M100" s="18">
        <v>0</v>
      </c>
      <c r="N100" s="18">
        <v>1</v>
      </c>
      <c r="O100" s="15">
        <v>15.6</v>
      </c>
      <c r="P100" s="15">
        <f t="shared" si="15"/>
        <v>127.19999999999999</v>
      </c>
      <c r="Q100" s="15">
        <v>1420</v>
      </c>
      <c r="R100" s="15">
        <v>0</v>
      </c>
      <c r="S100" s="15">
        <f>(100+300)/2</f>
        <v>200</v>
      </c>
      <c r="T100" s="15"/>
      <c r="U100" s="15"/>
      <c r="V100" s="15"/>
      <c r="W100" s="15"/>
      <c r="X100" s="15"/>
      <c r="Y100" s="15">
        <v>4.22</v>
      </c>
      <c r="Z100" s="15">
        <v>2.27</v>
      </c>
      <c r="AA100" s="15">
        <v>0.69</v>
      </c>
      <c r="AB100" s="15"/>
      <c r="AC100" s="15">
        <v>2</v>
      </c>
      <c r="AD100" s="15"/>
      <c r="AE100" s="15"/>
      <c r="AF100" s="15"/>
      <c r="AG100" s="15"/>
      <c r="AH100" s="15"/>
      <c r="AI100" s="15"/>
      <c r="AJ100" s="15"/>
      <c r="AK100" s="15"/>
      <c r="AL100" s="15"/>
      <c r="AM100" s="15"/>
      <c r="AN100" s="15"/>
      <c r="AO100" s="15"/>
      <c r="AP100" s="15"/>
      <c r="AQ100" s="15"/>
      <c r="AR100" s="15"/>
      <c r="AS100" s="15"/>
      <c r="AT100" s="15"/>
      <c r="AU100" s="18"/>
      <c r="AV100" s="15"/>
      <c r="AW100" s="15">
        <v>3106</v>
      </c>
      <c r="AX100" s="15">
        <v>10.08</v>
      </c>
      <c r="AY100" s="15"/>
      <c r="AZ100" s="15">
        <f t="shared" si="14"/>
        <v>24.78633967229187</v>
      </c>
      <c r="BA100" s="15"/>
      <c r="BB100" s="15"/>
      <c r="BC100" s="15"/>
      <c r="BD100" s="15"/>
      <c r="BE100" s="15"/>
      <c r="BF100" s="15"/>
      <c r="BG100" s="15"/>
      <c r="BH100" s="15"/>
      <c r="BI100" s="15"/>
      <c r="BJ100" s="15"/>
      <c r="BK100" s="15"/>
      <c r="BL100" s="15"/>
      <c r="BM100" s="15"/>
      <c r="BN100" s="15"/>
      <c r="BO100" s="15"/>
      <c r="BP100" s="15"/>
      <c r="BQ100" s="15"/>
      <c r="BR100" s="15"/>
      <c r="BS100" s="15"/>
      <c r="BT100" s="15"/>
      <c r="BU100" s="15"/>
      <c r="BV100" s="15"/>
      <c r="BW100" s="15"/>
      <c r="BX100" s="15"/>
      <c r="BY100" s="15"/>
      <c r="BZ100" s="15"/>
      <c r="CA100" s="15"/>
      <c r="CB100" s="15"/>
      <c r="CC100" s="15"/>
      <c r="CD100" s="15"/>
      <c r="CE100" s="15"/>
      <c r="CF100" s="15"/>
      <c r="CG100" s="15"/>
      <c r="CH100" s="15"/>
      <c r="CI100" s="15"/>
      <c r="CJ100" s="15"/>
      <c r="CK100" s="15">
        <f>((34.44867+32.37182+33.44647)/3)*12/44</f>
        <v>9.1151781818181821</v>
      </c>
      <c r="CL100" s="15"/>
      <c r="CM100" s="15"/>
      <c r="CN100" s="18" t="s">
        <v>503</v>
      </c>
      <c r="CO100" s="18" t="s">
        <v>3</v>
      </c>
      <c r="CP100" s="24" t="s">
        <v>504</v>
      </c>
      <c r="CQ100" s="23" t="s">
        <v>495</v>
      </c>
    </row>
    <row r="101" spans="1:101" s="12" customFormat="1" ht="14">
      <c r="A101" s="18">
        <v>98</v>
      </c>
      <c r="B101" s="18" t="s">
        <v>498</v>
      </c>
      <c r="C101" s="18" t="s">
        <v>499</v>
      </c>
      <c r="D101" s="15" t="s">
        <v>16</v>
      </c>
      <c r="E101" s="18" t="s">
        <v>507</v>
      </c>
      <c r="F101" s="28" t="s">
        <v>502</v>
      </c>
      <c r="G101" s="18">
        <v>2013</v>
      </c>
      <c r="H101" s="18">
        <v>2015</v>
      </c>
      <c r="I101" s="18">
        <v>1</v>
      </c>
      <c r="J101" s="18">
        <v>1</v>
      </c>
      <c r="K101" s="18">
        <v>1</v>
      </c>
      <c r="L101" s="18">
        <v>1</v>
      </c>
      <c r="M101" s="18">
        <v>0</v>
      </c>
      <c r="N101" s="18">
        <v>1</v>
      </c>
      <c r="O101" s="15">
        <v>15.6</v>
      </c>
      <c r="P101" s="15">
        <f t="shared" si="15"/>
        <v>127.19999999999999</v>
      </c>
      <c r="Q101" s="15">
        <v>1420</v>
      </c>
      <c r="R101" s="15">
        <v>0</v>
      </c>
      <c r="S101" s="15">
        <f>(100+300)/2</f>
        <v>200</v>
      </c>
      <c r="T101" s="15"/>
      <c r="U101" s="15"/>
      <c r="V101" s="15"/>
      <c r="W101" s="15"/>
      <c r="X101" s="15"/>
      <c r="Y101" s="15">
        <v>3.82</v>
      </c>
      <c r="Z101" s="15">
        <v>2.29</v>
      </c>
      <c r="AA101" s="15">
        <v>0.9</v>
      </c>
      <c r="AB101" s="15"/>
      <c r="AC101" s="15">
        <v>2</v>
      </c>
      <c r="AD101" s="15"/>
      <c r="AE101" s="15"/>
      <c r="AF101" s="15"/>
      <c r="AG101" s="15"/>
      <c r="AH101" s="15"/>
      <c r="AI101" s="15"/>
      <c r="AJ101" s="15"/>
      <c r="AK101" s="15"/>
      <c r="AL101" s="15"/>
      <c r="AM101" s="15"/>
      <c r="AN101" s="15"/>
      <c r="AO101" s="15"/>
      <c r="AP101" s="15"/>
      <c r="AQ101" s="15"/>
      <c r="AR101" s="15"/>
      <c r="AS101" s="15"/>
      <c r="AT101" s="15"/>
      <c r="AU101" s="18"/>
      <c r="AV101" s="15"/>
      <c r="AW101" s="15">
        <v>3362</v>
      </c>
      <c r="AX101" s="15">
        <v>10.16</v>
      </c>
      <c r="AY101" s="15"/>
      <c r="AZ101" s="15">
        <f t="shared" si="14"/>
        <v>27.2568087156126</v>
      </c>
      <c r="BA101" s="15"/>
      <c r="BB101" s="15"/>
      <c r="BC101" s="15"/>
      <c r="BD101" s="15"/>
      <c r="BE101" s="15"/>
      <c r="BF101" s="15"/>
      <c r="BG101" s="15"/>
      <c r="BH101" s="15"/>
      <c r="BI101" s="15"/>
      <c r="BJ101" s="15"/>
      <c r="BK101" s="15"/>
      <c r="BL101" s="15"/>
      <c r="BM101" s="15"/>
      <c r="BN101" s="15"/>
      <c r="BO101" s="15"/>
      <c r="BP101" s="15"/>
      <c r="BQ101" s="15"/>
      <c r="BR101" s="15"/>
      <c r="BS101" s="15"/>
      <c r="BT101" s="15"/>
      <c r="BU101" s="15"/>
      <c r="BV101" s="15"/>
      <c r="BW101" s="15"/>
      <c r="BX101" s="15"/>
      <c r="BY101" s="15"/>
      <c r="BZ101" s="15"/>
      <c r="CA101" s="15"/>
      <c r="CB101" s="15"/>
      <c r="CC101" s="15"/>
      <c r="CD101" s="15"/>
      <c r="CE101" s="15"/>
      <c r="CF101" s="15"/>
      <c r="CG101" s="15"/>
      <c r="CH101" s="15"/>
      <c r="CI101" s="15"/>
      <c r="CJ101" s="15"/>
      <c r="CK101" s="15">
        <f>((36.29459+35.16678+36.20264)/3)*12/44</f>
        <v>9.7876372727272738</v>
      </c>
      <c r="CL101" s="15"/>
      <c r="CM101" s="15"/>
      <c r="CN101" s="18" t="s">
        <v>503</v>
      </c>
      <c r="CO101" s="18" t="s">
        <v>3</v>
      </c>
      <c r="CP101" s="24" t="s">
        <v>505</v>
      </c>
      <c r="CQ101" s="23" t="s">
        <v>495</v>
      </c>
    </row>
    <row r="102" spans="1:101" s="12" customFormat="1" ht="28">
      <c r="A102" s="18">
        <v>99</v>
      </c>
      <c r="B102" s="18" t="s">
        <v>428</v>
      </c>
      <c r="C102" s="18" t="s">
        <v>454</v>
      </c>
      <c r="D102" s="15" t="s">
        <v>93</v>
      </c>
      <c r="E102" s="18" t="s">
        <v>461</v>
      </c>
      <c r="F102" s="18" t="s">
        <v>463</v>
      </c>
      <c r="G102" s="18">
        <v>2007</v>
      </c>
      <c r="H102" s="18">
        <v>2007</v>
      </c>
      <c r="I102" s="18">
        <v>0</v>
      </c>
      <c r="J102" s="18">
        <v>0</v>
      </c>
      <c r="K102" s="18">
        <v>0</v>
      </c>
      <c r="L102" s="18">
        <v>0</v>
      </c>
      <c r="M102" s="18">
        <v>0</v>
      </c>
      <c r="N102" s="18">
        <v>0</v>
      </c>
      <c r="O102" s="15">
        <v>16.55833333333333</v>
      </c>
      <c r="P102" s="15">
        <v>138.69999999999996</v>
      </c>
      <c r="Q102" s="15">
        <v>1258</v>
      </c>
      <c r="R102" s="15">
        <v>0</v>
      </c>
      <c r="S102" s="15">
        <v>3</v>
      </c>
      <c r="T102" s="15">
        <v>67.5</v>
      </c>
      <c r="U102" s="15">
        <v>2240.1166666666668</v>
      </c>
      <c r="V102" s="15">
        <v>2.3083330000000002</v>
      </c>
      <c r="W102" s="15"/>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8"/>
      <c r="AV102" s="15"/>
      <c r="AW102" s="15">
        <v>8800</v>
      </c>
      <c r="AX102" s="15">
        <v>11.5</v>
      </c>
      <c r="AY102" s="15"/>
      <c r="AZ102" s="15">
        <f>91.4</f>
        <v>91.4</v>
      </c>
      <c r="BA102" s="15"/>
      <c r="BB102" s="15"/>
      <c r="BC102" s="15"/>
      <c r="BD102" s="15"/>
      <c r="BE102" s="15"/>
      <c r="BF102" s="15"/>
      <c r="BG102" s="15"/>
      <c r="BH102" s="15"/>
      <c r="BI102" s="15"/>
      <c r="BJ102" s="15"/>
      <c r="BK102" s="15"/>
      <c r="BL102" s="15"/>
      <c r="BM102" s="15">
        <f>7.1*0.5</f>
        <v>3.55</v>
      </c>
      <c r="BN102" s="15">
        <f>21.8*0.5</f>
        <v>10.9</v>
      </c>
      <c r="BO102" s="15">
        <f>159.7*0.5</f>
        <v>79.849999999999994</v>
      </c>
      <c r="BP102" s="15">
        <f>188.5*0.5</f>
        <v>94.25</v>
      </c>
      <c r="BQ102" s="15"/>
      <c r="BR102" s="15"/>
      <c r="BS102" s="15"/>
      <c r="BT102" s="15"/>
      <c r="BU102" s="15"/>
      <c r="BV102" s="15"/>
      <c r="BW102" s="15"/>
      <c r="BX102" s="15"/>
      <c r="BY102" s="15"/>
      <c r="BZ102" s="15"/>
      <c r="CA102" s="15"/>
      <c r="CB102" s="15"/>
      <c r="CC102" s="15"/>
      <c r="CD102" s="15"/>
      <c r="CE102" s="15"/>
      <c r="CF102" s="15"/>
      <c r="CG102" s="15"/>
      <c r="CH102" s="15"/>
      <c r="CI102" s="15"/>
      <c r="CJ102" s="15"/>
      <c r="CK102" s="15"/>
      <c r="CL102" s="15"/>
      <c r="CM102" s="15"/>
      <c r="CN102" s="18" t="s">
        <v>485</v>
      </c>
      <c r="CO102" s="18" t="s">
        <v>3</v>
      </c>
      <c r="CP102" s="29" t="s">
        <v>452</v>
      </c>
      <c r="CQ102" s="23" t="s">
        <v>450</v>
      </c>
    </row>
    <row r="103" spans="1:101" s="12" customFormat="1" ht="28">
      <c r="A103" s="18">
        <v>100</v>
      </c>
      <c r="B103" s="18" t="s">
        <v>70</v>
      </c>
      <c r="C103" s="18" t="s">
        <v>458</v>
      </c>
      <c r="D103" s="15" t="s">
        <v>93</v>
      </c>
      <c r="E103" s="18" t="s">
        <v>461</v>
      </c>
      <c r="F103" s="18" t="s">
        <v>464</v>
      </c>
      <c r="G103" s="18">
        <v>2007</v>
      </c>
      <c r="H103" s="18">
        <v>2007</v>
      </c>
      <c r="I103" s="18">
        <v>0</v>
      </c>
      <c r="J103" s="18">
        <v>0</v>
      </c>
      <c r="K103" s="18">
        <v>0</v>
      </c>
      <c r="L103" s="18">
        <v>0</v>
      </c>
      <c r="M103" s="18">
        <v>0</v>
      </c>
      <c r="N103" s="18">
        <v>0</v>
      </c>
      <c r="O103" s="15">
        <v>16.158333333333335</v>
      </c>
      <c r="P103" s="15">
        <v>133.90000000000003</v>
      </c>
      <c r="Q103" s="15">
        <v>1367</v>
      </c>
      <c r="R103" s="15">
        <v>0</v>
      </c>
      <c r="S103" s="15">
        <v>4</v>
      </c>
      <c r="T103" s="15">
        <v>67.5</v>
      </c>
      <c r="U103" s="15">
        <v>2241.85</v>
      </c>
      <c r="V103" s="15">
        <v>1.95</v>
      </c>
      <c r="W103" s="15"/>
      <c r="X103" s="15"/>
      <c r="Y103" s="15"/>
      <c r="Z103" s="15"/>
      <c r="AA103" s="15"/>
      <c r="AB103" s="15"/>
      <c r="AC103" s="15"/>
      <c r="AD103" s="15"/>
      <c r="AE103" s="15"/>
      <c r="AF103" s="15"/>
      <c r="AG103" s="15"/>
      <c r="AH103" s="15"/>
      <c r="AI103" s="15"/>
      <c r="AJ103" s="15"/>
      <c r="AK103" s="15"/>
      <c r="AL103" s="15"/>
      <c r="AM103" s="15"/>
      <c r="AN103" s="15"/>
      <c r="AO103" s="15"/>
      <c r="AP103" s="15"/>
      <c r="AQ103" s="15"/>
      <c r="AR103" s="15"/>
      <c r="AS103" s="15"/>
      <c r="AT103" s="15"/>
      <c r="AU103" s="18"/>
      <c r="AV103" s="15"/>
      <c r="AW103" s="15">
        <v>8100</v>
      </c>
      <c r="AX103" s="15">
        <v>13.1</v>
      </c>
      <c r="AY103" s="15"/>
      <c r="AZ103" s="15">
        <v>109.2</v>
      </c>
      <c r="BA103" s="15"/>
      <c r="BB103" s="15"/>
      <c r="BC103" s="15"/>
      <c r="BD103" s="15"/>
      <c r="BE103" s="15"/>
      <c r="BF103" s="15"/>
      <c r="BG103" s="15"/>
      <c r="BH103" s="15"/>
      <c r="BI103" s="15"/>
      <c r="BJ103" s="15"/>
      <c r="BK103" s="15"/>
      <c r="BL103" s="15"/>
      <c r="BM103" s="15">
        <f>6.1*0.5</f>
        <v>3.05</v>
      </c>
      <c r="BN103" s="15">
        <f>19.2*0.5</f>
        <v>9.6</v>
      </c>
      <c r="BO103" s="15">
        <f>187.5*0.5</f>
        <v>93.75</v>
      </c>
      <c r="BP103" s="15">
        <f>212.8*0.5</f>
        <v>106.4</v>
      </c>
      <c r="BQ103" s="15"/>
      <c r="BR103" s="15"/>
      <c r="BS103" s="15"/>
      <c r="BT103" s="15"/>
      <c r="BU103" s="15"/>
      <c r="BV103" s="15"/>
      <c r="BW103" s="15"/>
      <c r="BX103" s="15"/>
      <c r="BY103" s="15"/>
      <c r="BZ103" s="15"/>
      <c r="CA103" s="15"/>
      <c r="CB103" s="15"/>
      <c r="CC103" s="15"/>
      <c r="CD103" s="15"/>
      <c r="CE103" s="15"/>
      <c r="CF103" s="15"/>
      <c r="CG103" s="15"/>
      <c r="CH103" s="15"/>
      <c r="CI103" s="15"/>
      <c r="CJ103" s="15"/>
      <c r="CK103" s="15"/>
      <c r="CL103" s="15"/>
      <c r="CM103" s="15"/>
      <c r="CN103" s="18" t="s">
        <v>485</v>
      </c>
      <c r="CO103" s="18" t="s">
        <v>3</v>
      </c>
      <c r="CP103" s="29" t="s">
        <v>452</v>
      </c>
      <c r="CQ103" s="23" t="s">
        <v>495</v>
      </c>
    </row>
    <row r="104" spans="1:101" s="12" customFormat="1" ht="28">
      <c r="A104" s="18">
        <v>101</v>
      </c>
      <c r="B104" s="18" t="s">
        <v>70</v>
      </c>
      <c r="C104" s="18" t="s">
        <v>459</v>
      </c>
      <c r="D104" s="15" t="s">
        <v>93</v>
      </c>
      <c r="E104" s="18" t="s">
        <v>461</v>
      </c>
      <c r="F104" s="18" t="s">
        <v>462</v>
      </c>
      <c r="G104" s="18">
        <v>2007</v>
      </c>
      <c r="H104" s="18">
        <v>2007</v>
      </c>
      <c r="I104" s="18">
        <v>0</v>
      </c>
      <c r="J104" s="18">
        <v>0</v>
      </c>
      <c r="K104" s="18">
        <v>0</v>
      </c>
      <c r="L104" s="18">
        <v>0</v>
      </c>
      <c r="M104" s="18">
        <v>0</v>
      </c>
      <c r="N104" s="18">
        <v>0</v>
      </c>
      <c r="O104" s="15">
        <v>14.699999999999998</v>
      </c>
      <c r="P104" s="15">
        <v>116.39999999999998</v>
      </c>
      <c r="Q104" s="15">
        <v>1384</v>
      </c>
      <c r="R104" s="15">
        <v>0</v>
      </c>
      <c r="S104" s="15">
        <v>40</v>
      </c>
      <c r="T104" s="15">
        <v>67.5</v>
      </c>
      <c r="U104" s="15">
        <v>1928.1166666666666</v>
      </c>
      <c r="V104" s="15">
        <v>1.8416666666666668</v>
      </c>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8"/>
      <c r="AV104" s="15"/>
      <c r="AW104" s="15">
        <v>3978</v>
      </c>
      <c r="AX104" s="15">
        <v>14</v>
      </c>
      <c r="AY104" s="15"/>
      <c r="AZ104" s="15">
        <v>61.2</v>
      </c>
      <c r="BA104" s="15"/>
      <c r="BB104" s="15"/>
      <c r="BC104" s="15"/>
      <c r="BD104" s="15"/>
      <c r="BE104" s="15"/>
      <c r="BF104" s="15"/>
      <c r="BG104" s="15"/>
      <c r="BH104" s="15"/>
      <c r="BI104" s="15"/>
      <c r="BJ104" s="15"/>
      <c r="BK104" s="15"/>
      <c r="BL104" s="15"/>
      <c r="BM104" s="15">
        <f>3.9*0.5</f>
        <v>1.95</v>
      </c>
      <c r="BN104" s="15">
        <f>11*0.5</f>
        <v>5.5</v>
      </c>
      <c r="BO104" s="15">
        <f>102.3*0.5</f>
        <v>51.15</v>
      </c>
      <c r="BP104" s="15">
        <f>117.2*0.5</f>
        <v>58.6</v>
      </c>
      <c r="BQ104" s="15"/>
      <c r="BR104" s="15"/>
      <c r="BS104" s="15"/>
      <c r="BT104" s="15"/>
      <c r="BU104" s="15"/>
      <c r="BV104" s="15"/>
      <c r="BW104" s="15"/>
      <c r="BX104" s="15"/>
      <c r="BY104" s="15"/>
      <c r="BZ104" s="15"/>
      <c r="CA104" s="15"/>
      <c r="CB104" s="15"/>
      <c r="CC104" s="15"/>
      <c r="CD104" s="15"/>
      <c r="CE104" s="15"/>
      <c r="CF104" s="15"/>
      <c r="CG104" s="15"/>
      <c r="CH104" s="15"/>
      <c r="CI104" s="15"/>
      <c r="CJ104" s="15"/>
      <c r="CK104" s="15"/>
      <c r="CL104" s="15"/>
      <c r="CM104" s="15"/>
      <c r="CN104" s="18" t="s">
        <v>484</v>
      </c>
      <c r="CO104" s="18" t="s">
        <v>3</v>
      </c>
      <c r="CP104" s="29" t="s">
        <v>452</v>
      </c>
      <c r="CQ104" s="23" t="s">
        <v>451</v>
      </c>
    </row>
    <row r="105" spans="1:101" s="12" customFormat="1">
      <c r="A105" s="18">
        <v>102</v>
      </c>
      <c r="B105" s="18" t="s">
        <v>54</v>
      </c>
      <c r="C105" s="18" t="s">
        <v>58</v>
      </c>
      <c r="D105" s="15" t="s">
        <v>52</v>
      </c>
      <c r="E105" s="18" t="s">
        <v>566</v>
      </c>
      <c r="F105" s="18" t="s">
        <v>429</v>
      </c>
      <c r="G105" s="18">
        <v>2016</v>
      </c>
      <c r="H105" s="18">
        <v>2016</v>
      </c>
      <c r="I105" s="18">
        <v>1</v>
      </c>
      <c r="J105" s="18">
        <v>1</v>
      </c>
      <c r="K105" s="18">
        <v>1</v>
      </c>
      <c r="L105" s="18">
        <v>1</v>
      </c>
      <c r="M105" s="18">
        <v>0</v>
      </c>
      <c r="N105" s="18">
        <v>0</v>
      </c>
      <c r="O105" s="15">
        <v>13.1</v>
      </c>
      <c r="P105" s="15">
        <f>(O105-5)*12</f>
        <v>97.199999999999989</v>
      </c>
      <c r="Q105" s="15">
        <v>1512</v>
      </c>
      <c r="R105" s="15"/>
      <c r="S105" s="15">
        <v>50</v>
      </c>
      <c r="T105" s="15"/>
      <c r="U105" s="15"/>
      <c r="V105" s="15"/>
      <c r="W105" s="15"/>
      <c r="X105" s="15"/>
      <c r="Y105" s="15">
        <f>(4.59+4.45)/2</f>
        <v>4.5199999999999996</v>
      </c>
      <c r="Z105" s="15">
        <f>(0.23+0.2)/2</f>
        <v>0.21500000000000002</v>
      </c>
      <c r="AA105" s="15"/>
      <c r="AB105" s="15"/>
      <c r="AC105" s="15">
        <f>(174.5+132.2)/2</f>
        <v>153.35</v>
      </c>
      <c r="AD105" s="15"/>
      <c r="AE105" s="15"/>
      <c r="AF105" s="15">
        <f>(3.84+3.74)/2</f>
        <v>3.79</v>
      </c>
      <c r="AG105" s="15">
        <f>(3.49+2.49)/2</f>
        <v>2.99</v>
      </c>
      <c r="AH105" s="15">
        <f>(0.07+0.06)/2</f>
        <v>6.5000000000000002E-2</v>
      </c>
      <c r="AI105" s="15">
        <f>(53+47)/2</f>
        <v>50</v>
      </c>
      <c r="AJ105" s="15">
        <f>(37+40)/2</f>
        <v>38.5</v>
      </c>
      <c r="AK105" s="15">
        <f>(10+13)/2</f>
        <v>11.5</v>
      </c>
      <c r="AL105" s="15"/>
      <c r="AM105" s="15"/>
      <c r="AN105" s="15"/>
      <c r="AO105" s="15"/>
      <c r="AP105" s="15"/>
      <c r="AQ105" s="15"/>
      <c r="AR105" s="15"/>
      <c r="AS105" s="15"/>
      <c r="AT105" s="15"/>
      <c r="AU105" s="18"/>
      <c r="AV105" s="15"/>
      <c r="AW105" s="15">
        <v>4633</v>
      </c>
      <c r="AX105" s="15">
        <v>10.8</v>
      </c>
      <c r="AY105" s="15"/>
      <c r="AZ105" s="15">
        <f>(AX105/2)^2*PI()*AW105/10000</f>
        <v>42.442376396061697</v>
      </c>
      <c r="BA105" s="15"/>
      <c r="BB105" s="15"/>
      <c r="BC105" s="15"/>
      <c r="BD105" s="15"/>
      <c r="BE105" s="15"/>
      <c r="BF105" s="15"/>
      <c r="BG105" s="15">
        <v>42.9</v>
      </c>
      <c r="BH105" s="15"/>
      <c r="BI105" s="15">
        <v>45</v>
      </c>
      <c r="BJ105" s="15"/>
      <c r="BK105" s="15">
        <v>2.48</v>
      </c>
      <c r="BL105" s="15">
        <v>2.0299999999999998</v>
      </c>
      <c r="BM105" s="15">
        <v>1.738</v>
      </c>
      <c r="BN105" s="15">
        <v>3.7831000000000001</v>
      </c>
      <c r="BO105" s="15">
        <v>20.810500000000001</v>
      </c>
      <c r="BP105" s="15">
        <v>26.331600000000002</v>
      </c>
      <c r="BQ105" s="15">
        <f>BU105/BP105</f>
        <v>9.2235185100791442E-2</v>
      </c>
      <c r="BR105" s="15">
        <v>1.0106999999999999</v>
      </c>
      <c r="BS105" s="15">
        <v>1.4179999999999999</v>
      </c>
      <c r="BT105" s="15"/>
      <c r="BU105" s="15">
        <f>BR105+BS105</f>
        <v>2.4287000000000001</v>
      </c>
      <c r="BV105" s="15">
        <f>BU105+BP105</f>
        <v>28.760300000000001</v>
      </c>
      <c r="BW105" s="15"/>
      <c r="BX105" s="15"/>
      <c r="BY105" s="15"/>
      <c r="BZ105" s="15"/>
      <c r="CA105" s="15"/>
      <c r="CB105" s="15"/>
      <c r="CC105" s="15"/>
      <c r="CD105" s="15"/>
      <c r="CE105" s="15"/>
      <c r="CF105" s="15"/>
      <c r="CG105" s="15"/>
      <c r="CH105" s="15"/>
      <c r="CI105" s="15"/>
      <c r="CJ105" s="15"/>
      <c r="CK105" s="15"/>
      <c r="CL105" s="15"/>
      <c r="CM105" s="15"/>
      <c r="CN105" s="18" t="s">
        <v>448</v>
      </c>
      <c r="CO105" s="18" t="s">
        <v>3</v>
      </c>
      <c r="CP105" s="24" t="s">
        <v>449</v>
      </c>
      <c r="CQ105" s="23" t="s">
        <v>30</v>
      </c>
      <c r="CR105" s="18"/>
      <c r="CS105" s="18"/>
      <c r="CT105" s="18"/>
      <c r="CU105" s="18"/>
      <c r="CV105" s="18"/>
      <c r="CW105" s="18"/>
    </row>
    <row r="106" spans="1:101" s="12" customFormat="1" ht="13">
      <c r="A106" s="18">
        <v>103</v>
      </c>
      <c r="B106" s="18" t="s">
        <v>430</v>
      </c>
      <c r="C106" s="18" t="s">
        <v>431</v>
      </c>
      <c r="D106" s="15" t="s">
        <v>432</v>
      </c>
      <c r="E106" s="18" t="s">
        <v>433</v>
      </c>
      <c r="F106" s="18" t="s">
        <v>434</v>
      </c>
      <c r="G106" s="18">
        <v>2016</v>
      </c>
      <c r="H106" s="18">
        <v>2016</v>
      </c>
      <c r="I106" s="18">
        <v>1</v>
      </c>
      <c r="J106" s="18">
        <v>0</v>
      </c>
      <c r="K106" s="18">
        <v>1</v>
      </c>
      <c r="L106" s="18">
        <v>0</v>
      </c>
      <c r="M106" s="18">
        <v>0</v>
      </c>
      <c r="N106" s="18">
        <v>0</v>
      </c>
      <c r="O106" s="15">
        <v>13.1</v>
      </c>
      <c r="P106" s="15">
        <v>97.199999999999989</v>
      </c>
      <c r="Q106" s="15">
        <v>1512</v>
      </c>
      <c r="R106" s="15"/>
      <c r="S106" s="15">
        <v>67</v>
      </c>
      <c r="T106" s="15"/>
      <c r="U106" s="15"/>
      <c r="V106" s="15"/>
      <c r="W106" s="15"/>
      <c r="X106" s="15"/>
      <c r="Y106" s="15">
        <v>4.625</v>
      </c>
      <c r="Z106" s="15">
        <v>0.2</v>
      </c>
      <c r="AA106" s="15"/>
      <c r="AB106" s="15"/>
      <c r="AC106" s="15">
        <v>5.71</v>
      </c>
      <c r="AD106" s="15"/>
      <c r="AE106" s="15"/>
      <c r="AF106" s="15">
        <v>2.7250000000000001</v>
      </c>
      <c r="AG106" s="15">
        <v>1.3149999999999999</v>
      </c>
      <c r="AH106" s="15">
        <v>0.03</v>
      </c>
      <c r="AI106" s="15">
        <v>59.5</v>
      </c>
      <c r="AJ106" s="15">
        <v>30</v>
      </c>
      <c r="AK106" s="15">
        <v>10</v>
      </c>
      <c r="AL106" s="15"/>
      <c r="AM106" s="15"/>
      <c r="AN106" s="15"/>
      <c r="AO106" s="15"/>
      <c r="AP106" s="15"/>
      <c r="AQ106" s="15"/>
      <c r="AR106" s="15"/>
      <c r="AS106" s="15"/>
      <c r="AT106" s="15"/>
      <c r="AU106" s="18"/>
      <c r="AV106" s="15"/>
      <c r="AW106" s="15">
        <v>6833</v>
      </c>
      <c r="AX106" s="15">
        <v>10.7</v>
      </c>
      <c r="AY106" s="15"/>
      <c r="AZ106" s="15">
        <v>61.442497072514541</v>
      </c>
      <c r="BA106" s="15"/>
      <c r="BB106" s="15"/>
      <c r="BC106" s="15"/>
      <c r="BD106" s="15"/>
      <c r="BE106" s="15"/>
      <c r="BF106" s="15"/>
      <c r="BG106" s="15">
        <v>36.4</v>
      </c>
      <c r="BH106" s="15"/>
      <c r="BI106" s="15">
        <v>45.6</v>
      </c>
      <c r="BJ106" s="15"/>
      <c r="BK106" s="15">
        <v>2.46</v>
      </c>
      <c r="BL106" s="15">
        <v>2.31</v>
      </c>
      <c r="BM106" s="15">
        <v>2.9476</v>
      </c>
      <c r="BN106" s="15">
        <v>6.3715999999999999</v>
      </c>
      <c r="BO106" s="15">
        <v>39.851300000000002</v>
      </c>
      <c r="BP106" s="15">
        <v>48.900399999999998</v>
      </c>
      <c r="BQ106" s="15">
        <v>0.15130142084727324</v>
      </c>
      <c r="BR106" s="15">
        <v>4.1403999999999996</v>
      </c>
      <c r="BS106" s="15">
        <v>3.2583000000000002</v>
      </c>
      <c r="BT106" s="15"/>
      <c r="BU106" s="15">
        <v>7.3986999999999998</v>
      </c>
      <c r="BV106" s="15">
        <v>56.299099999999996</v>
      </c>
      <c r="BW106" s="15"/>
      <c r="BX106" s="15"/>
      <c r="BY106" s="15"/>
      <c r="BZ106" s="15"/>
      <c r="CA106" s="15"/>
      <c r="CB106" s="15"/>
      <c r="CC106" s="15"/>
      <c r="CD106" s="15"/>
      <c r="CE106" s="15"/>
      <c r="CF106" s="15"/>
      <c r="CG106" s="15"/>
      <c r="CH106" s="15"/>
      <c r="CI106" s="15"/>
      <c r="CJ106" s="15"/>
      <c r="CK106" s="15"/>
      <c r="CL106" s="15"/>
      <c r="CM106" s="15"/>
      <c r="CN106" s="18" t="s">
        <v>435</v>
      </c>
      <c r="CO106" s="18" t="s">
        <v>436</v>
      </c>
      <c r="CP106" s="24" t="s">
        <v>449</v>
      </c>
      <c r="CQ106" s="23" t="s">
        <v>114</v>
      </c>
      <c r="CR106" s="18"/>
      <c r="CS106" s="18"/>
      <c r="CT106" s="18"/>
      <c r="CU106" s="18"/>
      <c r="CV106" s="18"/>
      <c r="CW106" s="18"/>
    </row>
    <row r="107" spans="1:101" s="12" customFormat="1" ht="13">
      <c r="A107" s="18">
        <v>104</v>
      </c>
      <c r="B107" s="18" t="s">
        <v>476</v>
      </c>
      <c r="C107" s="18" t="s">
        <v>480</v>
      </c>
      <c r="D107" s="15" t="s">
        <v>479</v>
      </c>
      <c r="E107" s="18" t="s">
        <v>477</v>
      </c>
      <c r="F107" s="18" t="s">
        <v>481</v>
      </c>
      <c r="G107" s="18">
        <v>1971</v>
      </c>
      <c r="H107" s="18">
        <v>2019</v>
      </c>
      <c r="I107" s="18">
        <v>0.5</v>
      </c>
      <c r="J107" s="18">
        <v>0.5</v>
      </c>
      <c r="K107" s="18">
        <v>0.5</v>
      </c>
      <c r="L107" s="18">
        <v>0.5</v>
      </c>
      <c r="M107" s="18">
        <v>0.5</v>
      </c>
      <c r="N107" s="18">
        <v>0.5</v>
      </c>
      <c r="O107" s="18">
        <v>20.12</v>
      </c>
      <c r="P107" s="15">
        <f>(O107-5)*12</f>
        <v>181.44</v>
      </c>
      <c r="Q107" s="15">
        <v>2795.4</v>
      </c>
      <c r="R107" s="15">
        <v>0</v>
      </c>
      <c r="S107" s="15">
        <v>688.57</v>
      </c>
      <c r="T107" s="15">
        <v>78.907999999999987</v>
      </c>
      <c r="U107" s="15">
        <v>1733.4720000000002</v>
      </c>
      <c r="V107" s="15">
        <v>3.2319999999999998</v>
      </c>
      <c r="W107" s="15"/>
      <c r="X107" s="15"/>
      <c r="Y107" s="15"/>
      <c r="Z107" s="15"/>
      <c r="AA107" s="15"/>
      <c r="AB107" s="15"/>
      <c r="AC107" s="15"/>
      <c r="AD107" s="15"/>
      <c r="AE107" s="15"/>
      <c r="AF107" s="15"/>
      <c r="AG107" s="15"/>
      <c r="AH107" s="15"/>
      <c r="AI107" s="15"/>
      <c r="AJ107" s="15"/>
      <c r="AK107" s="15"/>
      <c r="AL107" s="15"/>
      <c r="AM107" s="15"/>
      <c r="AN107" s="15"/>
      <c r="AO107" s="15"/>
      <c r="AP107" s="15"/>
      <c r="AQ107" s="15"/>
      <c r="AR107" s="15"/>
      <c r="AS107" s="15"/>
      <c r="AT107" s="15"/>
      <c r="AU107" s="18"/>
      <c r="AV107" s="15"/>
      <c r="AW107" s="15">
        <f>AVERAGE(AW68:AW84)</f>
        <v>6986.2352941176468</v>
      </c>
      <c r="AX107" s="15">
        <f>AVERAGE(AX68:AX84)</f>
        <v>7.8537499999999998</v>
      </c>
      <c r="AY107" s="15"/>
      <c r="AZ107" s="15">
        <f>AVERAGE(AZ68:AZ84)</f>
        <v>33.15015231975017</v>
      </c>
      <c r="BA107" s="15"/>
      <c r="BB107" s="15"/>
      <c r="BC107" s="15"/>
      <c r="BD107" s="15"/>
      <c r="BE107" s="15"/>
      <c r="BF107" s="15"/>
      <c r="BG107" s="15"/>
      <c r="BH107" s="15"/>
      <c r="BI107" s="15"/>
      <c r="BJ107" s="15"/>
      <c r="BK107" s="15"/>
      <c r="BL107" s="15"/>
      <c r="BM107" s="15"/>
      <c r="BN107" s="15"/>
      <c r="BO107" s="15"/>
      <c r="BP107" s="15">
        <v>33.18</v>
      </c>
      <c r="BQ107" s="15"/>
      <c r="BR107" s="15"/>
      <c r="BS107" s="15"/>
      <c r="BT107" s="15"/>
      <c r="BU107" s="15"/>
      <c r="BV107" s="15"/>
      <c r="BW107" s="15"/>
      <c r="BX107" s="15"/>
      <c r="BY107" s="15"/>
      <c r="BZ107" s="15"/>
      <c r="CA107" s="15"/>
      <c r="CB107" s="15"/>
      <c r="CC107" s="15"/>
      <c r="CD107" s="15"/>
      <c r="CE107" s="15"/>
      <c r="CF107" s="15"/>
      <c r="CG107" s="15"/>
      <c r="CH107" s="15"/>
      <c r="CI107" s="15"/>
      <c r="CJ107" s="15"/>
      <c r="CK107" s="15"/>
      <c r="CL107" s="15"/>
      <c r="CM107" s="15"/>
      <c r="CN107" s="18" t="s">
        <v>483</v>
      </c>
      <c r="CO107" s="18" t="s">
        <v>436</v>
      </c>
      <c r="CP107" s="24" t="s">
        <v>482</v>
      </c>
      <c r="CQ107" s="23" t="s">
        <v>486</v>
      </c>
      <c r="CR107" s="18"/>
      <c r="CS107" s="18"/>
      <c r="CT107" s="18"/>
      <c r="CU107" s="18"/>
      <c r="CV107" s="18"/>
      <c r="CW107" s="18"/>
    </row>
    <row r="108" spans="1:101" s="18" customFormat="1" ht="14" thickBot="1">
      <c r="A108" s="30">
        <v>105</v>
      </c>
      <c r="B108" s="30" t="s">
        <v>437</v>
      </c>
      <c r="C108" s="30" t="s">
        <v>439</v>
      </c>
      <c r="D108" s="31" t="s">
        <v>440</v>
      </c>
      <c r="E108" s="30" t="s">
        <v>442</v>
      </c>
      <c r="F108" s="30" t="s">
        <v>445</v>
      </c>
      <c r="G108" s="30">
        <v>2004</v>
      </c>
      <c r="H108" s="30">
        <v>2007</v>
      </c>
      <c r="I108" s="30">
        <v>1</v>
      </c>
      <c r="J108" s="30">
        <v>1</v>
      </c>
      <c r="K108" s="30">
        <v>1</v>
      </c>
      <c r="L108" s="30">
        <v>1</v>
      </c>
      <c r="M108" s="30">
        <v>0</v>
      </c>
      <c r="N108" s="30">
        <v>0</v>
      </c>
      <c r="O108" s="31">
        <v>16.5</v>
      </c>
      <c r="P108" s="31">
        <v>138</v>
      </c>
      <c r="Q108" s="31">
        <v>2200</v>
      </c>
      <c r="R108" s="31">
        <v>0</v>
      </c>
      <c r="S108" s="31">
        <v>1050</v>
      </c>
      <c r="T108" s="31">
        <v>82.666669999999996</v>
      </c>
      <c r="U108" s="31">
        <v>1561.7</v>
      </c>
      <c r="V108" s="31">
        <v>1.2250000000000001</v>
      </c>
      <c r="W108" s="31"/>
      <c r="X108" s="31"/>
      <c r="Y108" s="31"/>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0"/>
      <c r="AV108" s="31"/>
      <c r="AW108" s="31">
        <f>(AW72+AW77+AW78)/3</f>
        <v>7078</v>
      </c>
      <c r="AX108" s="31">
        <f>(AX72+AX77+AX78)/3</f>
        <v>8.7533333333333321</v>
      </c>
      <c r="AY108" s="31"/>
      <c r="AZ108" s="31">
        <f>(AZ72+AZ77+AZ78)/3</f>
        <v>42.606122111360975</v>
      </c>
      <c r="BA108" s="31"/>
      <c r="BB108" s="31"/>
      <c r="BC108" s="31"/>
      <c r="BD108" s="31">
        <f>(BD72+BD77+BD78)/3</f>
        <v>45.44</v>
      </c>
      <c r="BE108" s="31">
        <f>(BE72+BE77+BE78)/3</f>
        <v>48.15</v>
      </c>
      <c r="BF108" s="31">
        <f>(BF72+BF77+BF78)/3</f>
        <v>46.28</v>
      </c>
      <c r="BG108" s="31"/>
      <c r="BH108" s="31"/>
      <c r="BI108" s="31"/>
      <c r="BJ108" s="31"/>
      <c r="BK108" s="31"/>
      <c r="BL108" s="31"/>
      <c r="BM108" s="31"/>
      <c r="BN108" s="31"/>
      <c r="BO108" s="31"/>
      <c r="BP108" s="31">
        <v>40.6</v>
      </c>
      <c r="BQ108" s="31"/>
      <c r="BR108" s="31"/>
      <c r="BS108" s="31"/>
      <c r="BT108" s="31"/>
      <c r="BU108" s="31"/>
      <c r="BV108" s="31"/>
      <c r="BW108" s="31"/>
      <c r="BX108" s="31"/>
      <c r="BY108" s="31"/>
      <c r="BZ108" s="31"/>
      <c r="CA108" s="31"/>
      <c r="CB108" s="31"/>
      <c r="CC108" s="31"/>
      <c r="CD108" s="31"/>
      <c r="CE108" s="31">
        <v>8.1300000000000008</v>
      </c>
      <c r="CF108" s="31"/>
      <c r="CG108" s="31"/>
      <c r="CH108" s="31"/>
      <c r="CI108" s="31"/>
      <c r="CJ108" s="31"/>
      <c r="CK108" s="31"/>
      <c r="CL108" s="31"/>
      <c r="CM108" s="31"/>
      <c r="CN108" s="30" t="s">
        <v>447</v>
      </c>
      <c r="CO108" s="30" t="s">
        <v>436</v>
      </c>
      <c r="CP108" s="32" t="s">
        <v>446</v>
      </c>
      <c r="CQ108" s="33" t="s">
        <v>114</v>
      </c>
    </row>
    <row r="109" spans="1:101" ht="18">
      <c r="A109" s="34" t="s">
        <v>568</v>
      </c>
      <c r="B109" s="2"/>
      <c r="C109" s="2"/>
      <c r="D109" s="4"/>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3"/>
      <c r="CS109" s="3"/>
      <c r="CT109" s="3"/>
      <c r="CU109" s="3"/>
      <c r="CV109" s="3"/>
      <c r="CW109" s="3"/>
    </row>
    <row r="110" spans="1:101" ht="18">
      <c r="A110" s="34" t="s">
        <v>569</v>
      </c>
      <c r="B110" s="2"/>
      <c r="C110" s="2"/>
      <c r="D110" s="4"/>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3"/>
      <c r="CS110" s="3"/>
      <c r="CT110" s="3"/>
      <c r="CU110" s="3"/>
      <c r="CV110" s="3"/>
      <c r="CW110" s="3"/>
    </row>
    <row r="111" spans="1:101" ht="16">
      <c r="A111" s="34" t="s">
        <v>0</v>
      </c>
      <c r="B111" s="2"/>
      <c r="C111" s="2"/>
      <c r="D111" s="4"/>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3"/>
      <c r="CS111" s="3"/>
      <c r="CT111" s="3"/>
      <c r="CU111" s="3"/>
      <c r="CV111" s="3"/>
      <c r="CW111" s="3"/>
    </row>
    <row r="112" spans="1:101" ht="18">
      <c r="A112" s="34" t="s">
        <v>570</v>
      </c>
      <c r="B112" s="2"/>
      <c r="C112" s="2"/>
      <c r="D112" s="4"/>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3"/>
      <c r="CS112" s="3"/>
      <c r="CT112" s="3"/>
      <c r="CU112" s="3"/>
      <c r="CV112" s="3"/>
      <c r="CW112" s="3"/>
    </row>
    <row r="113" spans="1:101" ht="18">
      <c r="A113" s="34" t="s">
        <v>571</v>
      </c>
      <c r="B113" s="2"/>
      <c r="C113" s="2"/>
      <c r="D113" s="4"/>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3"/>
      <c r="CS113" s="3"/>
      <c r="CT113" s="3"/>
      <c r="CU113" s="3"/>
      <c r="CV113" s="3"/>
      <c r="CW113" s="3"/>
    </row>
    <row r="114" spans="1:101" ht="18">
      <c r="A114" s="34" t="s">
        <v>572</v>
      </c>
      <c r="B114" s="2"/>
      <c r="C114" s="2"/>
      <c r="D114" s="4"/>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c r="CK114" s="2"/>
      <c r="CL114" s="2"/>
      <c r="CM114" s="2"/>
      <c r="CN114" s="2"/>
      <c r="CO114" s="2"/>
      <c r="CP114" s="2"/>
      <c r="CQ114" s="2"/>
      <c r="CR114" s="3"/>
      <c r="CS114" s="3"/>
      <c r="CT114" s="3"/>
      <c r="CU114" s="3"/>
      <c r="CV114" s="3"/>
      <c r="CW114" s="3"/>
    </row>
    <row r="115" spans="1:101" ht="18">
      <c r="A115" s="34" t="s">
        <v>573</v>
      </c>
      <c r="B115" s="2"/>
      <c r="C115" s="2"/>
      <c r="D115" s="4"/>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c r="CK115" s="2"/>
      <c r="CL115" s="2"/>
      <c r="CM115" s="2"/>
      <c r="CN115" s="2"/>
      <c r="CO115" s="2"/>
      <c r="CP115" s="2"/>
      <c r="CQ115" s="2"/>
      <c r="CR115" s="3"/>
      <c r="CS115" s="3"/>
      <c r="CT115" s="3"/>
      <c r="CU115" s="3"/>
      <c r="CV115" s="3"/>
      <c r="CW115" s="3"/>
    </row>
    <row r="116" spans="1:101" ht="18">
      <c r="A116" s="34" t="s">
        <v>567</v>
      </c>
      <c r="B116" s="2"/>
      <c r="C116" s="2"/>
      <c r="D116" s="4"/>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c r="CK116" s="2"/>
      <c r="CL116" s="2"/>
      <c r="CM116" s="2"/>
      <c r="CN116" s="2"/>
      <c r="CO116" s="2"/>
      <c r="CP116" s="2"/>
      <c r="CQ116" s="2"/>
      <c r="CR116" s="3"/>
      <c r="CS116" s="3"/>
      <c r="CT116" s="3"/>
      <c r="CU116" s="3"/>
      <c r="CV116" s="3"/>
      <c r="CW116" s="3"/>
    </row>
    <row r="117" spans="1:101" ht="16">
      <c r="B117" s="2"/>
      <c r="C117" s="2"/>
      <c r="D117" s="4"/>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c r="CM117" s="2"/>
      <c r="CN117" s="2"/>
      <c r="CO117" s="2"/>
      <c r="CP117" s="2"/>
      <c r="CQ117" s="2"/>
      <c r="CR117" s="3"/>
      <c r="CS117" s="3"/>
      <c r="CT117" s="3"/>
      <c r="CU117" s="3"/>
      <c r="CV117" s="3"/>
      <c r="CW117" s="3"/>
    </row>
    <row r="118" spans="1:101" ht="16">
      <c r="B118" s="2"/>
      <c r="C118" s="2"/>
      <c r="D118" s="4"/>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3"/>
      <c r="CS118" s="3"/>
      <c r="CT118" s="3"/>
      <c r="CU118" s="3"/>
      <c r="CV118" s="3"/>
      <c r="CW118" s="3"/>
    </row>
    <row r="119" spans="1:101" ht="16">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3"/>
      <c r="CS119" s="3"/>
      <c r="CT119" s="3"/>
      <c r="CU119" s="3"/>
      <c r="CV119" s="3"/>
      <c r="CW119" s="3"/>
    </row>
    <row r="120" spans="1:101" ht="16">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3"/>
      <c r="CS120" s="3"/>
      <c r="CT120" s="3"/>
      <c r="CU120" s="3"/>
      <c r="CV120" s="3"/>
      <c r="CW120" s="3"/>
    </row>
    <row r="121" spans="1:101" ht="16">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3"/>
      <c r="CS121" s="3"/>
      <c r="CT121" s="3"/>
      <c r="CU121" s="3"/>
      <c r="CV121" s="3"/>
      <c r="CW121" s="3"/>
    </row>
    <row r="122" spans="1:101" ht="16">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c r="CM122" s="2"/>
      <c r="CN122" s="2"/>
      <c r="CO122" s="2"/>
      <c r="CP122" s="2"/>
      <c r="CQ122" s="2"/>
      <c r="CR122" s="3"/>
      <c r="CS122" s="3"/>
      <c r="CT122" s="3"/>
      <c r="CU122" s="3"/>
      <c r="CV122" s="3"/>
      <c r="CW122" s="3"/>
    </row>
    <row r="123" spans="1:101" ht="16">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3"/>
      <c r="CS123" s="3"/>
      <c r="CT123" s="3"/>
      <c r="CU123" s="3"/>
      <c r="CV123" s="3"/>
      <c r="CW123" s="3"/>
    </row>
    <row r="124" spans="1:101" ht="16">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c r="CM124" s="2"/>
      <c r="CN124" s="2"/>
      <c r="CO124" s="2"/>
      <c r="CP124" s="2"/>
      <c r="CQ124" s="2"/>
      <c r="CR124" s="3"/>
      <c r="CS124" s="3"/>
      <c r="CT124" s="3"/>
      <c r="CU124" s="3"/>
      <c r="CV124" s="3"/>
      <c r="CW124" s="3"/>
    </row>
    <row r="125" spans="1:101" ht="16">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3"/>
      <c r="CS125" s="3"/>
      <c r="CT125" s="3"/>
      <c r="CU125" s="3"/>
      <c r="CV125" s="3"/>
      <c r="CW125" s="3"/>
    </row>
    <row r="126" spans="1:101" ht="16">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c r="CK126" s="2"/>
      <c r="CL126" s="2"/>
      <c r="CM126" s="2"/>
      <c r="CN126" s="2"/>
      <c r="CO126" s="2"/>
      <c r="CP126" s="2"/>
      <c r="CQ126" s="2"/>
      <c r="CR126" s="3"/>
      <c r="CS126" s="3"/>
      <c r="CT126" s="3"/>
      <c r="CU126" s="3"/>
      <c r="CV126" s="3"/>
      <c r="CW126" s="3"/>
    </row>
    <row r="127" spans="1:101" ht="16">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3"/>
      <c r="CS127" s="3"/>
      <c r="CT127" s="3"/>
      <c r="CU127" s="3"/>
      <c r="CV127" s="3"/>
      <c r="CW127" s="3"/>
    </row>
    <row r="128" spans="1:101" ht="16">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c r="CK128" s="2"/>
      <c r="CL128" s="2"/>
      <c r="CM128" s="2"/>
      <c r="CN128" s="2"/>
      <c r="CO128" s="2"/>
      <c r="CP128" s="2"/>
      <c r="CQ128" s="2"/>
      <c r="CR128" s="3"/>
      <c r="CS128" s="3"/>
      <c r="CT128" s="3"/>
      <c r="CU128" s="3"/>
      <c r="CV128" s="3"/>
      <c r="CW128" s="3"/>
    </row>
    <row r="129" spans="2:101" ht="16">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c r="CK129" s="2"/>
      <c r="CL129" s="2"/>
      <c r="CM129" s="2"/>
      <c r="CN129" s="2"/>
      <c r="CO129" s="2"/>
      <c r="CP129" s="2"/>
      <c r="CQ129" s="2"/>
      <c r="CR129" s="3"/>
      <c r="CS129" s="3"/>
      <c r="CT129" s="3"/>
      <c r="CU129" s="3"/>
      <c r="CV129" s="3"/>
      <c r="CW129" s="3"/>
    </row>
    <row r="130" spans="2:101" ht="16">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3"/>
      <c r="CS130" s="3"/>
      <c r="CT130" s="3"/>
      <c r="CU130" s="3"/>
      <c r="CV130" s="3"/>
      <c r="CW130" s="3"/>
    </row>
    <row r="131" spans="2:101" ht="16">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c r="CK131" s="2"/>
      <c r="CL131" s="2"/>
      <c r="CM131" s="2"/>
      <c r="CN131" s="2"/>
      <c r="CO131" s="2"/>
      <c r="CP131" s="2"/>
      <c r="CQ131" s="2"/>
      <c r="CR131" s="3"/>
      <c r="CS131" s="3"/>
      <c r="CT131" s="3"/>
      <c r="CU131" s="3"/>
      <c r="CV131" s="3"/>
      <c r="CW131" s="3"/>
    </row>
    <row r="132" spans="2:101" ht="16">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3"/>
      <c r="CS132" s="3"/>
      <c r="CT132" s="3"/>
      <c r="CU132" s="3"/>
      <c r="CV132" s="3"/>
      <c r="CW132" s="3"/>
    </row>
    <row r="133" spans="2:101" ht="16">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c r="CK133" s="2"/>
      <c r="CL133" s="2"/>
      <c r="CM133" s="2"/>
      <c r="CN133" s="2"/>
      <c r="CO133" s="2"/>
      <c r="CP133" s="2"/>
      <c r="CQ133" s="2"/>
      <c r="CR133" s="3"/>
      <c r="CS133" s="3"/>
      <c r="CT133" s="3"/>
      <c r="CU133" s="3"/>
      <c r="CV133" s="3"/>
      <c r="CW133" s="3"/>
    </row>
    <row r="134" spans="2:101" ht="16">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c r="CK134" s="2"/>
      <c r="CL134" s="2"/>
      <c r="CM134" s="2"/>
      <c r="CN134" s="2"/>
      <c r="CO134" s="2"/>
      <c r="CP134" s="2"/>
      <c r="CQ134" s="2"/>
      <c r="CR134" s="3"/>
      <c r="CS134" s="3"/>
      <c r="CT134" s="3"/>
      <c r="CU134" s="3"/>
      <c r="CV134" s="3"/>
      <c r="CW134" s="3"/>
    </row>
    <row r="135" spans="2:101" ht="16">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c r="CK135" s="2"/>
      <c r="CL135" s="2"/>
      <c r="CM135" s="2"/>
      <c r="CN135" s="2"/>
      <c r="CO135" s="2"/>
      <c r="CP135" s="2"/>
      <c r="CQ135" s="2"/>
      <c r="CR135" s="3"/>
      <c r="CS135" s="3"/>
      <c r="CT135" s="3"/>
      <c r="CU135" s="3"/>
      <c r="CV135" s="3"/>
      <c r="CW135" s="3"/>
    </row>
    <row r="136" spans="2:101" ht="16">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3"/>
      <c r="CS136" s="3"/>
      <c r="CT136" s="3"/>
      <c r="CU136" s="3"/>
      <c r="CV136" s="3"/>
      <c r="CW136" s="3"/>
    </row>
    <row r="137" spans="2:101" ht="16">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3"/>
      <c r="CS137" s="3"/>
      <c r="CT137" s="3"/>
      <c r="CU137" s="3"/>
      <c r="CV137" s="3"/>
      <c r="CW137" s="3"/>
    </row>
    <row r="138" spans="2:101" ht="16">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3"/>
      <c r="CS138" s="3"/>
      <c r="CT138" s="3"/>
      <c r="CU138" s="3"/>
      <c r="CV138" s="3"/>
      <c r="CW138" s="3"/>
    </row>
    <row r="139" spans="2:101" ht="16">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3"/>
      <c r="CS139" s="3"/>
      <c r="CT139" s="3"/>
      <c r="CU139" s="3"/>
      <c r="CV139" s="3"/>
      <c r="CW139" s="3"/>
    </row>
    <row r="140" spans="2:101" ht="16">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3"/>
      <c r="CS140" s="3"/>
      <c r="CT140" s="3"/>
      <c r="CU140" s="3"/>
      <c r="CV140" s="3"/>
      <c r="CW140" s="3"/>
    </row>
    <row r="141" spans="2:101" ht="16">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3"/>
      <c r="CS141" s="3"/>
      <c r="CT141" s="3"/>
      <c r="CU141" s="3"/>
      <c r="CV141" s="3"/>
      <c r="CW141" s="3"/>
    </row>
    <row r="142" spans="2:101" ht="16">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3"/>
      <c r="CS142" s="3"/>
      <c r="CT142" s="3"/>
      <c r="CU142" s="3"/>
      <c r="CV142" s="3"/>
      <c r="CW142" s="3"/>
    </row>
    <row r="143" spans="2:101" ht="16">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3"/>
      <c r="CS143" s="3"/>
      <c r="CT143" s="3"/>
      <c r="CU143" s="3"/>
      <c r="CV143" s="3"/>
      <c r="CW143" s="3"/>
    </row>
    <row r="144" spans="2:101" ht="16">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3"/>
      <c r="CS144" s="3"/>
      <c r="CT144" s="3"/>
      <c r="CU144" s="3"/>
      <c r="CV144" s="3"/>
      <c r="CW144" s="3"/>
    </row>
    <row r="145" spans="2:101" ht="16">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3"/>
      <c r="CS145" s="3"/>
      <c r="CT145" s="3"/>
      <c r="CU145" s="3"/>
      <c r="CV145" s="3"/>
      <c r="CW145" s="3"/>
    </row>
    <row r="146" spans="2:101" ht="16">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3"/>
      <c r="CS146" s="3"/>
      <c r="CT146" s="3"/>
      <c r="CU146" s="3"/>
      <c r="CV146" s="3"/>
      <c r="CW146" s="3"/>
    </row>
    <row r="147" spans="2:101" ht="16">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3"/>
      <c r="CS147" s="3"/>
      <c r="CT147" s="3"/>
      <c r="CU147" s="3"/>
      <c r="CV147" s="3"/>
      <c r="CW147" s="3"/>
    </row>
    <row r="148" spans="2:101" ht="16">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3"/>
      <c r="CS148" s="3"/>
      <c r="CT148" s="3"/>
      <c r="CU148" s="3"/>
      <c r="CV148" s="3"/>
      <c r="CW148" s="3"/>
    </row>
    <row r="149" spans="2:101" ht="16">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3"/>
      <c r="CS149" s="3"/>
      <c r="CT149" s="3"/>
      <c r="CU149" s="3"/>
      <c r="CV149" s="3"/>
      <c r="CW149" s="3"/>
    </row>
    <row r="150" spans="2:101" ht="16">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3"/>
      <c r="CS150" s="3"/>
      <c r="CT150" s="3"/>
      <c r="CU150" s="3"/>
      <c r="CV150" s="3"/>
      <c r="CW150" s="3"/>
    </row>
    <row r="151" spans="2:101" ht="16">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3"/>
      <c r="CS151" s="3"/>
      <c r="CT151" s="3"/>
      <c r="CU151" s="3"/>
      <c r="CV151" s="3"/>
      <c r="CW151" s="3"/>
    </row>
    <row r="152" spans="2:101" ht="16">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3"/>
      <c r="CS152" s="3"/>
      <c r="CT152" s="3"/>
      <c r="CU152" s="3"/>
      <c r="CV152" s="3"/>
      <c r="CW152" s="3"/>
    </row>
    <row r="153" spans="2:101" ht="16">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3"/>
      <c r="CS153" s="3"/>
      <c r="CT153" s="3"/>
      <c r="CU153" s="3"/>
      <c r="CV153" s="3"/>
      <c r="CW153" s="3"/>
    </row>
    <row r="154" spans="2:101" ht="16">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3"/>
      <c r="CS154" s="3"/>
      <c r="CT154" s="3"/>
      <c r="CU154" s="3"/>
      <c r="CV154" s="3"/>
      <c r="CW154" s="3"/>
    </row>
    <row r="155" spans="2:101" ht="16">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3"/>
      <c r="CS155" s="3"/>
      <c r="CT155" s="3"/>
      <c r="CU155" s="3"/>
      <c r="CV155" s="3"/>
      <c r="CW155" s="3"/>
    </row>
    <row r="156" spans="2:101" ht="16">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3"/>
      <c r="CS156" s="3"/>
      <c r="CT156" s="3"/>
      <c r="CU156" s="3"/>
      <c r="CV156" s="3"/>
      <c r="CW156" s="3"/>
    </row>
    <row r="157" spans="2:101" ht="16">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3"/>
      <c r="CS157" s="3"/>
      <c r="CT157" s="3"/>
      <c r="CU157" s="3"/>
      <c r="CV157" s="3"/>
      <c r="CW157" s="3"/>
    </row>
    <row r="158" spans="2:101" ht="16">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3"/>
      <c r="CS158" s="3"/>
      <c r="CT158" s="3"/>
      <c r="CU158" s="3"/>
      <c r="CV158" s="3"/>
      <c r="CW158" s="3"/>
    </row>
    <row r="159" spans="2:101" ht="16">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3"/>
      <c r="CS159" s="3"/>
      <c r="CT159" s="3"/>
      <c r="CU159" s="3"/>
      <c r="CV159" s="3"/>
      <c r="CW159" s="3"/>
    </row>
    <row r="160" spans="2:101" ht="16">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3"/>
      <c r="CS160" s="3"/>
      <c r="CT160" s="3"/>
      <c r="CU160" s="3"/>
      <c r="CV160" s="3"/>
      <c r="CW160" s="3"/>
    </row>
    <row r="161" spans="2:101" ht="16">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3"/>
      <c r="CS161" s="3"/>
      <c r="CT161" s="3"/>
      <c r="CU161" s="3"/>
      <c r="CV161" s="3"/>
      <c r="CW161" s="3"/>
    </row>
    <row r="162" spans="2:101" ht="16">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3"/>
      <c r="CS162" s="3"/>
      <c r="CT162" s="3"/>
      <c r="CU162" s="3"/>
      <c r="CV162" s="3"/>
      <c r="CW162" s="3"/>
    </row>
    <row r="163" spans="2:101" ht="16">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3"/>
      <c r="CS163" s="3"/>
      <c r="CT163" s="3"/>
      <c r="CU163" s="3"/>
      <c r="CV163" s="3"/>
      <c r="CW163" s="3"/>
    </row>
    <row r="164" spans="2:101" ht="16">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3"/>
      <c r="CS164" s="3"/>
      <c r="CT164" s="3"/>
      <c r="CU164" s="3"/>
      <c r="CV164" s="3"/>
      <c r="CW164" s="3"/>
    </row>
    <row r="165" spans="2:101" ht="16">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3"/>
      <c r="CS165" s="3"/>
      <c r="CT165" s="3"/>
      <c r="CU165" s="3"/>
      <c r="CV165" s="3"/>
      <c r="CW165" s="3"/>
    </row>
    <row r="166" spans="2:101" ht="16">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3"/>
      <c r="CS166" s="3"/>
      <c r="CT166" s="3"/>
      <c r="CU166" s="3"/>
      <c r="CV166" s="3"/>
      <c r="CW166" s="3"/>
    </row>
    <row r="167" spans="2:101" ht="16">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3"/>
      <c r="CS167" s="3"/>
      <c r="CT167" s="3"/>
      <c r="CU167" s="3"/>
      <c r="CV167" s="3"/>
      <c r="CW167" s="3"/>
    </row>
    <row r="168" spans="2:101" ht="16">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3"/>
      <c r="CS168" s="3"/>
      <c r="CT168" s="3"/>
      <c r="CU168" s="3"/>
      <c r="CV168" s="3"/>
      <c r="CW168" s="3"/>
    </row>
    <row r="169" spans="2:101" ht="16">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3"/>
      <c r="CS169" s="3"/>
      <c r="CT169" s="3"/>
      <c r="CU169" s="3"/>
      <c r="CV169" s="3"/>
      <c r="CW169" s="3"/>
    </row>
    <row r="170" spans="2:101" ht="16">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3"/>
      <c r="CS170" s="3"/>
      <c r="CT170" s="3"/>
      <c r="CU170" s="3"/>
      <c r="CV170" s="3"/>
      <c r="CW170" s="3"/>
    </row>
    <row r="171" spans="2:101" ht="16">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3"/>
      <c r="CS171" s="3"/>
      <c r="CT171" s="3"/>
      <c r="CU171" s="3"/>
      <c r="CV171" s="3"/>
      <c r="CW171" s="3"/>
    </row>
    <row r="172" spans="2:101" ht="16">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3"/>
      <c r="CS172" s="3"/>
      <c r="CT172" s="3"/>
      <c r="CU172" s="3"/>
      <c r="CV172" s="3"/>
      <c r="CW172" s="3"/>
    </row>
    <row r="173" spans="2:101" ht="16">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3"/>
      <c r="CS173" s="3"/>
      <c r="CT173" s="3"/>
      <c r="CU173" s="3"/>
      <c r="CV173" s="3"/>
      <c r="CW173" s="3"/>
    </row>
    <row r="174" spans="2:101" ht="16">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3"/>
      <c r="CS174" s="3"/>
      <c r="CT174" s="3"/>
      <c r="CU174" s="3"/>
      <c r="CV174" s="3"/>
      <c r="CW174" s="3"/>
    </row>
    <row r="175" spans="2:101" ht="16">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3"/>
      <c r="CS175" s="3"/>
      <c r="CT175" s="3"/>
      <c r="CU175" s="3"/>
      <c r="CV175" s="3"/>
      <c r="CW175" s="3"/>
    </row>
    <row r="176" spans="2:101" ht="16">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3"/>
      <c r="CS176" s="3"/>
      <c r="CT176" s="3"/>
      <c r="CU176" s="3"/>
      <c r="CV176" s="3"/>
      <c r="CW176" s="3"/>
    </row>
    <row r="177" spans="2:101" ht="16">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3"/>
      <c r="CS177" s="3"/>
      <c r="CT177" s="3"/>
      <c r="CU177" s="3"/>
      <c r="CV177" s="3"/>
      <c r="CW177" s="3"/>
    </row>
    <row r="178" spans="2:101" ht="16">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3"/>
      <c r="CS178" s="3"/>
      <c r="CT178" s="3"/>
      <c r="CU178" s="3"/>
      <c r="CV178" s="3"/>
      <c r="CW178" s="3"/>
    </row>
    <row r="179" spans="2:101" ht="16">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3"/>
      <c r="CS179" s="3"/>
      <c r="CT179" s="3"/>
      <c r="CU179" s="3"/>
      <c r="CV179" s="3"/>
      <c r="CW179" s="3"/>
    </row>
    <row r="180" spans="2:101" ht="16">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3"/>
      <c r="CS180" s="3"/>
      <c r="CT180" s="3"/>
      <c r="CU180" s="3"/>
      <c r="CV180" s="3"/>
      <c r="CW180" s="3"/>
    </row>
    <row r="181" spans="2:101" ht="16">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3"/>
      <c r="CS181" s="3"/>
      <c r="CT181" s="3"/>
      <c r="CU181" s="3"/>
      <c r="CV181" s="3"/>
      <c r="CW181" s="3"/>
    </row>
    <row r="182" spans="2:101" ht="16">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3"/>
      <c r="CS182" s="3"/>
      <c r="CT182" s="3"/>
      <c r="CU182" s="3"/>
      <c r="CV182" s="3"/>
      <c r="CW182" s="3"/>
    </row>
    <row r="183" spans="2:101" ht="16">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3"/>
      <c r="CS183" s="3"/>
      <c r="CT183" s="3"/>
      <c r="CU183" s="3"/>
      <c r="CV183" s="3"/>
      <c r="CW183" s="3"/>
    </row>
    <row r="184" spans="2:101" ht="16">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3"/>
      <c r="CS184" s="3"/>
      <c r="CT184" s="3"/>
      <c r="CU184" s="3"/>
      <c r="CV184" s="3"/>
      <c r="CW184" s="3"/>
    </row>
    <row r="185" spans="2:101" ht="16">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3"/>
      <c r="CS185" s="3"/>
      <c r="CT185" s="3"/>
      <c r="CU185" s="3"/>
      <c r="CV185" s="3"/>
      <c r="CW185" s="3"/>
    </row>
    <row r="186" spans="2:101" ht="16">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3"/>
      <c r="CS186" s="3"/>
      <c r="CT186" s="3"/>
      <c r="CU186" s="3"/>
      <c r="CV186" s="3"/>
      <c r="CW186" s="3"/>
    </row>
    <row r="187" spans="2:101" ht="16">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3"/>
      <c r="CS187" s="3"/>
      <c r="CT187" s="3"/>
      <c r="CU187" s="3"/>
      <c r="CV187" s="3"/>
      <c r="CW187" s="3"/>
    </row>
    <row r="188" spans="2:101" ht="16">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3"/>
      <c r="CS188" s="3"/>
      <c r="CT188" s="3"/>
      <c r="CU188" s="3"/>
      <c r="CV188" s="3"/>
      <c r="CW188" s="3"/>
    </row>
    <row r="189" spans="2:101" ht="16">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3"/>
      <c r="CS189" s="3"/>
      <c r="CT189" s="3"/>
      <c r="CU189" s="3"/>
      <c r="CV189" s="3"/>
      <c r="CW189" s="3"/>
    </row>
    <row r="190" spans="2:101" ht="16">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3"/>
      <c r="CS190" s="3"/>
      <c r="CT190" s="3"/>
      <c r="CU190" s="3"/>
      <c r="CV190" s="3"/>
      <c r="CW190" s="3"/>
    </row>
    <row r="191" spans="2:101" ht="16">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3"/>
      <c r="CS191" s="3"/>
      <c r="CT191" s="3"/>
      <c r="CU191" s="3"/>
      <c r="CV191" s="3"/>
      <c r="CW191" s="3"/>
    </row>
    <row r="192" spans="2:101" ht="16">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3"/>
      <c r="CS192" s="3"/>
      <c r="CT192" s="3"/>
      <c r="CU192" s="3"/>
      <c r="CV192" s="3"/>
      <c r="CW192" s="3"/>
    </row>
    <row r="193" spans="2:101" ht="16">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3"/>
      <c r="CS193" s="3"/>
      <c r="CT193" s="3"/>
      <c r="CU193" s="3"/>
      <c r="CV193" s="3"/>
      <c r="CW193" s="3"/>
    </row>
    <row r="194" spans="2:101" ht="16">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3"/>
      <c r="CS194" s="3"/>
      <c r="CT194" s="3"/>
      <c r="CU194" s="3"/>
      <c r="CV194" s="3"/>
      <c r="CW194" s="3"/>
    </row>
    <row r="195" spans="2:101" ht="16">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3"/>
      <c r="CS195" s="3"/>
      <c r="CT195" s="3"/>
      <c r="CU195" s="3"/>
      <c r="CV195" s="3"/>
      <c r="CW195" s="3"/>
    </row>
    <row r="196" spans="2:101" ht="16">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3"/>
      <c r="CS196" s="3"/>
      <c r="CT196" s="3"/>
      <c r="CU196" s="3"/>
      <c r="CV196" s="3"/>
      <c r="CW196" s="3"/>
    </row>
    <row r="197" spans="2:101" ht="16">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3"/>
      <c r="CS197" s="3"/>
      <c r="CT197" s="3"/>
      <c r="CU197" s="3"/>
      <c r="CV197" s="3"/>
      <c r="CW197" s="3"/>
    </row>
    <row r="198" spans="2:101" ht="16">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3"/>
      <c r="CS198" s="3"/>
      <c r="CT198" s="3"/>
      <c r="CU198" s="3"/>
      <c r="CV198" s="3"/>
      <c r="CW198" s="3"/>
    </row>
    <row r="199" spans="2:101" ht="16">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3"/>
      <c r="CS199" s="3"/>
      <c r="CT199" s="3"/>
      <c r="CU199" s="3"/>
      <c r="CV199" s="3"/>
      <c r="CW199" s="3"/>
    </row>
    <row r="200" spans="2:101" ht="16">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3"/>
      <c r="CS200" s="3"/>
      <c r="CT200" s="3"/>
      <c r="CU200" s="3"/>
      <c r="CV200" s="3"/>
      <c r="CW200" s="3"/>
    </row>
    <row r="201" spans="2:101" ht="16">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3"/>
      <c r="CS201" s="3"/>
      <c r="CT201" s="3"/>
      <c r="CU201" s="3"/>
      <c r="CV201" s="3"/>
      <c r="CW201" s="3"/>
    </row>
    <row r="202" spans="2:101" ht="16">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3"/>
      <c r="CS202" s="3"/>
      <c r="CT202" s="3"/>
      <c r="CU202" s="3"/>
      <c r="CV202" s="3"/>
      <c r="CW202" s="3"/>
    </row>
    <row r="203" spans="2:101" ht="16">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3"/>
      <c r="CS203" s="3"/>
      <c r="CT203" s="3"/>
      <c r="CU203" s="3"/>
      <c r="CV203" s="3"/>
      <c r="CW203" s="3"/>
    </row>
    <row r="204" spans="2:101" ht="16">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3"/>
      <c r="CS204" s="3"/>
      <c r="CT204" s="3"/>
      <c r="CU204" s="3"/>
      <c r="CV204" s="3"/>
      <c r="CW204" s="3"/>
    </row>
    <row r="205" spans="2:101" ht="16">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3"/>
      <c r="CS205" s="3"/>
      <c r="CT205" s="3"/>
      <c r="CU205" s="3"/>
      <c r="CV205" s="3"/>
      <c r="CW205" s="3"/>
    </row>
    <row r="206" spans="2:101" ht="16">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3"/>
      <c r="CS206" s="3"/>
      <c r="CT206" s="3"/>
      <c r="CU206" s="3"/>
      <c r="CV206" s="3"/>
      <c r="CW206" s="3"/>
    </row>
    <row r="207" spans="2:101" ht="16">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3"/>
      <c r="CS207" s="3"/>
      <c r="CT207" s="3"/>
      <c r="CU207" s="3"/>
      <c r="CV207" s="3"/>
      <c r="CW207" s="3"/>
    </row>
    <row r="208" spans="2:101" ht="16">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3"/>
      <c r="CS208" s="3"/>
      <c r="CT208" s="3"/>
      <c r="CU208" s="3"/>
      <c r="CV208" s="3"/>
      <c r="CW208" s="3"/>
    </row>
    <row r="209" spans="2:101" ht="16">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3"/>
      <c r="CS209" s="3"/>
      <c r="CT209" s="3"/>
      <c r="CU209" s="3"/>
      <c r="CV209" s="3"/>
      <c r="CW209" s="3"/>
    </row>
    <row r="210" spans="2:101" ht="16">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3"/>
      <c r="CS210" s="3"/>
      <c r="CT210" s="3"/>
      <c r="CU210" s="3"/>
      <c r="CV210" s="3"/>
      <c r="CW210" s="3"/>
    </row>
    <row r="211" spans="2:101" ht="16">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3"/>
      <c r="CS211" s="3"/>
      <c r="CT211" s="3"/>
      <c r="CU211" s="3"/>
      <c r="CV211" s="3"/>
      <c r="CW211" s="3"/>
    </row>
    <row r="212" spans="2:101" ht="16">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3"/>
      <c r="CS212" s="3"/>
      <c r="CT212" s="3"/>
      <c r="CU212" s="3"/>
      <c r="CV212" s="3"/>
      <c r="CW212" s="3"/>
    </row>
    <row r="213" spans="2:101" ht="16">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3"/>
      <c r="CS213" s="3"/>
      <c r="CT213" s="3"/>
      <c r="CU213" s="3"/>
      <c r="CV213" s="3"/>
      <c r="CW213" s="3"/>
    </row>
    <row r="214" spans="2:101" ht="16">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3"/>
      <c r="CS214" s="3"/>
      <c r="CT214" s="3"/>
      <c r="CU214" s="3"/>
      <c r="CV214" s="3"/>
      <c r="CW214" s="3"/>
    </row>
    <row r="215" spans="2:101" ht="16">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3"/>
      <c r="CS215" s="3"/>
      <c r="CT215" s="3"/>
      <c r="CU215" s="3"/>
      <c r="CV215" s="3"/>
      <c r="CW215" s="3"/>
    </row>
    <row r="216" spans="2:101" ht="16">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3"/>
      <c r="CS216" s="3"/>
      <c r="CT216" s="3"/>
      <c r="CU216" s="3"/>
      <c r="CV216" s="3"/>
      <c r="CW216" s="3"/>
    </row>
    <row r="217" spans="2:101" ht="16">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3"/>
      <c r="CS217" s="3"/>
      <c r="CT217" s="3"/>
      <c r="CU217" s="3"/>
      <c r="CV217" s="3"/>
      <c r="CW217" s="3"/>
    </row>
    <row r="218" spans="2:101" ht="16">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3"/>
      <c r="CS218" s="3"/>
      <c r="CT218" s="3"/>
      <c r="CU218" s="3"/>
      <c r="CV218" s="3"/>
      <c r="CW218" s="3"/>
    </row>
    <row r="219" spans="2:101" ht="16">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3"/>
      <c r="CS219" s="3"/>
      <c r="CT219" s="3"/>
      <c r="CU219" s="3"/>
      <c r="CV219" s="3"/>
      <c r="CW219" s="3"/>
    </row>
    <row r="220" spans="2:101" ht="16">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3"/>
      <c r="CS220" s="3"/>
      <c r="CT220" s="3"/>
      <c r="CU220" s="3"/>
      <c r="CV220" s="3"/>
      <c r="CW220" s="3"/>
    </row>
    <row r="221" spans="2:101" ht="16">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3"/>
      <c r="CS221" s="3"/>
      <c r="CT221" s="3"/>
      <c r="CU221" s="3"/>
      <c r="CV221" s="3"/>
      <c r="CW221" s="3"/>
    </row>
    <row r="222" spans="2:101" ht="16">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3"/>
      <c r="CS222" s="3"/>
      <c r="CT222" s="3"/>
      <c r="CU222" s="3"/>
      <c r="CV222" s="3"/>
      <c r="CW222" s="3"/>
    </row>
    <row r="223" spans="2:101" ht="16">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3"/>
      <c r="CS223" s="3"/>
      <c r="CT223" s="3"/>
      <c r="CU223" s="3"/>
      <c r="CV223" s="3"/>
      <c r="CW223" s="3"/>
    </row>
    <row r="224" spans="2:101" ht="16">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3"/>
      <c r="CS224" s="3"/>
      <c r="CT224" s="3"/>
      <c r="CU224" s="3"/>
      <c r="CV224" s="3"/>
      <c r="CW224" s="3"/>
    </row>
    <row r="225" spans="2:101" ht="16">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3"/>
      <c r="CS225" s="3"/>
      <c r="CT225" s="3"/>
      <c r="CU225" s="3"/>
      <c r="CV225" s="3"/>
      <c r="CW225" s="3"/>
    </row>
    <row r="226" spans="2:101" ht="16">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3"/>
      <c r="CS226" s="3"/>
      <c r="CT226" s="3"/>
      <c r="CU226" s="3"/>
      <c r="CV226" s="3"/>
      <c r="CW226" s="3"/>
    </row>
    <row r="227" spans="2:101" ht="16">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3"/>
      <c r="CS227" s="3"/>
      <c r="CT227" s="3"/>
      <c r="CU227" s="3"/>
      <c r="CV227" s="3"/>
      <c r="CW227" s="3"/>
    </row>
    <row r="228" spans="2:101" ht="16">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3"/>
      <c r="CS228" s="3"/>
      <c r="CT228" s="3"/>
      <c r="CU228" s="3"/>
      <c r="CV228" s="3"/>
      <c r="CW228" s="3"/>
    </row>
    <row r="229" spans="2:101" ht="16">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3"/>
      <c r="CS229" s="3"/>
      <c r="CT229" s="3"/>
      <c r="CU229" s="3"/>
      <c r="CV229" s="3"/>
      <c r="CW229" s="3"/>
    </row>
    <row r="230" spans="2:101" ht="16">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3"/>
      <c r="CS230" s="3"/>
      <c r="CT230" s="3"/>
      <c r="CU230" s="3"/>
      <c r="CV230" s="3"/>
      <c r="CW230" s="3"/>
    </row>
    <row r="231" spans="2:101" ht="16">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3"/>
      <c r="CS231" s="3"/>
      <c r="CT231" s="3"/>
      <c r="CU231" s="3"/>
      <c r="CV231" s="3"/>
      <c r="CW231" s="3"/>
    </row>
    <row r="232" spans="2:101" ht="16">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3"/>
      <c r="CS232" s="3"/>
      <c r="CT232" s="3"/>
      <c r="CU232" s="3"/>
      <c r="CV232" s="3"/>
      <c r="CW232" s="3"/>
    </row>
    <row r="233" spans="2:101" ht="16">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3"/>
      <c r="CS233" s="3"/>
      <c r="CT233" s="3"/>
      <c r="CU233" s="3"/>
      <c r="CV233" s="3"/>
      <c r="CW233" s="3"/>
    </row>
    <row r="234" spans="2:101" ht="16">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3"/>
      <c r="CS234" s="3"/>
      <c r="CT234" s="3"/>
      <c r="CU234" s="3"/>
      <c r="CV234" s="3"/>
      <c r="CW234" s="3"/>
    </row>
    <row r="235" spans="2:101" ht="16">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3"/>
      <c r="CS235" s="3"/>
      <c r="CT235" s="3"/>
      <c r="CU235" s="3"/>
      <c r="CV235" s="3"/>
      <c r="CW235" s="3"/>
    </row>
    <row r="236" spans="2:101" ht="16">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3"/>
      <c r="CS236" s="3"/>
      <c r="CT236" s="3"/>
      <c r="CU236" s="3"/>
      <c r="CV236" s="3"/>
      <c r="CW236" s="3"/>
    </row>
    <row r="237" spans="2:101" ht="16">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3"/>
      <c r="CS237" s="3"/>
      <c r="CT237" s="3"/>
      <c r="CU237" s="3"/>
      <c r="CV237" s="3"/>
      <c r="CW237" s="3"/>
    </row>
    <row r="238" spans="2:101" ht="16">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3"/>
      <c r="CS238" s="3"/>
      <c r="CT238" s="3"/>
      <c r="CU238" s="3"/>
      <c r="CV238" s="3"/>
      <c r="CW238" s="3"/>
    </row>
    <row r="239" spans="2:101" ht="16">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3"/>
      <c r="CS239" s="3"/>
      <c r="CT239" s="3"/>
      <c r="CU239" s="3"/>
      <c r="CV239" s="3"/>
      <c r="CW239" s="3"/>
    </row>
    <row r="240" spans="2:101" ht="16">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3"/>
      <c r="CS240" s="3"/>
      <c r="CT240" s="3"/>
      <c r="CU240" s="3"/>
      <c r="CV240" s="3"/>
      <c r="CW240" s="3"/>
    </row>
    <row r="241" spans="2:101" ht="16">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3"/>
      <c r="CS241" s="3"/>
      <c r="CT241" s="3"/>
      <c r="CU241" s="3"/>
      <c r="CV241" s="3"/>
      <c r="CW241" s="3"/>
    </row>
    <row r="242" spans="2:101" ht="16">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3"/>
      <c r="CS242" s="3"/>
      <c r="CT242" s="3"/>
      <c r="CU242" s="3"/>
      <c r="CV242" s="3"/>
      <c r="CW242" s="3"/>
    </row>
    <row r="243" spans="2:101" ht="16">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3"/>
      <c r="CS243" s="3"/>
      <c r="CT243" s="3"/>
      <c r="CU243" s="3"/>
      <c r="CV243" s="3"/>
      <c r="CW243" s="3"/>
    </row>
    <row r="244" spans="2:101" ht="16">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3"/>
      <c r="CS244" s="3"/>
      <c r="CT244" s="3"/>
      <c r="CU244" s="3"/>
      <c r="CV244" s="3"/>
      <c r="CW244" s="3"/>
    </row>
    <row r="245" spans="2:101" ht="16">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3"/>
      <c r="CS245" s="3"/>
      <c r="CT245" s="3"/>
      <c r="CU245" s="3"/>
      <c r="CV245" s="3"/>
      <c r="CW245" s="3"/>
    </row>
    <row r="246" spans="2:101" ht="16">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3"/>
      <c r="CS246" s="3"/>
      <c r="CT246" s="3"/>
      <c r="CU246" s="3"/>
      <c r="CV246" s="3"/>
      <c r="CW246" s="3"/>
    </row>
    <row r="247" spans="2:101" ht="16">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3"/>
      <c r="CS247" s="3"/>
      <c r="CT247" s="3"/>
      <c r="CU247" s="3"/>
      <c r="CV247" s="3"/>
      <c r="CW247" s="3"/>
    </row>
    <row r="248" spans="2:101" ht="16">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3"/>
      <c r="CS248" s="3"/>
      <c r="CT248" s="3"/>
      <c r="CU248" s="3"/>
      <c r="CV248" s="3"/>
      <c r="CW248" s="3"/>
    </row>
    <row r="249" spans="2:101" ht="16">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3"/>
      <c r="CS249" s="3"/>
      <c r="CT249" s="3"/>
      <c r="CU249" s="3"/>
      <c r="CV249" s="3"/>
      <c r="CW249" s="3"/>
    </row>
    <row r="250" spans="2:101" ht="16">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3"/>
      <c r="CS250" s="3"/>
      <c r="CT250" s="3"/>
      <c r="CU250" s="3"/>
      <c r="CV250" s="3"/>
      <c r="CW250" s="3"/>
    </row>
    <row r="251" spans="2:101" ht="16">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3"/>
      <c r="CS251" s="3"/>
      <c r="CT251" s="3"/>
      <c r="CU251" s="3"/>
      <c r="CV251" s="3"/>
      <c r="CW251" s="3"/>
    </row>
    <row r="252" spans="2:101" ht="16">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3"/>
      <c r="CS252" s="3"/>
      <c r="CT252" s="3"/>
      <c r="CU252" s="3"/>
      <c r="CV252" s="3"/>
      <c r="CW252" s="3"/>
    </row>
    <row r="253" spans="2:101" ht="16">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3"/>
      <c r="CS253" s="3"/>
      <c r="CT253" s="3"/>
      <c r="CU253" s="3"/>
      <c r="CV253" s="3"/>
      <c r="CW253" s="3"/>
    </row>
    <row r="254" spans="2:101" ht="16">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3"/>
      <c r="CS254" s="3"/>
      <c r="CT254" s="3"/>
      <c r="CU254" s="3"/>
      <c r="CV254" s="3"/>
      <c r="CW254" s="3"/>
    </row>
    <row r="255" spans="2:101" ht="16">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3"/>
      <c r="CS255" s="3"/>
      <c r="CT255" s="3"/>
      <c r="CU255" s="3"/>
      <c r="CV255" s="3"/>
      <c r="CW255" s="3"/>
    </row>
    <row r="256" spans="2:101" ht="16">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3"/>
      <c r="CS256" s="3"/>
      <c r="CT256" s="3"/>
      <c r="CU256" s="3"/>
      <c r="CV256" s="3"/>
      <c r="CW256" s="3"/>
    </row>
    <row r="257" spans="2:101" ht="16">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3"/>
      <c r="CS257" s="3"/>
      <c r="CT257" s="3"/>
      <c r="CU257" s="3"/>
      <c r="CV257" s="3"/>
      <c r="CW257" s="3"/>
    </row>
    <row r="258" spans="2:101" ht="16">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3"/>
      <c r="CS258" s="3"/>
      <c r="CT258" s="3"/>
      <c r="CU258" s="3"/>
      <c r="CV258" s="3"/>
      <c r="CW258" s="3"/>
    </row>
    <row r="259" spans="2:101" ht="16">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3"/>
      <c r="CS259" s="3"/>
      <c r="CT259" s="3"/>
      <c r="CU259" s="3"/>
      <c r="CV259" s="3"/>
      <c r="CW259" s="3"/>
    </row>
    <row r="260" spans="2:101" ht="16">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3"/>
      <c r="CS260" s="3"/>
      <c r="CT260" s="3"/>
      <c r="CU260" s="3"/>
      <c r="CV260" s="3"/>
      <c r="CW260" s="3"/>
    </row>
    <row r="261" spans="2:101" ht="16">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3"/>
      <c r="CS261" s="3"/>
      <c r="CT261" s="3"/>
      <c r="CU261" s="3"/>
      <c r="CV261" s="3"/>
      <c r="CW261" s="3"/>
    </row>
    <row r="262" spans="2:101" ht="16">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3"/>
      <c r="CS262" s="3"/>
      <c r="CT262" s="3"/>
      <c r="CU262" s="3"/>
      <c r="CV262" s="3"/>
      <c r="CW262" s="3"/>
    </row>
    <row r="263" spans="2:101" ht="16">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3"/>
      <c r="CS263" s="3"/>
      <c r="CT263" s="3"/>
      <c r="CU263" s="3"/>
      <c r="CV263" s="3"/>
      <c r="CW263" s="3"/>
    </row>
    <row r="264" spans="2:101" ht="16">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3"/>
      <c r="CS264" s="3"/>
      <c r="CT264" s="3"/>
      <c r="CU264" s="3"/>
      <c r="CV264" s="3"/>
      <c r="CW264" s="3"/>
    </row>
    <row r="265" spans="2:101" ht="16">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3"/>
      <c r="CS265" s="3"/>
      <c r="CT265" s="3"/>
      <c r="CU265" s="3"/>
      <c r="CV265" s="3"/>
      <c r="CW265" s="3"/>
    </row>
    <row r="266" spans="2:101" ht="16">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3"/>
      <c r="CS266" s="3"/>
      <c r="CT266" s="3"/>
      <c r="CU266" s="3"/>
      <c r="CV266" s="3"/>
      <c r="CW266" s="3"/>
    </row>
    <row r="267" spans="2:101" ht="16">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3"/>
      <c r="CS267" s="3"/>
      <c r="CT267" s="3"/>
      <c r="CU267" s="3"/>
      <c r="CV267" s="3"/>
      <c r="CW267" s="3"/>
    </row>
    <row r="268" spans="2:101" ht="16">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3"/>
      <c r="CS268" s="3"/>
      <c r="CT268" s="3"/>
      <c r="CU268" s="3"/>
      <c r="CV268" s="3"/>
      <c r="CW268" s="3"/>
    </row>
    <row r="269" spans="2:101" ht="16">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3"/>
      <c r="CS269" s="3"/>
      <c r="CT269" s="3"/>
      <c r="CU269" s="3"/>
      <c r="CV269" s="3"/>
      <c r="CW269" s="3"/>
    </row>
    <row r="270" spans="2:101" ht="16">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3"/>
      <c r="CS270" s="3"/>
      <c r="CT270" s="3"/>
      <c r="CU270" s="3"/>
      <c r="CV270" s="3"/>
      <c r="CW270" s="3"/>
    </row>
    <row r="271" spans="2:101" ht="16">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3"/>
      <c r="CS271" s="3"/>
      <c r="CT271" s="3"/>
      <c r="CU271" s="3"/>
      <c r="CV271" s="3"/>
      <c r="CW271" s="3"/>
    </row>
    <row r="272" spans="2:101" ht="16">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3"/>
      <c r="CS272" s="3"/>
      <c r="CT272" s="3"/>
      <c r="CU272" s="3"/>
      <c r="CV272" s="3"/>
      <c r="CW272" s="3"/>
    </row>
    <row r="273" spans="2:101" ht="16">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3"/>
      <c r="CS273" s="3"/>
      <c r="CT273" s="3"/>
      <c r="CU273" s="3"/>
      <c r="CV273" s="3"/>
      <c r="CW273" s="3"/>
    </row>
    <row r="274" spans="2:101" ht="16">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3"/>
      <c r="CS274" s="3"/>
      <c r="CT274" s="3"/>
      <c r="CU274" s="3"/>
      <c r="CV274" s="3"/>
      <c r="CW274" s="3"/>
    </row>
    <row r="275" spans="2:101" ht="16">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3"/>
      <c r="CS275" s="3"/>
      <c r="CT275" s="3"/>
      <c r="CU275" s="3"/>
      <c r="CV275" s="3"/>
      <c r="CW275" s="3"/>
    </row>
    <row r="276" spans="2:101" ht="16">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3"/>
      <c r="CS276" s="3"/>
      <c r="CT276" s="3"/>
      <c r="CU276" s="3"/>
      <c r="CV276" s="3"/>
      <c r="CW276" s="3"/>
    </row>
    <row r="277" spans="2:101" ht="16">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3"/>
      <c r="CS277" s="3"/>
      <c r="CT277" s="3"/>
      <c r="CU277" s="3"/>
      <c r="CV277" s="3"/>
      <c r="CW277" s="3"/>
    </row>
    <row r="278" spans="2:101" ht="16">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3"/>
      <c r="CS278" s="3"/>
      <c r="CT278" s="3"/>
      <c r="CU278" s="3"/>
      <c r="CV278" s="3"/>
      <c r="CW278" s="3"/>
    </row>
    <row r="279" spans="2:101" ht="16">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3"/>
      <c r="CS279" s="3"/>
      <c r="CT279" s="3"/>
      <c r="CU279" s="3"/>
      <c r="CV279" s="3"/>
      <c r="CW279" s="3"/>
    </row>
    <row r="280" spans="2:101" ht="16">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3"/>
      <c r="CS280" s="3"/>
      <c r="CT280" s="3"/>
      <c r="CU280" s="3"/>
      <c r="CV280" s="3"/>
      <c r="CW280" s="3"/>
    </row>
    <row r="281" spans="2:101" ht="16">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3"/>
      <c r="CS281" s="3"/>
      <c r="CT281" s="3"/>
      <c r="CU281" s="3"/>
      <c r="CV281" s="3"/>
      <c r="CW281" s="3"/>
    </row>
    <row r="282" spans="2:101" ht="16">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3"/>
      <c r="CS282" s="3"/>
      <c r="CT282" s="3"/>
      <c r="CU282" s="3"/>
      <c r="CV282" s="3"/>
      <c r="CW282" s="3"/>
    </row>
    <row r="283" spans="2:101" ht="16">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3"/>
      <c r="CS283" s="3"/>
      <c r="CT283" s="3"/>
      <c r="CU283" s="3"/>
      <c r="CV283" s="3"/>
      <c r="CW283" s="3"/>
    </row>
    <row r="284" spans="2:101" ht="16">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3"/>
      <c r="CS284" s="3"/>
      <c r="CT284" s="3"/>
      <c r="CU284" s="3"/>
      <c r="CV284" s="3"/>
      <c r="CW284" s="3"/>
    </row>
    <row r="285" spans="2:101" ht="16">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3"/>
      <c r="CS285" s="3"/>
      <c r="CT285" s="3"/>
      <c r="CU285" s="3"/>
      <c r="CV285" s="3"/>
      <c r="CW285" s="3"/>
    </row>
    <row r="286" spans="2:101" ht="16">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3"/>
      <c r="CS286" s="3"/>
      <c r="CT286" s="3"/>
      <c r="CU286" s="3"/>
      <c r="CV286" s="3"/>
      <c r="CW286" s="3"/>
    </row>
    <row r="287" spans="2:101" ht="16">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3"/>
      <c r="CS287" s="3"/>
      <c r="CT287" s="3"/>
      <c r="CU287" s="3"/>
      <c r="CV287" s="3"/>
      <c r="CW287" s="3"/>
    </row>
    <row r="288" spans="2:101" ht="16">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3"/>
      <c r="CS288" s="3"/>
      <c r="CT288" s="3"/>
      <c r="CU288" s="3"/>
      <c r="CV288" s="3"/>
      <c r="CW288" s="3"/>
    </row>
    <row r="289" spans="2:101" ht="16">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3"/>
      <c r="CS289" s="3"/>
      <c r="CT289" s="3"/>
      <c r="CU289" s="3"/>
      <c r="CV289" s="3"/>
      <c r="CW289" s="3"/>
    </row>
    <row r="290" spans="2:101" ht="16">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3"/>
      <c r="CS290" s="3"/>
      <c r="CT290" s="3"/>
      <c r="CU290" s="3"/>
      <c r="CV290" s="3"/>
      <c r="CW290" s="3"/>
    </row>
    <row r="291" spans="2:101" ht="16">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3"/>
      <c r="CS291" s="3"/>
      <c r="CT291" s="3"/>
      <c r="CU291" s="3"/>
      <c r="CV291" s="3"/>
      <c r="CW291" s="3"/>
    </row>
    <row r="292" spans="2:101" ht="16">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3"/>
      <c r="CS292" s="3"/>
      <c r="CT292" s="3"/>
      <c r="CU292" s="3"/>
      <c r="CV292" s="3"/>
      <c r="CW292" s="3"/>
    </row>
    <row r="293" spans="2:101" ht="16">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3"/>
      <c r="CS293" s="3"/>
      <c r="CT293" s="3"/>
      <c r="CU293" s="3"/>
      <c r="CV293" s="3"/>
      <c r="CW293" s="3"/>
    </row>
    <row r="294" spans="2:101" ht="16">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3"/>
      <c r="CS294" s="3"/>
      <c r="CT294" s="3"/>
      <c r="CU294" s="3"/>
      <c r="CV294" s="3"/>
      <c r="CW294" s="3"/>
    </row>
    <row r="295" spans="2:101" ht="16">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3"/>
      <c r="CS295" s="3"/>
      <c r="CT295" s="3"/>
      <c r="CU295" s="3"/>
      <c r="CV295" s="3"/>
      <c r="CW295" s="3"/>
    </row>
    <row r="296" spans="2:101" ht="16">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3"/>
      <c r="CS296" s="3"/>
      <c r="CT296" s="3"/>
      <c r="CU296" s="3"/>
      <c r="CV296" s="3"/>
      <c r="CW296" s="3"/>
    </row>
    <row r="297" spans="2:101" ht="16">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3"/>
      <c r="CS297" s="3"/>
      <c r="CT297" s="3"/>
      <c r="CU297" s="3"/>
      <c r="CV297" s="3"/>
      <c r="CW297" s="3"/>
    </row>
    <row r="298" spans="2:101" ht="16">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3"/>
      <c r="CS298" s="3"/>
      <c r="CT298" s="3"/>
      <c r="CU298" s="3"/>
      <c r="CV298" s="3"/>
      <c r="CW298" s="3"/>
    </row>
    <row r="299" spans="2:101" ht="16">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3"/>
      <c r="CS299" s="3"/>
      <c r="CT299" s="3"/>
      <c r="CU299" s="3"/>
      <c r="CV299" s="3"/>
      <c r="CW299" s="3"/>
    </row>
    <row r="300" spans="2:101" ht="16">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3"/>
      <c r="CS300" s="3"/>
      <c r="CT300" s="3"/>
      <c r="CU300" s="3"/>
      <c r="CV300" s="3"/>
      <c r="CW300" s="3"/>
    </row>
    <row r="301" spans="2:101" ht="16">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3"/>
      <c r="CS301" s="3"/>
      <c r="CT301" s="3"/>
      <c r="CU301" s="3"/>
      <c r="CV301" s="3"/>
      <c r="CW301" s="3"/>
    </row>
    <row r="302" spans="2:101" ht="16">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3"/>
      <c r="CS302" s="3"/>
      <c r="CT302" s="3"/>
      <c r="CU302" s="3"/>
      <c r="CV302" s="3"/>
      <c r="CW302" s="3"/>
    </row>
    <row r="303" spans="2:101" ht="16">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3"/>
      <c r="CS303" s="3"/>
      <c r="CT303" s="3"/>
      <c r="CU303" s="3"/>
      <c r="CV303" s="3"/>
      <c r="CW303" s="3"/>
    </row>
    <row r="304" spans="2:101" ht="16">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3"/>
      <c r="CS304" s="3"/>
      <c r="CT304" s="3"/>
      <c r="CU304" s="3"/>
      <c r="CV304" s="3"/>
      <c r="CW304" s="3"/>
    </row>
    <row r="305" spans="2:101" ht="16">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3"/>
      <c r="CS305" s="3"/>
      <c r="CT305" s="3"/>
      <c r="CU305" s="3"/>
      <c r="CV305" s="3"/>
      <c r="CW305" s="3"/>
    </row>
    <row r="306" spans="2:101" ht="16">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3"/>
      <c r="CS306" s="3"/>
      <c r="CT306" s="3"/>
      <c r="CU306" s="3"/>
      <c r="CV306" s="3"/>
      <c r="CW306" s="3"/>
    </row>
    <row r="307" spans="2:101" ht="16">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3"/>
      <c r="CS307" s="3"/>
      <c r="CT307" s="3"/>
      <c r="CU307" s="3"/>
      <c r="CV307" s="3"/>
      <c r="CW307" s="3"/>
    </row>
    <row r="308" spans="2:101" ht="16">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3"/>
      <c r="CS308" s="3"/>
      <c r="CT308" s="3"/>
      <c r="CU308" s="3"/>
      <c r="CV308" s="3"/>
      <c r="CW308" s="3"/>
    </row>
    <row r="309" spans="2:101" ht="16">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3"/>
      <c r="CS309" s="3"/>
      <c r="CT309" s="3"/>
      <c r="CU309" s="3"/>
      <c r="CV309" s="3"/>
      <c r="CW309" s="3"/>
    </row>
    <row r="310" spans="2:101" ht="16">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3"/>
      <c r="CS310" s="3"/>
      <c r="CT310" s="3"/>
      <c r="CU310" s="3"/>
      <c r="CV310" s="3"/>
      <c r="CW310" s="3"/>
    </row>
    <row r="311" spans="2:101" ht="16">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3"/>
      <c r="CS311" s="3"/>
      <c r="CT311" s="3"/>
      <c r="CU311" s="3"/>
      <c r="CV311" s="3"/>
      <c r="CW311" s="3"/>
    </row>
    <row r="312" spans="2:101" ht="16">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3"/>
      <c r="CS312" s="3"/>
      <c r="CT312" s="3"/>
      <c r="CU312" s="3"/>
      <c r="CV312" s="3"/>
      <c r="CW312" s="3"/>
    </row>
    <row r="313" spans="2:101" ht="16">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3"/>
      <c r="CS313" s="3"/>
      <c r="CT313" s="3"/>
      <c r="CU313" s="3"/>
      <c r="CV313" s="3"/>
      <c r="CW313" s="3"/>
    </row>
    <row r="314" spans="2:101" ht="16">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3"/>
      <c r="CS314" s="3"/>
      <c r="CT314" s="3"/>
      <c r="CU314" s="3"/>
      <c r="CV314" s="3"/>
      <c r="CW314" s="3"/>
    </row>
    <row r="315" spans="2:101" ht="16">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3"/>
      <c r="CS315" s="3"/>
      <c r="CT315" s="3"/>
      <c r="CU315" s="3"/>
      <c r="CV315" s="3"/>
      <c r="CW315" s="3"/>
    </row>
    <row r="316" spans="2:101" ht="16">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3"/>
      <c r="CS316" s="3"/>
      <c r="CT316" s="3"/>
      <c r="CU316" s="3"/>
      <c r="CV316" s="3"/>
      <c r="CW316" s="3"/>
    </row>
    <row r="317" spans="2:101" ht="16">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3"/>
      <c r="CS317" s="3"/>
      <c r="CT317" s="3"/>
      <c r="CU317" s="3"/>
      <c r="CV317" s="3"/>
      <c r="CW317" s="3"/>
    </row>
    <row r="318" spans="2:101" ht="16">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3"/>
      <c r="CS318" s="3"/>
      <c r="CT318" s="3"/>
      <c r="CU318" s="3"/>
      <c r="CV318" s="3"/>
      <c r="CW318" s="3"/>
    </row>
    <row r="319" spans="2:101" ht="16">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3"/>
      <c r="CS319" s="3"/>
      <c r="CT319" s="3"/>
      <c r="CU319" s="3"/>
      <c r="CV319" s="3"/>
      <c r="CW319" s="3"/>
    </row>
    <row r="320" spans="2:101" ht="16">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3"/>
      <c r="CS320" s="3"/>
      <c r="CT320" s="3"/>
      <c r="CU320" s="3"/>
      <c r="CV320" s="3"/>
      <c r="CW320" s="3"/>
    </row>
    <row r="321" spans="2:101" ht="16">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3"/>
      <c r="CS321" s="3"/>
      <c r="CT321" s="3"/>
      <c r="CU321" s="3"/>
      <c r="CV321" s="3"/>
      <c r="CW321" s="3"/>
    </row>
    <row r="322" spans="2:101" ht="16">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3"/>
      <c r="CS322" s="3"/>
      <c r="CT322" s="3"/>
      <c r="CU322" s="3"/>
      <c r="CV322" s="3"/>
      <c r="CW322" s="3"/>
    </row>
    <row r="323" spans="2:101" ht="16">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3"/>
      <c r="CS323" s="3"/>
      <c r="CT323" s="3"/>
      <c r="CU323" s="3"/>
      <c r="CV323" s="3"/>
      <c r="CW323" s="3"/>
    </row>
    <row r="324" spans="2:101" ht="16">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3"/>
      <c r="CS324" s="3"/>
      <c r="CT324" s="3"/>
      <c r="CU324" s="3"/>
      <c r="CV324" s="3"/>
      <c r="CW324" s="3"/>
    </row>
    <row r="325" spans="2:101" ht="16">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3"/>
      <c r="CS325" s="3"/>
      <c r="CT325" s="3"/>
      <c r="CU325" s="3"/>
      <c r="CV325" s="3"/>
      <c r="CW325" s="3"/>
    </row>
    <row r="326" spans="2:101" ht="16">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3"/>
      <c r="CS326" s="3"/>
      <c r="CT326" s="3"/>
      <c r="CU326" s="3"/>
      <c r="CV326" s="3"/>
      <c r="CW326" s="3"/>
    </row>
    <row r="327" spans="2:101" ht="16">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3"/>
      <c r="CS327" s="3"/>
      <c r="CT327" s="3"/>
      <c r="CU327" s="3"/>
      <c r="CV327" s="3"/>
      <c r="CW327" s="3"/>
    </row>
    <row r="328" spans="2:101" ht="16">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3"/>
      <c r="CS328" s="3"/>
      <c r="CT328" s="3"/>
      <c r="CU328" s="3"/>
      <c r="CV328" s="3"/>
      <c r="CW328" s="3"/>
    </row>
    <row r="329" spans="2:101" ht="16">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3"/>
      <c r="CS329" s="3"/>
      <c r="CT329" s="3"/>
      <c r="CU329" s="3"/>
      <c r="CV329" s="3"/>
      <c r="CW329" s="3"/>
    </row>
    <row r="330" spans="2:101" ht="16">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3"/>
      <c r="CS330" s="3"/>
      <c r="CT330" s="3"/>
      <c r="CU330" s="3"/>
      <c r="CV330" s="3"/>
      <c r="CW330" s="3"/>
    </row>
    <row r="331" spans="2:101" ht="16">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3"/>
      <c r="CS331" s="3"/>
      <c r="CT331" s="3"/>
      <c r="CU331" s="3"/>
      <c r="CV331" s="3"/>
      <c r="CW331" s="3"/>
    </row>
    <row r="332" spans="2:101" ht="16">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3"/>
      <c r="CS332" s="3"/>
      <c r="CT332" s="3"/>
      <c r="CU332" s="3"/>
      <c r="CV332" s="3"/>
      <c r="CW332" s="3"/>
    </row>
    <row r="333" spans="2:101" ht="16">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3"/>
      <c r="CS333" s="3"/>
      <c r="CT333" s="3"/>
      <c r="CU333" s="3"/>
      <c r="CV333" s="3"/>
      <c r="CW333" s="3"/>
    </row>
    <row r="334" spans="2:101" ht="16">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3"/>
      <c r="CS334" s="3"/>
      <c r="CT334" s="3"/>
      <c r="CU334" s="3"/>
      <c r="CV334" s="3"/>
      <c r="CW334" s="3"/>
    </row>
    <row r="335" spans="2:101" ht="16">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3"/>
      <c r="CS335" s="3"/>
      <c r="CT335" s="3"/>
      <c r="CU335" s="3"/>
      <c r="CV335" s="3"/>
      <c r="CW335" s="3"/>
    </row>
    <row r="336" spans="2:101" ht="16">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3"/>
      <c r="CS336" s="3"/>
      <c r="CT336" s="3"/>
      <c r="CU336" s="3"/>
      <c r="CV336" s="3"/>
      <c r="CW336" s="3"/>
    </row>
    <row r="337" spans="2:101" ht="16">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3"/>
      <c r="CS337" s="3"/>
      <c r="CT337" s="3"/>
      <c r="CU337" s="3"/>
      <c r="CV337" s="3"/>
      <c r="CW337" s="3"/>
    </row>
    <row r="338" spans="2:101" ht="16">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3"/>
      <c r="CS338" s="3"/>
      <c r="CT338" s="3"/>
      <c r="CU338" s="3"/>
      <c r="CV338" s="3"/>
      <c r="CW338" s="3"/>
    </row>
    <row r="339" spans="2:101" ht="16">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3"/>
      <c r="CS339" s="3"/>
      <c r="CT339" s="3"/>
      <c r="CU339" s="3"/>
      <c r="CV339" s="3"/>
      <c r="CW339" s="3"/>
    </row>
    <row r="340" spans="2:101" ht="16">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3"/>
      <c r="CS340" s="3"/>
      <c r="CT340" s="3"/>
      <c r="CU340" s="3"/>
      <c r="CV340" s="3"/>
      <c r="CW340" s="3"/>
    </row>
    <row r="341" spans="2:101" ht="16">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3"/>
      <c r="CS341" s="3"/>
      <c r="CT341" s="3"/>
      <c r="CU341" s="3"/>
      <c r="CV341" s="3"/>
      <c r="CW341" s="3"/>
    </row>
    <row r="342" spans="2:101" ht="16">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3"/>
      <c r="CS342" s="3"/>
      <c r="CT342" s="3"/>
      <c r="CU342" s="3"/>
      <c r="CV342" s="3"/>
      <c r="CW342" s="3"/>
    </row>
    <row r="343" spans="2:101" ht="16">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3"/>
      <c r="CS343" s="3"/>
      <c r="CT343" s="3"/>
      <c r="CU343" s="3"/>
      <c r="CV343" s="3"/>
      <c r="CW343" s="3"/>
    </row>
    <row r="344" spans="2:101" ht="16">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3"/>
      <c r="CS344" s="3"/>
      <c r="CT344" s="3"/>
      <c r="CU344" s="3"/>
      <c r="CV344" s="3"/>
      <c r="CW344" s="3"/>
    </row>
    <row r="345" spans="2:101" ht="16">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3"/>
      <c r="CS345" s="3"/>
      <c r="CT345" s="3"/>
      <c r="CU345" s="3"/>
      <c r="CV345" s="3"/>
      <c r="CW345" s="3"/>
    </row>
    <row r="346" spans="2:101" ht="16">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3"/>
      <c r="CS346" s="3"/>
      <c r="CT346" s="3"/>
      <c r="CU346" s="3"/>
      <c r="CV346" s="3"/>
      <c r="CW346" s="3"/>
    </row>
    <row r="347" spans="2:101" ht="16">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3"/>
      <c r="CS347" s="3"/>
      <c r="CT347" s="3"/>
      <c r="CU347" s="3"/>
      <c r="CV347" s="3"/>
      <c r="CW347" s="3"/>
    </row>
    <row r="348" spans="2:101" ht="16">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3"/>
      <c r="CS348" s="3"/>
      <c r="CT348" s="3"/>
      <c r="CU348" s="3"/>
      <c r="CV348" s="3"/>
      <c r="CW348" s="3"/>
    </row>
    <row r="349" spans="2:101" ht="16">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3"/>
      <c r="CS349" s="3"/>
      <c r="CT349" s="3"/>
      <c r="CU349" s="3"/>
      <c r="CV349" s="3"/>
      <c r="CW349" s="3"/>
    </row>
    <row r="350" spans="2:101" ht="16">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3"/>
      <c r="CS350" s="3"/>
      <c r="CT350" s="3"/>
      <c r="CU350" s="3"/>
      <c r="CV350" s="3"/>
      <c r="CW350" s="3"/>
    </row>
    <row r="351" spans="2:101" ht="16">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3"/>
      <c r="CS351" s="3"/>
      <c r="CT351" s="3"/>
      <c r="CU351" s="3"/>
      <c r="CV351" s="3"/>
      <c r="CW351" s="3"/>
    </row>
    <row r="352" spans="2:101" ht="16">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3"/>
      <c r="CS352" s="3"/>
      <c r="CT352" s="3"/>
      <c r="CU352" s="3"/>
      <c r="CV352" s="3"/>
      <c r="CW352" s="3"/>
    </row>
    <row r="353" spans="2:101" ht="16">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3"/>
      <c r="CS353" s="3"/>
      <c r="CT353" s="3"/>
      <c r="CU353" s="3"/>
      <c r="CV353" s="3"/>
      <c r="CW353" s="3"/>
    </row>
    <row r="354" spans="2:101" ht="16">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3"/>
      <c r="CS354" s="3"/>
      <c r="CT354" s="3"/>
      <c r="CU354" s="3"/>
      <c r="CV354" s="3"/>
      <c r="CW354" s="3"/>
    </row>
    <row r="355" spans="2:101" ht="16">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3"/>
      <c r="CS355" s="3"/>
      <c r="CT355" s="3"/>
      <c r="CU355" s="3"/>
      <c r="CV355" s="3"/>
      <c r="CW355" s="3"/>
    </row>
    <row r="356" spans="2:101" ht="16">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3"/>
      <c r="CS356" s="3"/>
      <c r="CT356" s="3"/>
      <c r="CU356" s="3"/>
      <c r="CV356" s="3"/>
      <c r="CW356" s="3"/>
    </row>
    <row r="357" spans="2:101" ht="16">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3"/>
      <c r="CS357" s="3"/>
      <c r="CT357" s="3"/>
      <c r="CU357" s="3"/>
      <c r="CV357" s="3"/>
      <c r="CW357" s="3"/>
    </row>
    <row r="358" spans="2:101" ht="16">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3"/>
      <c r="CS358" s="3"/>
      <c r="CT358" s="3"/>
      <c r="CU358" s="3"/>
      <c r="CV358" s="3"/>
      <c r="CW358" s="3"/>
    </row>
    <row r="359" spans="2:101" ht="16">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3"/>
      <c r="CS359" s="3"/>
      <c r="CT359" s="3"/>
      <c r="CU359" s="3"/>
      <c r="CV359" s="3"/>
      <c r="CW359" s="3"/>
    </row>
    <row r="360" spans="2:101" ht="16">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3"/>
      <c r="CS360" s="3"/>
      <c r="CT360" s="3"/>
      <c r="CU360" s="3"/>
      <c r="CV360" s="3"/>
      <c r="CW360" s="3"/>
    </row>
    <row r="361" spans="2:101" ht="16">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3"/>
      <c r="CS361" s="3"/>
      <c r="CT361" s="3"/>
      <c r="CU361" s="3"/>
      <c r="CV361" s="3"/>
      <c r="CW361" s="3"/>
    </row>
    <row r="362" spans="2:101" ht="16">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3"/>
      <c r="CS362" s="3"/>
      <c r="CT362" s="3"/>
      <c r="CU362" s="3"/>
      <c r="CV362" s="3"/>
      <c r="CW362" s="3"/>
    </row>
    <row r="363" spans="2:101" ht="16">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3"/>
      <c r="CS363" s="3"/>
      <c r="CT363" s="3"/>
      <c r="CU363" s="3"/>
      <c r="CV363" s="3"/>
      <c r="CW363" s="3"/>
    </row>
    <row r="364" spans="2:101" ht="16">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3"/>
      <c r="CS364" s="3"/>
      <c r="CT364" s="3"/>
      <c r="CU364" s="3"/>
      <c r="CV364" s="3"/>
      <c r="CW364" s="3"/>
    </row>
    <row r="365" spans="2:101" ht="16">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3"/>
      <c r="CS365" s="3"/>
      <c r="CT365" s="3"/>
      <c r="CU365" s="3"/>
      <c r="CV365" s="3"/>
      <c r="CW365" s="3"/>
    </row>
    <row r="366" spans="2:101" ht="16">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3"/>
      <c r="CS366" s="3"/>
      <c r="CT366" s="3"/>
      <c r="CU366" s="3"/>
      <c r="CV366" s="3"/>
      <c r="CW366" s="3"/>
    </row>
    <row r="367" spans="2:101" ht="16">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3"/>
      <c r="CS367" s="3"/>
      <c r="CT367" s="3"/>
      <c r="CU367" s="3"/>
      <c r="CV367" s="3"/>
      <c r="CW367" s="3"/>
    </row>
    <row r="368" spans="2:101" ht="16">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3"/>
      <c r="CS368" s="3"/>
      <c r="CT368" s="3"/>
      <c r="CU368" s="3"/>
      <c r="CV368" s="3"/>
      <c r="CW368" s="3"/>
    </row>
    <row r="369" spans="2:101" ht="16">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3"/>
      <c r="CS369" s="3"/>
      <c r="CT369" s="3"/>
      <c r="CU369" s="3"/>
      <c r="CV369" s="3"/>
      <c r="CW369" s="3"/>
    </row>
    <row r="370" spans="2:101" ht="16">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3"/>
      <c r="CS370" s="3"/>
      <c r="CT370" s="3"/>
      <c r="CU370" s="3"/>
      <c r="CV370" s="3"/>
      <c r="CW370" s="3"/>
    </row>
    <row r="371" spans="2:101" ht="16">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3"/>
      <c r="CS371" s="3"/>
      <c r="CT371" s="3"/>
      <c r="CU371" s="3"/>
      <c r="CV371" s="3"/>
      <c r="CW371" s="3"/>
    </row>
    <row r="372" spans="2:101" ht="16">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3"/>
      <c r="CS372" s="3"/>
      <c r="CT372" s="3"/>
      <c r="CU372" s="3"/>
      <c r="CV372" s="3"/>
      <c r="CW372" s="3"/>
    </row>
    <row r="373" spans="2:101" ht="16">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3"/>
      <c r="CS373" s="3"/>
      <c r="CT373" s="3"/>
      <c r="CU373" s="3"/>
      <c r="CV373" s="3"/>
      <c r="CW373" s="3"/>
    </row>
    <row r="374" spans="2:101" ht="16">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3"/>
      <c r="CS374" s="3"/>
      <c r="CT374" s="3"/>
      <c r="CU374" s="3"/>
      <c r="CV374" s="3"/>
      <c r="CW374" s="3"/>
    </row>
    <row r="375" spans="2:101" ht="16">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3"/>
      <c r="CS375" s="3"/>
      <c r="CT375" s="3"/>
      <c r="CU375" s="3"/>
      <c r="CV375" s="3"/>
      <c r="CW375" s="3"/>
    </row>
    <row r="376" spans="2:101" ht="16">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3"/>
      <c r="CS376" s="3"/>
      <c r="CT376" s="3"/>
      <c r="CU376" s="3"/>
      <c r="CV376" s="3"/>
      <c r="CW376" s="3"/>
    </row>
    <row r="377" spans="2:101" ht="16">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3"/>
      <c r="CS377" s="3"/>
      <c r="CT377" s="3"/>
      <c r="CU377" s="3"/>
      <c r="CV377" s="3"/>
      <c r="CW377" s="3"/>
    </row>
    <row r="378" spans="2:101" ht="16">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3"/>
      <c r="CS378" s="3"/>
      <c r="CT378" s="3"/>
      <c r="CU378" s="3"/>
      <c r="CV378" s="3"/>
      <c r="CW378" s="3"/>
    </row>
    <row r="379" spans="2:101" ht="16">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3"/>
      <c r="CS379" s="3"/>
      <c r="CT379" s="3"/>
      <c r="CU379" s="3"/>
      <c r="CV379" s="3"/>
      <c r="CW379" s="3"/>
    </row>
    <row r="380" spans="2:101" ht="16">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3"/>
      <c r="CS380" s="3"/>
      <c r="CT380" s="3"/>
      <c r="CU380" s="3"/>
      <c r="CV380" s="3"/>
      <c r="CW380" s="3"/>
    </row>
    <row r="381" spans="2:101" ht="16">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3"/>
      <c r="CS381" s="3"/>
      <c r="CT381" s="3"/>
      <c r="CU381" s="3"/>
      <c r="CV381" s="3"/>
      <c r="CW381" s="3"/>
    </row>
    <row r="382" spans="2:101" ht="16">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3"/>
      <c r="CS382" s="3"/>
      <c r="CT382" s="3"/>
      <c r="CU382" s="3"/>
      <c r="CV382" s="3"/>
      <c r="CW382" s="3"/>
    </row>
    <row r="383" spans="2:101" ht="16">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3"/>
      <c r="CS383" s="3"/>
      <c r="CT383" s="3"/>
      <c r="CU383" s="3"/>
      <c r="CV383" s="3"/>
      <c r="CW383" s="3"/>
    </row>
    <row r="384" spans="2:101" ht="16">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3"/>
      <c r="CS384" s="3"/>
      <c r="CT384" s="3"/>
      <c r="CU384" s="3"/>
      <c r="CV384" s="3"/>
      <c r="CW384" s="3"/>
    </row>
    <row r="385" spans="2:101" ht="16">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3"/>
      <c r="CS385" s="3"/>
      <c r="CT385" s="3"/>
      <c r="CU385" s="3"/>
      <c r="CV385" s="3"/>
      <c r="CW385" s="3"/>
    </row>
    <row r="386" spans="2:101" ht="16">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3"/>
      <c r="CS386" s="3"/>
      <c r="CT386" s="3"/>
      <c r="CU386" s="3"/>
      <c r="CV386" s="3"/>
      <c r="CW386" s="3"/>
    </row>
    <row r="387" spans="2:101" ht="16">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3"/>
      <c r="CS387" s="3"/>
      <c r="CT387" s="3"/>
      <c r="CU387" s="3"/>
      <c r="CV387" s="3"/>
      <c r="CW387" s="3"/>
    </row>
    <row r="388" spans="2:101" ht="16">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3"/>
      <c r="CS388" s="3"/>
      <c r="CT388" s="3"/>
      <c r="CU388" s="3"/>
      <c r="CV388" s="3"/>
      <c r="CW388" s="3"/>
    </row>
    <row r="389" spans="2:101" ht="16">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3"/>
      <c r="CS389" s="3"/>
      <c r="CT389" s="3"/>
      <c r="CU389" s="3"/>
      <c r="CV389" s="3"/>
      <c r="CW389" s="3"/>
    </row>
    <row r="390" spans="2:101" ht="16">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3"/>
      <c r="CS390" s="3"/>
      <c r="CT390" s="3"/>
      <c r="CU390" s="3"/>
      <c r="CV390" s="3"/>
      <c r="CW390" s="3"/>
    </row>
    <row r="391" spans="2:101" ht="16">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3"/>
      <c r="CS391" s="3"/>
      <c r="CT391" s="3"/>
      <c r="CU391" s="3"/>
      <c r="CV391" s="3"/>
      <c r="CW391" s="3"/>
    </row>
    <row r="392" spans="2:101" ht="16">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3"/>
      <c r="CS392" s="3"/>
      <c r="CT392" s="3"/>
      <c r="CU392" s="3"/>
      <c r="CV392" s="3"/>
      <c r="CW392" s="3"/>
    </row>
    <row r="393" spans="2:101" ht="16">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3"/>
      <c r="CS393" s="3"/>
      <c r="CT393" s="3"/>
      <c r="CU393" s="3"/>
      <c r="CV393" s="3"/>
      <c r="CW393" s="3"/>
    </row>
    <row r="394" spans="2:101" ht="16">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3"/>
      <c r="CS394" s="3"/>
      <c r="CT394" s="3"/>
      <c r="CU394" s="3"/>
      <c r="CV394" s="3"/>
      <c r="CW394" s="3"/>
    </row>
    <row r="395" spans="2:101" ht="16">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3"/>
      <c r="CS395" s="3"/>
      <c r="CT395" s="3"/>
      <c r="CU395" s="3"/>
      <c r="CV395" s="3"/>
      <c r="CW395" s="3"/>
    </row>
    <row r="396" spans="2:101" ht="16">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3"/>
      <c r="CS396" s="3"/>
      <c r="CT396" s="3"/>
      <c r="CU396" s="3"/>
      <c r="CV396" s="3"/>
      <c r="CW396" s="3"/>
    </row>
    <row r="397" spans="2:101" ht="16">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3"/>
      <c r="CS397" s="3"/>
      <c r="CT397" s="3"/>
      <c r="CU397" s="3"/>
      <c r="CV397" s="3"/>
      <c r="CW397" s="3"/>
    </row>
    <row r="398" spans="2:101" ht="16">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3"/>
      <c r="CS398" s="3"/>
      <c r="CT398" s="3"/>
      <c r="CU398" s="3"/>
      <c r="CV398" s="3"/>
      <c r="CW398" s="3"/>
    </row>
    <row r="399" spans="2:101" ht="16">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3"/>
      <c r="CS399" s="3"/>
      <c r="CT399" s="3"/>
      <c r="CU399" s="3"/>
      <c r="CV399" s="3"/>
      <c r="CW399" s="3"/>
    </row>
    <row r="400" spans="2:101" ht="16">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3"/>
      <c r="CS400" s="3"/>
      <c r="CT400" s="3"/>
      <c r="CU400" s="3"/>
      <c r="CV400" s="3"/>
      <c r="CW400" s="3"/>
    </row>
    <row r="401" spans="2:101" ht="16">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3"/>
      <c r="CS401" s="3"/>
      <c r="CT401" s="3"/>
      <c r="CU401" s="3"/>
      <c r="CV401" s="3"/>
      <c r="CW401" s="3"/>
    </row>
    <row r="402" spans="2:101" ht="16">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3"/>
      <c r="CS402" s="3"/>
      <c r="CT402" s="3"/>
      <c r="CU402" s="3"/>
      <c r="CV402" s="3"/>
      <c r="CW402" s="3"/>
    </row>
    <row r="403" spans="2:101" ht="16">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3"/>
      <c r="CS403" s="3"/>
      <c r="CT403" s="3"/>
      <c r="CU403" s="3"/>
      <c r="CV403" s="3"/>
      <c r="CW403" s="3"/>
    </row>
    <row r="404" spans="2:101" ht="16">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3"/>
      <c r="CS404" s="3"/>
      <c r="CT404" s="3"/>
      <c r="CU404" s="3"/>
      <c r="CV404" s="3"/>
      <c r="CW404" s="3"/>
    </row>
    <row r="405" spans="2:101" ht="16">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3"/>
      <c r="CS405" s="3"/>
      <c r="CT405" s="3"/>
      <c r="CU405" s="3"/>
      <c r="CV405" s="3"/>
      <c r="CW405" s="3"/>
    </row>
    <row r="406" spans="2:101" ht="16">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3"/>
      <c r="CS406" s="3"/>
      <c r="CT406" s="3"/>
      <c r="CU406" s="3"/>
      <c r="CV406" s="3"/>
      <c r="CW406" s="3"/>
    </row>
    <row r="407" spans="2:101" ht="16">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3"/>
      <c r="CS407" s="3"/>
      <c r="CT407" s="3"/>
      <c r="CU407" s="3"/>
      <c r="CV407" s="3"/>
      <c r="CW407" s="3"/>
    </row>
    <row r="408" spans="2:101" ht="16">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3"/>
      <c r="CS408" s="3"/>
      <c r="CT408" s="3"/>
      <c r="CU408" s="3"/>
      <c r="CV408" s="3"/>
      <c r="CW408" s="3"/>
    </row>
    <row r="409" spans="2:101" ht="16">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3"/>
      <c r="CS409" s="3"/>
      <c r="CT409" s="3"/>
      <c r="CU409" s="3"/>
      <c r="CV409" s="3"/>
      <c r="CW409" s="3"/>
    </row>
    <row r="410" spans="2:101" ht="16">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3"/>
      <c r="CS410" s="3"/>
      <c r="CT410" s="3"/>
      <c r="CU410" s="3"/>
      <c r="CV410" s="3"/>
      <c r="CW410" s="3"/>
    </row>
    <row r="411" spans="2:101" ht="16">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3"/>
      <c r="CS411" s="3"/>
      <c r="CT411" s="3"/>
      <c r="CU411" s="3"/>
      <c r="CV411" s="3"/>
      <c r="CW411" s="3"/>
    </row>
    <row r="412" spans="2:101" ht="16">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c r="CK412" s="2"/>
      <c r="CL412" s="2"/>
      <c r="CM412" s="2"/>
      <c r="CN412" s="2"/>
      <c r="CO412" s="2"/>
      <c r="CP412" s="2"/>
      <c r="CQ412" s="2"/>
      <c r="CR412" s="3"/>
      <c r="CS412" s="3"/>
      <c r="CT412" s="3"/>
      <c r="CU412" s="3"/>
      <c r="CV412" s="3"/>
      <c r="CW412" s="3"/>
    </row>
    <row r="413" spans="2:101" ht="16">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c r="CK413" s="2"/>
      <c r="CL413" s="2"/>
      <c r="CM413" s="2"/>
      <c r="CN413" s="2"/>
      <c r="CO413" s="2"/>
      <c r="CP413" s="2"/>
      <c r="CQ413" s="2"/>
      <c r="CR413" s="3"/>
      <c r="CS413" s="3"/>
      <c r="CT413" s="3"/>
      <c r="CU413" s="3"/>
      <c r="CV413" s="3"/>
      <c r="CW413" s="3"/>
    </row>
    <row r="414" spans="2:101" ht="16">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c r="CK414" s="2"/>
      <c r="CL414" s="2"/>
      <c r="CM414" s="2"/>
      <c r="CN414" s="2"/>
      <c r="CO414" s="2"/>
      <c r="CP414" s="2"/>
      <c r="CQ414" s="2"/>
      <c r="CR414" s="3"/>
      <c r="CS414" s="3"/>
      <c r="CT414" s="3"/>
      <c r="CU414" s="3"/>
      <c r="CV414" s="3"/>
      <c r="CW414" s="3"/>
    </row>
    <row r="415" spans="2:101" ht="16">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c r="CK415" s="2"/>
      <c r="CL415" s="2"/>
      <c r="CM415" s="2"/>
      <c r="CN415" s="2"/>
      <c r="CO415" s="2"/>
      <c r="CP415" s="2"/>
      <c r="CQ415" s="2"/>
      <c r="CR415" s="3"/>
      <c r="CS415" s="3"/>
      <c r="CT415" s="3"/>
      <c r="CU415" s="3"/>
      <c r="CV415" s="3"/>
      <c r="CW415" s="3"/>
    </row>
    <row r="416" spans="2:101" ht="16">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c r="CK416" s="2"/>
      <c r="CL416" s="2"/>
      <c r="CM416" s="2"/>
      <c r="CN416" s="2"/>
      <c r="CO416" s="2"/>
      <c r="CP416" s="2"/>
      <c r="CQ416" s="2"/>
      <c r="CR416" s="3"/>
      <c r="CS416" s="3"/>
      <c r="CT416" s="3"/>
      <c r="CU416" s="3"/>
      <c r="CV416" s="3"/>
      <c r="CW416" s="3"/>
    </row>
    <row r="417" spans="2:101" ht="16">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c r="CK417" s="2"/>
      <c r="CL417" s="2"/>
      <c r="CM417" s="2"/>
      <c r="CN417" s="2"/>
      <c r="CO417" s="2"/>
      <c r="CP417" s="2"/>
      <c r="CQ417" s="2"/>
      <c r="CR417" s="3"/>
      <c r="CS417" s="3"/>
      <c r="CT417" s="3"/>
      <c r="CU417" s="3"/>
      <c r="CV417" s="3"/>
      <c r="CW417" s="3"/>
    </row>
    <row r="418" spans="2:101" ht="16">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c r="CK418" s="2"/>
      <c r="CL418" s="2"/>
      <c r="CM418" s="2"/>
      <c r="CN418" s="2"/>
      <c r="CO418" s="2"/>
      <c r="CP418" s="2"/>
      <c r="CQ418" s="2"/>
      <c r="CR418" s="3"/>
      <c r="CS418" s="3"/>
      <c r="CT418" s="3"/>
      <c r="CU418" s="3"/>
      <c r="CV418" s="3"/>
      <c r="CW418" s="3"/>
    </row>
    <row r="419" spans="2:101" ht="16">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c r="CK419" s="2"/>
      <c r="CL419" s="2"/>
      <c r="CM419" s="2"/>
      <c r="CN419" s="2"/>
      <c r="CO419" s="2"/>
      <c r="CP419" s="2"/>
      <c r="CQ419" s="2"/>
      <c r="CR419" s="3"/>
      <c r="CS419" s="3"/>
      <c r="CT419" s="3"/>
      <c r="CU419" s="3"/>
      <c r="CV419" s="3"/>
      <c r="CW419" s="3"/>
    </row>
    <row r="420" spans="2:101" ht="16">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c r="CK420" s="2"/>
      <c r="CL420" s="2"/>
      <c r="CM420" s="2"/>
      <c r="CN420" s="2"/>
      <c r="CO420" s="2"/>
      <c r="CP420" s="2"/>
      <c r="CQ420" s="2"/>
      <c r="CR420" s="3"/>
      <c r="CS420" s="3"/>
      <c r="CT420" s="3"/>
      <c r="CU420" s="3"/>
      <c r="CV420" s="3"/>
      <c r="CW420" s="3"/>
    </row>
    <row r="421" spans="2:101" ht="16">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c r="CK421" s="2"/>
      <c r="CL421" s="2"/>
      <c r="CM421" s="2"/>
      <c r="CN421" s="2"/>
      <c r="CO421" s="2"/>
      <c r="CP421" s="2"/>
      <c r="CQ421" s="2"/>
      <c r="CR421" s="3"/>
      <c r="CS421" s="3"/>
      <c r="CT421" s="3"/>
      <c r="CU421" s="3"/>
      <c r="CV421" s="3"/>
      <c r="CW421" s="3"/>
    </row>
    <row r="422" spans="2:101" ht="16">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c r="CK422" s="2"/>
      <c r="CL422" s="2"/>
      <c r="CM422" s="2"/>
      <c r="CN422" s="2"/>
      <c r="CO422" s="2"/>
      <c r="CP422" s="2"/>
      <c r="CQ422" s="2"/>
      <c r="CR422" s="3"/>
      <c r="CS422" s="3"/>
      <c r="CT422" s="3"/>
      <c r="CU422" s="3"/>
      <c r="CV422" s="3"/>
      <c r="CW422" s="3"/>
    </row>
    <row r="423" spans="2:101" ht="16">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c r="CK423" s="2"/>
      <c r="CL423" s="2"/>
      <c r="CM423" s="2"/>
      <c r="CN423" s="2"/>
      <c r="CO423" s="2"/>
      <c r="CP423" s="2"/>
      <c r="CQ423" s="2"/>
      <c r="CR423" s="3"/>
      <c r="CS423" s="3"/>
      <c r="CT423" s="3"/>
      <c r="CU423" s="3"/>
      <c r="CV423" s="3"/>
      <c r="CW423" s="3"/>
    </row>
    <row r="424" spans="2:101" ht="16">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c r="CK424" s="2"/>
      <c r="CL424" s="2"/>
      <c r="CM424" s="2"/>
      <c r="CN424" s="2"/>
      <c r="CO424" s="2"/>
      <c r="CP424" s="2"/>
      <c r="CQ424" s="2"/>
      <c r="CR424" s="3"/>
      <c r="CS424" s="3"/>
      <c r="CT424" s="3"/>
      <c r="CU424" s="3"/>
      <c r="CV424" s="3"/>
      <c r="CW424" s="3"/>
    </row>
    <row r="425" spans="2:101" ht="16">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c r="CK425" s="2"/>
      <c r="CL425" s="2"/>
      <c r="CM425" s="2"/>
      <c r="CN425" s="2"/>
      <c r="CO425" s="2"/>
      <c r="CP425" s="2"/>
      <c r="CQ425" s="2"/>
      <c r="CR425" s="3"/>
      <c r="CS425" s="3"/>
      <c r="CT425" s="3"/>
      <c r="CU425" s="3"/>
      <c r="CV425" s="3"/>
      <c r="CW425" s="3"/>
    </row>
    <row r="426" spans="2:101" ht="16">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c r="CK426" s="2"/>
      <c r="CL426" s="2"/>
      <c r="CM426" s="2"/>
      <c r="CN426" s="2"/>
      <c r="CO426" s="2"/>
      <c r="CP426" s="2"/>
      <c r="CQ426" s="2"/>
      <c r="CR426" s="3"/>
      <c r="CS426" s="3"/>
      <c r="CT426" s="3"/>
      <c r="CU426" s="3"/>
      <c r="CV426" s="3"/>
      <c r="CW426" s="3"/>
    </row>
    <row r="427" spans="2:101" ht="16">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c r="CK427" s="2"/>
      <c r="CL427" s="2"/>
      <c r="CM427" s="2"/>
      <c r="CN427" s="2"/>
      <c r="CO427" s="2"/>
      <c r="CP427" s="2"/>
      <c r="CQ427" s="2"/>
      <c r="CR427" s="3"/>
      <c r="CS427" s="3"/>
      <c r="CT427" s="3"/>
      <c r="CU427" s="3"/>
      <c r="CV427" s="3"/>
      <c r="CW427" s="3"/>
    </row>
    <row r="428" spans="2:101" ht="16">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c r="CK428" s="2"/>
      <c r="CL428" s="2"/>
      <c r="CM428" s="2"/>
      <c r="CN428" s="2"/>
      <c r="CO428" s="2"/>
      <c r="CP428" s="2"/>
      <c r="CQ428" s="2"/>
      <c r="CR428" s="3"/>
      <c r="CS428" s="3"/>
      <c r="CT428" s="3"/>
      <c r="CU428" s="3"/>
      <c r="CV428" s="3"/>
      <c r="CW428" s="3"/>
    </row>
    <row r="429" spans="2:101" ht="16">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c r="CK429" s="2"/>
      <c r="CL429" s="2"/>
      <c r="CM429" s="2"/>
      <c r="CN429" s="2"/>
      <c r="CO429" s="2"/>
      <c r="CP429" s="2"/>
      <c r="CQ429" s="2"/>
      <c r="CR429" s="3"/>
      <c r="CS429" s="3"/>
      <c r="CT429" s="3"/>
      <c r="CU429" s="3"/>
      <c r="CV429" s="3"/>
      <c r="CW429" s="3"/>
    </row>
    <row r="430" spans="2:101" ht="16">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c r="CK430" s="2"/>
      <c r="CL430" s="2"/>
      <c r="CM430" s="2"/>
      <c r="CN430" s="2"/>
      <c r="CO430" s="2"/>
      <c r="CP430" s="2"/>
      <c r="CQ430" s="2"/>
      <c r="CR430" s="3"/>
      <c r="CS430" s="3"/>
      <c r="CT430" s="3"/>
      <c r="CU430" s="3"/>
      <c r="CV430" s="3"/>
      <c r="CW430" s="3"/>
    </row>
    <row r="431" spans="2:101" ht="16">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c r="CK431" s="2"/>
      <c r="CL431" s="2"/>
      <c r="CM431" s="2"/>
      <c r="CN431" s="2"/>
      <c r="CO431" s="2"/>
      <c r="CP431" s="2"/>
      <c r="CQ431" s="2"/>
      <c r="CR431" s="3"/>
      <c r="CS431" s="3"/>
      <c r="CT431" s="3"/>
      <c r="CU431" s="3"/>
      <c r="CV431" s="3"/>
      <c r="CW431" s="3"/>
    </row>
    <row r="432" spans="2:101" ht="16">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c r="CK432" s="2"/>
      <c r="CL432" s="2"/>
      <c r="CM432" s="2"/>
      <c r="CN432" s="2"/>
      <c r="CO432" s="2"/>
      <c r="CP432" s="2"/>
      <c r="CQ432" s="2"/>
      <c r="CR432" s="3"/>
      <c r="CS432" s="3"/>
      <c r="CT432" s="3"/>
      <c r="CU432" s="3"/>
      <c r="CV432" s="3"/>
      <c r="CW432" s="3"/>
    </row>
    <row r="433" spans="2:101" ht="16">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c r="CK433" s="2"/>
      <c r="CL433" s="2"/>
      <c r="CM433" s="2"/>
      <c r="CN433" s="2"/>
      <c r="CO433" s="2"/>
      <c r="CP433" s="2"/>
      <c r="CQ433" s="2"/>
      <c r="CR433" s="3"/>
      <c r="CS433" s="3"/>
      <c r="CT433" s="3"/>
      <c r="CU433" s="3"/>
      <c r="CV433" s="3"/>
      <c r="CW433" s="3"/>
    </row>
    <row r="434" spans="2:101" ht="16">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c r="CK434" s="2"/>
      <c r="CL434" s="2"/>
      <c r="CM434" s="2"/>
      <c r="CN434" s="2"/>
      <c r="CO434" s="2"/>
      <c r="CP434" s="2"/>
      <c r="CQ434" s="2"/>
      <c r="CR434" s="3"/>
      <c r="CS434" s="3"/>
      <c r="CT434" s="3"/>
      <c r="CU434" s="3"/>
      <c r="CV434" s="3"/>
      <c r="CW434" s="3"/>
    </row>
    <row r="435" spans="2:101" ht="16">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c r="CK435" s="2"/>
      <c r="CL435" s="2"/>
      <c r="CM435" s="2"/>
      <c r="CN435" s="2"/>
      <c r="CO435" s="2"/>
      <c r="CP435" s="2"/>
      <c r="CQ435" s="2"/>
      <c r="CR435" s="3"/>
      <c r="CS435" s="3"/>
      <c r="CT435" s="3"/>
      <c r="CU435" s="3"/>
      <c r="CV435" s="3"/>
      <c r="CW435" s="3"/>
    </row>
    <row r="436" spans="2:101" ht="16">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c r="CK436" s="2"/>
      <c r="CL436" s="2"/>
      <c r="CM436" s="2"/>
      <c r="CN436" s="2"/>
      <c r="CO436" s="2"/>
      <c r="CP436" s="2"/>
      <c r="CQ436" s="2"/>
      <c r="CR436" s="3"/>
      <c r="CS436" s="3"/>
      <c r="CT436" s="3"/>
      <c r="CU436" s="3"/>
      <c r="CV436" s="3"/>
      <c r="CW436" s="3"/>
    </row>
    <row r="437" spans="2:101" ht="16">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c r="CK437" s="2"/>
      <c r="CL437" s="2"/>
      <c r="CM437" s="2"/>
      <c r="CN437" s="2"/>
      <c r="CO437" s="2"/>
      <c r="CP437" s="2"/>
      <c r="CQ437" s="2"/>
      <c r="CR437" s="3"/>
      <c r="CS437" s="3"/>
      <c r="CT437" s="3"/>
      <c r="CU437" s="3"/>
      <c r="CV437" s="3"/>
      <c r="CW437" s="3"/>
    </row>
    <row r="438" spans="2:101" ht="16">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c r="CK438" s="2"/>
      <c r="CL438" s="2"/>
      <c r="CM438" s="2"/>
      <c r="CN438" s="2"/>
      <c r="CO438" s="2"/>
      <c r="CP438" s="2"/>
      <c r="CQ438" s="2"/>
      <c r="CR438" s="3"/>
      <c r="CS438" s="3"/>
      <c r="CT438" s="3"/>
      <c r="CU438" s="3"/>
      <c r="CV438" s="3"/>
      <c r="CW438" s="3"/>
    </row>
    <row r="439" spans="2:101" ht="16">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c r="CK439" s="2"/>
      <c r="CL439" s="2"/>
      <c r="CM439" s="2"/>
      <c r="CN439" s="2"/>
      <c r="CO439" s="2"/>
      <c r="CP439" s="2"/>
      <c r="CQ439" s="2"/>
      <c r="CR439" s="3"/>
      <c r="CS439" s="3"/>
      <c r="CT439" s="3"/>
      <c r="CU439" s="3"/>
      <c r="CV439" s="3"/>
      <c r="CW439" s="3"/>
    </row>
    <row r="440" spans="2:101" ht="16">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c r="CK440" s="2"/>
      <c r="CL440" s="2"/>
      <c r="CM440" s="2"/>
      <c r="CN440" s="2"/>
      <c r="CO440" s="2"/>
      <c r="CP440" s="2"/>
      <c r="CQ440" s="2"/>
      <c r="CR440" s="3"/>
      <c r="CS440" s="3"/>
      <c r="CT440" s="3"/>
      <c r="CU440" s="3"/>
      <c r="CV440" s="3"/>
      <c r="CW440" s="3"/>
    </row>
    <row r="441" spans="2:101" ht="16">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c r="CK441" s="2"/>
      <c r="CL441" s="2"/>
      <c r="CM441" s="2"/>
      <c r="CN441" s="2"/>
      <c r="CO441" s="2"/>
      <c r="CP441" s="2"/>
      <c r="CQ441" s="2"/>
      <c r="CR441" s="3"/>
      <c r="CS441" s="3"/>
      <c r="CT441" s="3"/>
      <c r="CU441" s="3"/>
      <c r="CV441" s="3"/>
      <c r="CW441" s="3"/>
    </row>
    <row r="442" spans="2:101" ht="16">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c r="CK442" s="2"/>
      <c r="CL442" s="2"/>
      <c r="CM442" s="2"/>
      <c r="CN442" s="2"/>
      <c r="CO442" s="2"/>
      <c r="CP442" s="2"/>
      <c r="CQ442" s="2"/>
      <c r="CR442" s="3"/>
      <c r="CS442" s="3"/>
      <c r="CT442" s="3"/>
      <c r="CU442" s="3"/>
      <c r="CV442" s="3"/>
      <c r="CW442" s="3"/>
    </row>
    <row r="443" spans="2:101" ht="16">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c r="CK443" s="2"/>
      <c r="CL443" s="2"/>
      <c r="CM443" s="2"/>
      <c r="CN443" s="2"/>
      <c r="CO443" s="2"/>
      <c r="CP443" s="2"/>
      <c r="CQ443" s="2"/>
      <c r="CR443" s="3"/>
      <c r="CS443" s="3"/>
      <c r="CT443" s="3"/>
      <c r="CU443" s="3"/>
      <c r="CV443" s="3"/>
      <c r="CW443" s="3"/>
    </row>
    <row r="444" spans="2:101" ht="16">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c r="CK444" s="2"/>
      <c r="CL444" s="2"/>
      <c r="CM444" s="2"/>
      <c r="CN444" s="2"/>
      <c r="CO444" s="2"/>
      <c r="CP444" s="2"/>
      <c r="CQ444" s="2"/>
      <c r="CR444" s="3"/>
      <c r="CS444" s="3"/>
      <c r="CT444" s="3"/>
      <c r="CU444" s="3"/>
      <c r="CV444" s="3"/>
      <c r="CW444" s="3"/>
    </row>
    <row r="445" spans="2:101" ht="16">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c r="CK445" s="2"/>
      <c r="CL445" s="2"/>
      <c r="CM445" s="2"/>
      <c r="CN445" s="2"/>
      <c r="CO445" s="2"/>
      <c r="CP445" s="2"/>
      <c r="CQ445" s="2"/>
      <c r="CR445" s="3"/>
      <c r="CS445" s="3"/>
      <c r="CT445" s="3"/>
      <c r="CU445" s="3"/>
      <c r="CV445" s="3"/>
      <c r="CW445" s="3"/>
    </row>
    <row r="446" spans="2:101" ht="16">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c r="CK446" s="2"/>
      <c r="CL446" s="2"/>
      <c r="CM446" s="2"/>
      <c r="CN446" s="2"/>
      <c r="CO446" s="2"/>
      <c r="CP446" s="2"/>
      <c r="CQ446" s="2"/>
      <c r="CR446" s="3"/>
      <c r="CS446" s="3"/>
      <c r="CT446" s="3"/>
      <c r="CU446" s="3"/>
      <c r="CV446" s="3"/>
      <c r="CW446" s="3"/>
    </row>
    <row r="447" spans="2:101" ht="16">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c r="CK447" s="2"/>
      <c r="CL447" s="2"/>
      <c r="CM447" s="2"/>
      <c r="CN447" s="2"/>
      <c r="CO447" s="2"/>
      <c r="CP447" s="2"/>
      <c r="CQ447" s="2"/>
      <c r="CR447" s="3"/>
      <c r="CS447" s="3"/>
      <c r="CT447" s="3"/>
      <c r="CU447" s="3"/>
      <c r="CV447" s="3"/>
      <c r="CW447" s="3"/>
    </row>
    <row r="448" spans="2:101" ht="16">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c r="CK448" s="2"/>
      <c r="CL448" s="2"/>
      <c r="CM448" s="2"/>
      <c r="CN448" s="2"/>
      <c r="CO448" s="2"/>
      <c r="CP448" s="2"/>
      <c r="CQ448" s="2"/>
      <c r="CR448" s="3"/>
      <c r="CS448" s="3"/>
      <c r="CT448" s="3"/>
      <c r="CU448" s="3"/>
      <c r="CV448" s="3"/>
      <c r="CW448" s="3"/>
    </row>
    <row r="449" spans="2:101" ht="16">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c r="CK449" s="2"/>
      <c r="CL449" s="2"/>
      <c r="CM449" s="2"/>
      <c r="CN449" s="2"/>
      <c r="CO449" s="2"/>
      <c r="CP449" s="2"/>
      <c r="CQ449" s="2"/>
      <c r="CR449" s="3"/>
      <c r="CS449" s="3"/>
      <c r="CT449" s="3"/>
      <c r="CU449" s="3"/>
      <c r="CV449" s="3"/>
      <c r="CW449" s="3"/>
    </row>
    <row r="450" spans="2:101" ht="16">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c r="CK450" s="2"/>
      <c r="CL450" s="2"/>
      <c r="CM450" s="2"/>
      <c r="CN450" s="2"/>
      <c r="CO450" s="2"/>
      <c r="CP450" s="2"/>
      <c r="CQ450" s="2"/>
      <c r="CR450" s="3"/>
      <c r="CS450" s="3"/>
      <c r="CT450" s="3"/>
      <c r="CU450" s="3"/>
      <c r="CV450" s="3"/>
      <c r="CW450" s="3"/>
    </row>
    <row r="451" spans="2:101" ht="16">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c r="CK451" s="2"/>
      <c r="CL451" s="2"/>
      <c r="CM451" s="2"/>
      <c r="CN451" s="2"/>
      <c r="CO451" s="2"/>
      <c r="CP451" s="2"/>
      <c r="CQ451" s="2"/>
      <c r="CR451" s="3"/>
      <c r="CS451" s="3"/>
      <c r="CT451" s="3"/>
      <c r="CU451" s="3"/>
      <c r="CV451" s="3"/>
      <c r="CW451" s="3"/>
    </row>
    <row r="452" spans="2:101" ht="16">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c r="CK452" s="2"/>
      <c r="CL452" s="2"/>
      <c r="CM452" s="2"/>
      <c r="CN452" s="2"/>
      <c r="CO452" s="2"/>
      <c r="CP452" s="2"/>
      <c r="CQ452" s="2"/>
      <c r="CR452" s="3"/>
      <c r="CS452" s="3"/>
      <c r="CT452" s="3"/>
      <c r="CU452" s="3"/>
      <c r="CV452" s="3"/>
      <c r="CW452" s="3"/>
    </row>
    <row r="453" spans="2:101" ht="16">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c r="CK453" s="2"/>
      <c r="CL453" s="2"/>
      <c r="CM453" s="2"/>
      <c r="CN453" s="2"/>
      <c r="CO453" s="2"/>
      <c r="CP453" s="2"/>
      <c r="CQ453" s="2"/>
      <c r="CR453" s="3"/>
      <c r="CS453" s="3"/>
      <c r="CT453" s="3"/>
      <c r="CU453" s="3"/>
      <c r="CV453" s="3"/>
      <c r="CW453" s="3"/>
    </row>
    <row r="454" spans="2:101" ht="16">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c r="CK454" s="2"/>
      <c r="CL454" s="2"/>
      <c r="CM454" s="2"/>
      <c r="CN454" s="2"/>
      <c r="CO454" s="2"/>
      <c r="CP454" s="2"/>
      <c r="CQ454" s="2"/>
      <c r="CR454" s="3"/>
      <c r="CS454" s="3"/>
      <c r="CT454" s="3"/>
      <c r="CU454" s="3"/>
      <c r="CV454" s="3"/>
      <c r="CW454" s="3"/>
    </row>
    <row r="455" spans="2:101" ht="16">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c r="CK455" s="2"/>
      <c r="CL455" s="2"/>
      <c r="CM455" s="2"/>
      <c r="CN455" s="2"/>
      <c r="CO455" s="2"/>
      <c r="CP455" s="2"/>
      <c r="CQ455" s="2"/>
      <c r="CR455" s="3"/>
      <c r="CS455" s="3"/>
      <c r="CT455" s="3"/>
      <c r="CU455" s="3"/>
      <c r="CV455" s="3"/>
      <c r="CW455" s="3"/>
    </row>
    <row r="456" spans="2:101" ht="16">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c r="CK456" s="2"/>
      <c r="CL456" s="2"/>
      <c r="CM456" s="2"/>
      <c r="CN456" s="2"/>
      <c r="CO456" s="2"/>
      <c r="CP456" s="2"/>
      <c r="CQ456" s="2"/>
      <c r="CR456" s="3"/>
      <c r="CS456" s="3"/>
      <c r="CT456" s="3"/>
      <c r="CU456" s="3"/>
      <c r="CV456" s="3"/>
      <c r="CW456" s="3"/>
    </row>
    <row r="457" spans="2:101" ht="16">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c r="CK457" s="2"/>
      <c r="CL457" s="2"/>
      <c r="CM457" s="2"/>
      <c r="CN457" s="2"/>
      <c r="CO457" s="2"/>
      <c r="CP457" s="2"/>
      <c r="CQ457" s="2"/>
      <c r="CR457" s="3"/>
      <c r="CS457" s="3"/>
      <c r="CT457" s="3"/>
      <c r="CU457" s="3"/>
      <c r="CV457" s="3"/>
      <c r="CW457" s="3"/>
    </row>
    <row r="458" spans="2:101" ht="16">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c r="CK458" s="2"/>
      <c r="CL458" s="2"/>
      <c r="CM458" s="2"/>
      <c r="CN458" s="2"/>
      <c r="CO458" s="2"/>
      <c r="CP458" s="2"/>
      <c r="CQ458" s="2"/>
      <c r="CR458" s="3"/>
      <c r="CS458" s="3"/>
      <c r="CT458" s="3"/>
      <c r="CU458" s="3"/>
      <c r="CV458" s="3"/>
      <c r="CW458" s="3"/>
    </row>
    <row r="459" spans="2:101" ht="16">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c r="CK459" s="2"/>
      <c r="CL459" s="2"/>
      <c r="CM459" s="2"/>
      <c r="CN459" s="2"/>
      <c r="CO459" s="2"/>
      <c r="CP459" s="2"/>
      <c r="CQ459" s="2"/>
      <c r="CR459" s="3"/>
      <c r="CS459" s="3"/>
      <c r="CT459" s="3"/>
      <c r="CU459" s="3"/>
      <c r="CV459" s="3"/>
      <c r="CW459" s="3"/>
    </row>
    <row r="460" spans="2:101" ht="16">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c r="CK460" s="2"/>
      <c r="CL460" s="2"/>
      <c r="CM460" s="2"/>
      <c r="CN460" s="2"/>
      <c r="CO460" s="2"/>
      <c r="CP460" s="2"/>
      <c r="CQ460" s="2"/>
      <c r="CR460" s="3"/>
      <c r="CS460" s="3"/>
      <c r="CT460" s="3"/>
      <c r="CU460" s="3"/>
      <c r="CV460" s="3"/>
      <c r="CW460" s="3"/>
    </row>
    <row r="461" spans="2:101" ht="16">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c r="CK461" s="2"/>
      <c r="CL461" s="2"/>
      <c r="CM461" s="2"/>
      <c r="CN461" s="2"/>
      <c r="CO461" s="2"/>
      <c r="CP461" s="2"/>
      <c r="CQ461" s="2"/>
      <c r="CR461" s="3"/>
      <c r="CS461" s="3"/>
      <c r="CT461" s="3"/>
      <c r="CU461" s="3"/>
      <c r="CV461" s="3"/>
      <c r="CW461" s="3"/>
    </row>
    <row r="462" spans="2:101" ht="16">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c r="CK462" s="2"/>
      <c r="CL462" s="2"/>
      <c r="CM462" s="2"/>
      <c r="CN462" s="2"/>
      <c r="CO462" s="2"/>
      <c r="CP462" s="2"/>
      <c r="CQ462" s="2"/>
      <c r="CR462" s="3"/>
      <c r="CS462" s="3"/>
      <c r="CT462" s="3"/>
      <c r="CU462" s="3"/>
      <c r="CV462" s="3"/>
      <c r="CW462" s="3"/>
    </row>
    <row r="463" spans="2:101" ht="16">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c r="CK463" s="2"/>
      <c r="CL463" s="2"/>
      <c r="CM463" s="2"/>
      <c r="CN463" s="2"/>
      <c r="CO463" s="2"/>
      <c r="CP463" s="2"/>
      <c r="CQ463" s="2"/>
      <c r="CR463" s="3"/>
      <c r="CS463" s="3"/>
      <c r="CT463" s="3"/>
      <c r="CU463" s="3"/>
      <c r="CV463" s="3"/>
      <c r="CW463" s="3"/>
    </row>
    <row r="464" spans="2:101" ht="16">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c r="CK464" s="2"/>
      <c r="CL464" s="2"/>
      <c r="CM464" s="2"/>
      <c r="CN464" s="2"/>
      <c r="CO464" s="2"/>
      <c r="CP464" s="2"/>
      <c r="CQ464" s="2"/>
      <c r="CR464" s="3"/>
      <c r="CS464" s="3"/>
      <c r="CT464" s="3"/>
      <c r="CU464" s="3"/>
      <c r="CV464" s="3"/>
      <c r="CW464" s="3"/>
    </row>
    <row r="465" spans="2:101" ht="16">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c r="CK465" s="2"/>
      <c r="CL465" s="2"/>
      <c r="CM465" s="2"/>
      <c r="CN465" s="2"/>
      <c r="CO465" s="2"/>
      <c r="CP465" s="2"/>
      <c r="CQ465" s="2"/>
      <c r="CR465" s="3"/>
      <c r="CS465" s="3"/>
      <c r="CT465" s="3"/>
      <c r="CU465" s="3"/>
      <c r="CV465" s="3"/>
      <c r="CW465" s="3"/>
    </row>
    <row r="466" spans="2:101" ht="16">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c r="CK466" s="2"/>
      <c r="CL466" s="2"/>
      <c r="CM466" s="2"/>
      <c r="CN466" s="2"/>
      <c r="CO466" s="2"/>
      <c r="CP466" s="2"/>
      <c r="CQ466" s="2"/>
      <c r="CR466" s="3"/>
      <c r="CS466" s="3"/>
      <c r="CT466" s="3"/>
      <c r="CU466" s="3"/>
      <c r="CV466" s="3"/>
      <c r="CW466" s="3"/>
    </row>
    <row r="467" spans="2:101" ht="16">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c r="CK467" s="2"/>
      <c r="CL467" s="2"/>
      <c r="CM467" s="2"/>
      <c r="CN467" s="2"/>
      <c r="CO467" s="2"/>
      <c r="CP467" s="2"/>
      <c r="CQ467" s="2"/>
      <c r="CR467" s="3"/>
      <c r="CS467" s="3"/>
      <c r="CT467" s="3"/>
      <c r="CU467" s="3"/>
      <c r="CV467" s="3"/>
      <c r="CW467" s="3"/>
    </row>
    <row r="468" spans="2:101" ht="16">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c r="CK468" s="2"/>
      <c r="CL468" s="2"/>
      <c r="CM468" s="2"/>
      <c r="CN468" s="2"/>
      <c r="CO468" s="2"/>
      <c r="CP468" s="2"/>
      <c r="CQ468" s="2"/>
      <c r="CR468" s="3"/>
      <c r="CS468" s="3"/>
      <c r="CT468" s="3"/>
      <c r="CU468" s="3"/>
      <c r="CV468" s="3"/>
      <c r="CW468" s="3"/>
    </row>
    <row r="469" spans="2:101" ht="16">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c r="CK469" s="2"/>
      <c r="CL469" s="2"/>
      <c r="CM469" s="2"/>
      <c r="CN469" s="2"/>
      <c r="CO469" s="2"/>
      <c r="CP469" s="2"/>
      <c r="CQ469" s="2"/>
      <c r="CR469" s="3"/>
      <c r="CS469" s="3"/>
      <c r="CT469" s="3"/>
      <c r="CU469" s="3"/>
      <c r="CV469" s="3"/>
      <c r="CW469" s="3"/>
    </row>
    <row r="470" spans="2:101" ht="16">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c r="CK470" s="2"/>
      <c r="CL470" s="2"/>
      <c r="CM470" s="2"/>
      <c r="CN470" s="2"/>
      <c r="CO470" s="2"/>
      <c r="CP470" s="2"/>
      <c r="CQ470" s="2"/>
      <c r="CR470" s="3"/>
      <c r="CS470" s="3"/>
      <c r="CT470" s="3"/>
      <c r="CU470" s="3"/>
      <c r="CV470" s="3"/>
      <c r="CW470" s="3"/>
    </row>
    <row r="471" spans="2:101" ht="16">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c r="CK471" s="2"/>
      <c r="CL471" s="2"/>
      <c r="CM471" s="2"/>
      <c r="CN471" s="2"/>
      <c r="CO471" s="2"/>
      <c r="CP471" s="2"/>
      <c r="CQ471" s="2"/>
      <c r="CR471" s="3"/>
      <c r="CS471" s="3"/>
      <c r="CT471" s="3"/>
      <c r="CU471" s="3"/>
      <c r="CV471" s="3"/>
      <c r="CW471" s="3"/>
    </row>
    <row r="472" spans="2:101" ht="16">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c r="CK472" s="2"/>
      <c r="CL472" s="2"/>
      <c r="CM472" s="2"/>
      <c r="CN472" s="2"/>
      <c r="CO472" s="2"/>
      <c r="CP472" s="2"/>
      <c r="CQ472" s="2"/>
      <c r="CR472" s="3"/>
      <c r="CS472" s="3"/>
      <c r="CT472" s="3"/>
      <c r="CU472" s="3"/>
      <c r="CV472" s="3"/>
      <c r="CW472" s="3"/>
    </row>
    <row r="473" spans="2:101" ht="16">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c r="CK473" s="2"/>
      <c r="CL473" s="2"/>
      <c r="CM473" s="2"/>
      <c r="CN473" s="2"/>
      <c r="CO473" s="2"/>
      <c r="CP473" s="2"/>
      <c r="CQ473" s="2"/>
      <c r="CR473" s="3"/>
      <c r="CS473" s="3"/>
      <c r="CT473" s="3"/>
      <c r="CU473" s="3"/>
      <c r="CV473" s="3"/>
      <c r="CW473" s="3"/>
    </row>
    <row r="474" spans="2:101" ht="16">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c r="CK474" s="2"/>
      <c r="CL474" s="2"/>
      <c r="CM474" s="2"/>
      <c r="CN474" s="2"/>
      <c r="CO474" s="2"/>
      <c r="CP474" s="2"/>
      <c r="CQ474" s="2"/>
      <c r="CR474" s="3"/>
      <c r="CS474" s="3"/>
      <c r="CT474" s="3"/>
      <c r="CU474" s="3"/>
      <c r="CV474" s="3"/>
      <c r="CW474" s="3"/>
    </row>
    <row r="475" spans="2:101" ht="16">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c r="CK475" s="2"/>
      <c r="CL475" s="2"/>
      <c r="CM475" s="2"/>
      <c r="CN475" s="2"/>
      <c r="CO475" s="2"/>
      <c r="CP475" s="2"/>
      <c r="CQ475" s="2"/>
      <c r="CR475" s="3"/>
      <c r="CS475" s="3"/>
      <c r="CT475" s="3"/>
      <c r="CU475" s="3"/>
      <c r="CV475" s="3"/>
      <c r="CW475" s="3"/>
    </row>
    <row r="476" spans="2:101" ht="16">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c r="CK476" s="2"/>
      <c r="CL476" s="2"/>
      <c r="CM476" s="2"/>
      <c r="CN476" s="2"/>
      <c r="CO476" s="2"/>
      <c r="CP476" s="2"/>
      <c r="CQ476" s="2"/>
      <c r="CR476" s="3"/>
      <c r="CS476" s="3"/>
      <c r="CT476" s="3"/>
      <c r="CU476" s="3"/>
      <c r="CV476" s="3"/>
      <c r="CW476" s="3"/>
    </row>
    <row r="477" spans="2:101" ht="16">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c r="CK477" s="2"/>
      <c r="CL477" s="2"/>
      <c r="CM477" s="2"/>
      <c r="CN477" s="2"/>
      <c r="CO477" s="2"/>
      <c r="CP477" s="2"/>
      <c r="CQ477" s="2"/>
      <c r="CR477" s="3"/>
      <c r="CS477" s="3"/>
      <c r="CT477" s="3"/>
      <c r="CU477" s="3"/>
      <c r="CV477" s="3"/>
      <c r="CW477" s="3"/>
    </row>
    <row r="478" spans="2:101" ht="16">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c r="CK478" s="2"/>
      <c r="CL478" s="2"/>
      <c r="CM478" s="2"/>
      <c r="CN478" s="2"/>
      <c r="CO478" s="2"/>
      <c r="CP478" s="2"/>
      <c r="CQ478" s="2"/>
      <c r="CR478" s="3"/>
      <c r="CS478" s="3"/>
      <c r="CT478" s="3"/>
      <c r="CU478" s="3"/>
      <c r="CV478" s="3"/>
      <c r="CW478" s="3"/>
    </row>
    <row r="479" spans="2:101" ht="16">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c r="CK479" s="2"/>
      <c r="CL479" s="2"/>
      <c r="CM479" s="2"/>
      <c r="CN479" s="2"/>
      <c r="CO479" s="2"/>
      <c r="CP479" s="2"/>
      <c r="CQ479" s="2"/>
      <c r="CR479" s="3"/>
      <c r="CS479" s="3"/>
      <c r="CT479" s="3"/>
      <c r="CU479" s="3"/>
      <c r="CV479" s="3"/>
      <c r="CW479" s="3"/>
    </row>
    <row r="480" spans="2:101" ht="16">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c r="CK480" s="2"/>
      <c r="CL480" s="2"/>
      <c r="CM480" s="2"/>
      <c r="CN480" s="2"/>
      <c r="CO480" s="2"/>
      <c r="CP480" s="2"/>
      <c r="CQ480" s="2"/>
      <c r="CR480" s="3"/>
      <c r="CS480" s="3"/>
      <c r="CT480" s="3"/>
      <c r="CU480" s="3"/>
      <c r="CV480" s="3"/>
      <c r="CW480" s="3"/>
    </row>
    <row r="481" spans="2:101" ht="16">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c r="CK481" s="2"/>
      <c r="CL481" s="2"/>
      <c r="CM481" s="2"/>
      <c r="CN481" s="2"/>
      <c r="CO481" s="2"/>
      <c r="CP481" s="2"/>
      <c r="CQ481" s="2"/>
      <c r="CR481" s="3"/>
      <c r="CS481" s="3"/>
      <c r="CT481" s="3"/>
      <c r="CU481" s="3"/>
      <c r="CV481" s="3"/>
      <c r="CW481" s="3"/>
    </row>
    <row r="482" spans="2:101" ht="16">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c r="CK482" s="2"/>
      <c r="CL482" s="2"/>
      <c r="CM482" s="2"/>
      <c r="CN482" s="2"/>
      <c r="CO482" s="2"/>
      <c r="CP482" s="2"/>
      <c r="CQ482" s="2"/>
      <c r="CR482" s="3"/>
      <c r="CS482" s="3"/>
      <c r="CT482" s="3"/>
      <c r="CU482" s="3"/>
      <c r="CV482" s="3"/>
      <c r="CW482" s="3"/>
    </row>
    <row r="483" spans="2:101" ht="16">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c r="CK483" s="2"/>
      <c r="CL483" s="2"/>
      <c r="CM483" s="2"/>
      <c r="CN483" s="2"/>
      <c r="CO483" s="2"/>
      <c r="CP483" s="2"/>
      <c r="CQ483" s="2"/>
      <c r="CR483" s="3"/>
      <c r="CS483" s="3"/>
      <c r="CT483" s="3"/>
      <c r="CU483" s="3"/>
      <c r="CV483" s="3"/>
      <c r="CW483" s="3"/>
    </row>
    <row r="484" spans="2:101" ht="16">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c r="CK484" s="2"/>
      <c r="CL484" s="2"/>
      <c r="CM484" s="2"/>
      <c r="CN484" s="2"/>
      <c r="CO484" s="2"/>
      <c r="CP484" s="2"/>
      <c r="CQ484" s="2"/>
      <c r="CR484" s="3"/>
      <c r="CS484" s="3"/>
      <c r="CT484" s="3"/>
      <c r="CU484" s="3"/>
      <c r="CV484" s="3"/>
      <c r="CW484" s="3"/>
    </row>
    <row r="485" spans="2:101" ht="16">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c r="CK485" s="2"/>
      <c r="CL485" s="2"/>
      <c r="CM485" s="2"/>
      <c r="CN485" s="2"/>
      <c r="CO485" s="2"/>
      <c r="CP485" s="2"/>
      <c r="CQ485" s="2"/>
      <c r="CR485" s="3"/>
      <c r="CS485" s="3"/>
      <c r="CT485" s="3"/>
      <c r="CU485" s="3"/>
      <c r="CV485" s="3"/>
      <c r="CW485" s="3"/>
    </row>
    <row r="486" spans="2:101" ht="16">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c r="CK486" s="2"/>
      <c r="CL486" s="2"/>
      <c r="CM486" s="2"/>
      <c r="CN486" s="2"/>
      <c r="CO486" s="2"/>
      <c r="CP486" s="2"/>
      <c r="CQ486" s="2"/>
      <c r="CR486" s="3"/>
      <c r="CS486" s="3"/>
      <c r="CT486" s="3"/>
      <c r="CU486" s="3"/>
      <c r="CV486" s="3"/>
      <c r="CW486" s="3"/>
    </row>
    <row r="487" spans="2:101" ht="16">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c r="CK487" s="2"/>
      <c r="CL487" s="2"/>
      <c r="CM487" s="2"/>
      <c r="CN487" s="2"/>
      <c r="CO487" s="2"/>
      <c r="CP487" s="2"/>
      <c r="CQ487" s="2"/>
      <c r="CR487" s="3"/>
      <c r="CS487" s="3"/>
      <c r="CT487" s="3"/>
      <c r="CU487" s="3"/>
      <c r="CV487" s="3"/>
      <c r="CW487" s="3"/>
    </row>
    <row r="488" spans="2:101" ht="16">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c r="CK488" s="2"/>
      <c r="CL488" s="2"/>
      <c r="CM488" s="2"/>
      <c r="CN488" s="2"/>
      <c r="CO488" s="2"/>
      <c r="CP488" s="2"/>
      <c r="CQ488" s="2"/>
      <c r="CR488" s="3"/>
      <c r="CS488" s="3"/>
      <c r="CT488" s="3"/>
      <c r="CU488" s="3"/>
      <c r="CV488" s="3"/>
      <c r="CW488" s="3"/>
    </row>
    <row r="489" spans="2:101" ht="16">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c r="CK489" s="2"/>
      <c r="CL489" s="2"/>
      <c r="CM489" s="2"/>
      <c r="CN489" s="2"/>
      <c r="CO489" s="2"/>
      <c r="CP489" s="2"/>
      <c r="CQ489" s="2"/>
      <c r="CR489" s="3"/>
      <c r="CS489" s="3"/>
      <c r="CT489" s="3"/>
      <c r="CU489" s="3"/>
      <c r="CV489" s="3"/>
      <c r="CW489" s="3"/>
    </row>
    <row r="490" spans="2:101" ht="16">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c r="CK490" s="2"/>
      <c r="CL490" s="2"/>
      <c r="CM490" s="2"/>
      <c r="CN490" s="2"/>
      <c r="CO490" s="2"/>
      <c r="CP490" s="2"/>
      <c r="CQ490" s="2"/>
      <c r="CR490" s="3"/>
      <c r="CS490" s="3"/>
      <c r="CT490" s="3"/>
      <c r="CU490" s="3"/>
      <c r="CV490" s="3"/>
      <c r="CW490" s="3"/>
    </row>
    <row r="491" spans="2:101" ht="16">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c r="CK491" s="2"/>
      <c r="CL491" s="2"/>
      <c r="CM491" s="2"/>
      <c r="CN491" s="2"/>
      <c r="CO491" s="2"/>
      <c r="CP491" s="2"/>
      <c r="CQ491" s="2"/>
      <c r="CR491" s="3"/>
      <c r="CS491" s="3"/>
      <c r="CT491" s="3"/>
      <c r="CU491" s="3"/>
      <c r="CV491" s="3"/>
      <c r="CW491" s="3"/>
    </row>
    <row r="492" spans="2:101" ht="16">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c r="CK492" s="2"/>
      <c r="CL492" s="2"/>
      <c r="CM492" s="2"/>
      <c r="CN492" s="2"/>
      <c r="CO492" s="2"/>
      <c r="CP492" s="2"/>
      <c r="CQ492" s="2"/>
      <c r="CR492" s="3"/>
      <c r="CS492" s="3"/>
      <c r="CT492" s="3"/>
      <c r="CU492" s="3"/>
      <c r="CV492" s="3"/>
      <c r="CW492" s="3"/>
    </row>
    <row r="493" spans="2:101" ht="16">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c r="CK493" s="2"/>
      <c r="CL493" s="2"/>
      <c r="CM493" s="2"/>
      <c r="CN493" s="2"/>
      <c r="CO493" s="2"/>
      <c r="CP493" s="2"/>
      <c r="CQ493" s="2"/>
      <c r="CR493" s="3"/>
      <c r="CS493" s="3"/>
      <c r="CT493" s="3"/>
      <c r="CU493" s="3"/>
      <c r="CV493" s="3"/>
      <c r="CW493" s="3"/>
    </row>
    <row r="494" spans="2:101" ht="16">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c r="CK494" s="2"/>
      <c r="CL494" s="2"/>
      <c r="CM494" s="2"/>
      <c r="CN494" s="2"/>
      <c r="CO494" s="2"/>
      <c r="CP494" s="2"/>
      <c r="CQ494" s="2"/>
      <c r="CR494" s="3"/>
      <c r="CS494" s="3"/>
      <c r="CT494" s="3"/>
      <c r="CU494" s="3"/>
      <c r="CV494" s="3"/>
      <c r="CW494" s="3"/>
    </row>
    <row r="495" spans="2:101" ht="16">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c r="CK495" s="2"/>
      <c r="CL495" s="2"/>
      <c r="CM495" s="2"/>
      <c r="CN495" s="2"/>
      <c r="CO495" s="2"/>
      <c r="CP495" s="2"/>
      <c r="CQ495" s="2"/>
      <c r="CR495" s="3"/>
      <c r="CS495" s="3"/>
      <c r="CT495" s="3"/>
      <c r="CU495" s="3"/>
      <c r="CV495" s="3"/>
      <c r="CW495" s="3"/>
    </row>
    <row r="496" spans="2:101" ht="16">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c r="CK496" s="2"/>
      <c r="CL496" s="2"/>
      <c r="CM496" s="2"/>
      <c r="CN496" s="2"/>
      <c r="CO496" s="2"/>
      <c r="CP496" s="2"/>
      <c r="CQ496" s="2"/>
      <c r="CR496" s="3"/>
      <c r="CS496" s="3"/>
      <c r="CT496" s="3"/>
      <c r="CU496" s="3"/>
      <c r="CV496" s="3"/>
      <c r="CW496" s="3"/>
    </row>
    <row r="497" spans="2:101" ht="16">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c r="CK497" s="2"/>
      <c r="CL497" s="2"/>
      <c r="CM497" s="2"/>
      <c r="CN497" s="2"/>
      <c r="CO497" s="2"/>
      <c r="CP497" s="2"/>
      <c r="CQ497" s="2"/>
      <c r="CR497" s="3"/>
      <c r="CS497" s="3"/>
      <c r="CT497" s="3"/>
      <c r="CU497" s="3"/>
      <c r="CV497" s="3"/>
      <c r="CW497" s="3"/>
    </row>
    <row r="498" spans="2:101" ht="16">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c r="CK498" s="2"/>
      <c r="CL498" s="2"/>
      <c r="CM498" s="2"/>
      <c r="CN498" s="2"/>
      <c r="CO498" s="2"/>
      <c r="CP498" s="2"/>
      <c r="CQ498" s="2"/>
      <c r="CR498" s="3"/>
      <c r="CS498" s="3"/>
      <c r="CT498" s="3"/>
      <c r="CU498" s="3"/>
      <c r="CV498" s="3"/>
      <c r="CW498" s="3"/>
    </row>
    <row r="499" spans="2:101" ht="16">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c r="CK499" s="2"/>
      <c r="CL499" s="2"/>
      <c r="CM499" s="2"/>
      <c r="CN499" s="2"/>
      <c r="CO499" s="2"/>
      <c r="CP499" s="2"/>
      <c r="CQ499" s="2"/>
      <c r="CR499" s="3"/>
      <c r="CS499" s="3"/>
      <c r="CT499" s="3"/>
      <c r="CU499" s="3"/>
      <c r="CV499" s="3"/>
      <c r="CW499" s="3"/>
    </row>
    <row r="500" spans="2:101" ht="16">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c r="CK500" s="2"/>
      <c r="CL500" s="2"/>
      <c r="CM500" s="2"/>
      <c r="CN500" s="2"/>
      <c r="CO500" s="2"/>
      <c r="CP500" s="2"/>
      <c r="CQ500" s="2"/>
      <c r="CR500" s="3"/>
      <c r="CS500" s="3"/>
      <c r="CT500" s="3"/>
      <c r="CU500" s="3"/>
      <c r="CV500" s="3"/>
      <c r="CW500" s="3"/>
    </row>
    <row r="501" spans="2:101" ht="16">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c r="CK501" s="2"/>
      <c r="CL501" s="2"/>
      <c r="CM501" s="2"/>
      <c r="CN501" s="2"/>
      <c r="CO501" s="2"/>
      <c r="CP501" s="2"/>
      <c r="CQ501" s="2"/>
      <c r="CR501" s="3"/>
      <c r="CS501" s="3"/>
      <c r="CT501" s="3"/>
      <c r="CU501" s="3"/>
      <c r="CV501" s="3"/>
      <c r="CW501" s="3"/>
    </row>
    <row r="502" spans="2:101" ht="16">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c r="CK502" s="2"/>
      <c r="CL502" s="2"/>
      <c r="CM502" s="2"/>
      <c r="CN502" s="2"/>
      <c r="CO502" s="2"/>
      <c r="CP502" s="2"/>
      <c r="CQ502" s="2"/>
      <c r="CR502" s="3"/>
      <c r="CS502" s="3"/>
      <c r="CT502" s="3"/>
      <c r="CU502" s="3"/>
      <c r="CV502" s="3"/>
      <c r="CW502" s="3"/>
    </row>
    <row r="503" spans="2:101" ht="16">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c r="CK503" s="2"/>
      <c r="CL503" s="2"/>
      <c r="CM503" s="2"/>
      <c r="CN503" s="2"/>
      <c r="CO503" s="2"/>
      <c r="CP503" s="2"/>
      <c r="CQ503" s="2"/>
      <c r="CR503" s="3"/>
      <c r="CS503" s="3"/>
      <c r="CT503" s="3"/>
      <c r="CU503" s="3"/>
      <c r="CV503" s="3"/>
      <c r="CW503" s="3"/>
    </row>
    <row r="504" spans="2:101" ht="16">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c r="CK504" s="2"/>
      <c r="CL504" s="2"/>
      <c r="CM504" s="2"/>
      <c r="CN504" s="2"/>
      <c r="CO504" s="2"/>
      <c r="CP504" s="2"/>
      <c r="CQ504" s="2"/>
      <c r="CR504" s="3"/>
      <c r="CS504" s="3"/>
      <c r="CT504" s="3"/>
      <c r="CU504" s="3"/>
      <c r="CV504" s="3"/>
      <c r="CW504" s="3"/>
    </row>
    <row r="505" spans="2:101" ht="16">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c r="CK505" s="2"/>
      <c r="CL505" s="2"/>
      <c r="CM505" s="2"/>
      <c r="CN505" s="2"/>
      <c r="CO505" s="2"/>
      <c r="CP505" s="2"/>
      <c r="CQ505" s="2"/>
      <c r="CR505" s="3"/>
      <c r="CS505" s="3"/>
      <c r="CT505" s="3"/>
      <c r="CU505" s="3"/>
      <c r="CV505" s="3"/>
      <c r="CW505" s="3"/>
    </row>
    <row r="506" spans="2:101" ht="16">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c r="CK506" s="2"/>
      <c r="CL506" s="2"/>
      <c r="CM506" s="2"/>
      <c r="CN506" s="2"/>
      <c r="CO506" s="2"/>
      <c r="CP506" s="2"/>
      <c r="CQ506" s="2"/>
      <c r="CR506" s="3"/>
      <c r="CS506" s="3"/>
      <c r="CT506" s="3"/>
      <c r="CU506" s="3"/>
      <c r="CV506" s="3"/>
      <c r="CW506" s="3"/>
    </row>
    <row r="507" spans="2:101" ht="16">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c r="CK507" s="2"/>
      <c r="CL507" s="2"/>
      <c r="CM507" s="2"/>
      <c r="CN507" s="2"/>
      <c r="CO507" s="2"/>
      <c r="CP507" s="2"/>
      <c r="CQ507" s="2"/>
      <c r="CR507" s="3"/>
      <c r="CS507" s="3"/>
      <c r="CT507" s="3"/>
      <c r="CU507" s="3"/>
      <c r="CV507" s="3"/>
      <c r="CW507" s="3"/>
    </row>
    <row r="508" spans="2:101" ht="16">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c r="CK508" s="2"/>
      <c r="CL508" s="2"/>
      <c r="CM508" s="2"/>
      <c r="CN508" s="2"/>
      <c r="CO508" s="2"/>
      <c r="CP508" s="2"/>
      <c r="CQ508" s="2"/>
      <c r="CR508" s="3"/>
      <c r="CS508" s="3"/>
      <c r="CT508" s="3"/>
      <c r="CU508" s="3"/>
      <c r="CV508" s="3"/>
      <c r="CW508" s="3"/>
    </row>
    <row r="509" spans="2:101" ht="16">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c r="CK509" s="2"/>
      <c r="CL509" s="2"/>
      <c r="CM509" s="2"/>
      <c r="CN509" s="2"/>
      <c r="CO509" s="2"/>
      <c r="CP509" s="2"/>
      <c r="CQ509" s="2"/>
      <c r="CR509" s="3"/>
      <c r="CS509" s="3"/>
      <c r="CT509" s="3"/>
      <c r="CU509" s="3"/>
      <c r="CV509" s="3"/>
      <c r="CW509" s="3"/>
    </row>
    <row r="510" spans="2:101" ht="16">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c r="CK510" s="2"/>
      <c r="CL510" s="2"/>
      <c r="CM510" s="2"/>
      <c r="CN510" s="2"/>
      <c r="CO510" s="2"/>
      <c r="CP510" s="2"/>
      <c r="CQ510" s="2"/>
      <c r="CR510" s="3"/>
      <c r="CS510" s="3"/>
      <c r="CT510" s="3"/>
      <c r="CU510" s="3"/>
      <c r="CV510" s="3"/>
      <c r="CW510" s="3"/>
    </row>
    <row r="511" spans="2:101" ht="16">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c r="CK511" s="2"/>
      <c r="CL511" s="2"/>
      <c r="CM511" s="2"/>
      <c r="CN511" s="2"/>
      <c r="CO511" s="2"/>
      <c r="CP511" s="2"/>
      <c r="CQ511" s="2"/>
      <c r="CR511" s="3"/>
      <c r="CS511" s="3"/>
      <c r="CT511" s="3"/>
      <c r="CU511" s="3"/>
      <c r="CV511" s="3"/>
      <c r="CW511" s="3"/>
    </row>
    <row r="512" spans="2:101" ht="16">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c r="CK512" s="2"/>
      <c r="CL512" s="2"/>
      <c r="CM512" s="2"/>
      <c r="CN512" s="2"/>
      <c r="CO512" s="2"/>
      <c r="CP512" s="2"/>
      <c r="CQ512" s="2"/>
      <c r="CR512" s="3"/>
      <c r="CS512" s="3"/>
      <c r="CT512" s="3"/>
      <c r="CU512" s="3"/>
      <c r="CV512" s="3"/>
      <c r="CW512" s="3"/>
    </row>
    <row r="513" spans="2:101" ht="16">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c r="CK513" s="2"/>
      <c r="CL513" s="2"/>
      <c r="CM513" s="2"/>
      <c r="CN513" s="2"/>
      <c r="CO513" s="2"/>
      <c r="CP513" s="2"/>
      <c r="CQ513" s="2"/>
      <c r="CR513" s="3"/>
      <c r="CS513" s="3"/>
      <c r="CT513" s="3"/>
      <c r="CU513" s="3"/>
      <c r="CV513" s="3"/>
      <c r="CW513" s="3"/>
    </row>
    <row r="514" spans="2:101" ht="16">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c r="CK514" s="2"/>
      <c r="CL514" s="2"/>
      <c r="CM514" s="2"/>
      <c r="CN514" s="2"/>
      <c r="CO514" s="2"/>
      <c r="CP514" s="2"/>
      <c r="CQ514" s="2"/>
      <c r="CR514" s="3"/>
      <c r="CS514" s="3"/>
      <c r="CT514" s="3"/>
      <c r="CU514" s="3"/>
      <c r="CV514" s="3"/>
      <c r="CW514" s="3"/>
    </row>
    <row r="515" spans="2:101" ht="16">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c r="CK515" s="2"/>
      <c r="CL515" s="2"/>
      <c r="CM515" s="2"/>
      <c r="CN515" s="2"/>
      <c r="CO515" s="2"/>
      <c r="CP515" s="2"/>
      <c r="CQ515" s="2"/>
      <c r="CR515" s="3"/>
      <c r="CS515" s="3"/>
      <c r="CT515" s="3"/>
      <c r="CU515" s="3"/>
      <c r="CV515" s="3"/>
      <c r="CW515" s="3"/>
    </row>
    <row r="516" spans="2:101" ht="16">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c r="CK516" s="2"/>
      <c r="CL516" s="2"/>
      <c r="CM516" s="2"/>
      <c r="CN516" s="2"/>
      <c r="CO516" s="2"/>
      <c r="CP516" s="2"/>
      <c r="CQ516" s="2"/>
      <c r="CR516" s="3"/>
      <c r="CS516" s="3"/>
      <c r="CT516" s="3"/>
      <c r="CU516" s="3"/>
      <c r="CV516" s="3"/>
      <c r="CW516" s="3"/>
    </row>
    <row r="517" spans="2:101" ht="16">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c r="CK517" s="2"/>
      <c r="CL517" s="2"/>
      <c r="CM517" s="2"/>
      <c r="CN517" s="2"/>
      <c r="CO517" s="2"/>
      <c r="CP517" s="2"/>
      <c r="CQ517" s="2"/>
      <c r="CR517" s="3"/>
      <c r="CS517" s="3"/>
      <c r="CT517" s="3"/>
      <c r="CU517" s="3"/>
      <c r="CV517" s="3"/>
      <c r="CW517" s="3"/>
    </row>
    <row r="518" spans="2:101" ht="16">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c r="CK518" s="2"/>
      <c r="CL518" s="2"/>
      <c r="CM518" s="2"/>
      <c r="CN518" s="2"/>
      <c r="CO518" s="2"/>
      <c r="CP518" s="2"/>
      <c r="CQ518" s="2"/>
      <c r="CR518" s="3"/>
      <c r="CS518" s="3"/>
      <c r="CT518" s="3"/>
      <c r="CU518" s="3"/>
      <c r="CV518" s="3"/>
      <c r="CW518" s="3"/>
    </row>
    <row r="519" spans="2:101" ht="16">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c r="CK519" s="2"/>
      <c r="CL519" s="2"/>
      <c r="CM519" s="2"/>
      <c r="CN519" s="2"/>
      <c r="CO519" s="2"/>
      <c r="CP519" s="2"/>
      <c r="CQ519" s="2"/>
      <c r="CR519" s="3"/>
      <c r="CS519" s="3"/>
      <c r="CT519" s="3"/>
      <c r="CU519" s="3"/>
      <c r="CV519" s="3"/>
      <c r="CW519" s="3"/>
    </row>
    <row r="520" spans="2:101" ht="16">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c r="CK520" s="2"/>
      <c r="CL520" s="2"/>
      <c r="CM520" s="2"/>
      <c r="CN520" s="2"/>
      <c r="CO520" s="2"/>
      <c r="CP520" s="2"/>
      <c r="CQ520" s="2"/>
      <c r="CR520" s="3"/>
      <c r="CS520" s="3"/>
      <c r="CT520" s="3"/>
      <c r="CU520" s="3"/>
      <c r="CV520" s="3"/>
      <c r="CW520" s="3"/>
    </row>
    <row r="521" spans="2:101" ht="16">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c r="CK521" s="2"/>
      <c r="CL521" s="2"/>
      <c r="CM521" s="2"/>
      <c r="CN521" s="2"/>
      <c r="CO521" s="2"/>
      <c r="CP521" s="2"/>
      <c r="CQ521" s="2"/>
      <c r="CR521" s="3"/>
      <c r="CS521" s="3"/>
      <c r="CT521" s="3"/>
      <c r="CU521" s="3"/>
      <c r="CV521" s="3"/>
      <c r="CW521" s="3"/>
    </row>
    <row r="522" spans="2:101" ht="16">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c r="CK522" s="2"/>
      <c r="CL522" s="2"/>
      <c r="CM522" s="2"/>
      <c r="CN522" s="2"/>
      <c r="CO522" s="2"/>
      <c r="CP522" s="2"/>
      <c r="CQ522" s="2"/>
      <c r="CR522" s="3"/>
      <c r="CS522" s="3"/>
      <c r="CT522" s="3"/>
      <c r="CU522" s="3"/>
      <c r="CV522" s="3"/>
      <c r="CW522" s="3"/>
    </row>
    <row r="523" spans="2:101" ht="16">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c r="CK523" s="2"/>
      <c r="CL523" s="2"/>
      <c r="CM523" s="2"/>
      <c r="CN523" s="2"/>
      <c r="CO523" s="2"/>
      <c r="CP523" s="2"/>
      <c r="CQ523" s="2"/>
      <c r="CR523" s="3"/>
      <c r="CS523" s="3"/>
      <c r="CT523" s="3"/>
      <c r="CU523" s="3"/>
      <c r="CV523" s="3"/>
      <c r="CW523" s="3"/>
    </row>
  </sheetData>
  <mergeCells count="18">
    <mergeCell ref="A2:A3"/>
    <mergeCell ref="N2:N3"/>
    <mergeCell ref="CN2:CN3"/>
    <mergeCell ref="CO2:CO3"/>
    <mergeCell ref="CP2:CP3"/>
    <mergeCell ref="CQ2:CQ3"/>
    <mergeCell ref="M2:M3"/>
    <mergeCell ref="B2:B3"/>
    <mergeCell ref="C2:C3"/>
    <mergeCell ref="D2:D3"/>
    <mergeCell ref="E2:E3"/>
    <mergeCell ref="F2:F3"/>
    <mergeCell ref="G2:G3"/>
    <mergeCell ref="H2:H3"/>
    <mergeCell ref="I2:I3"/>
    <mergeCell ref="J2:J3"/>
    <mergeCell ref="K2:K3"/>
    <mergeCell ref="L2:L3"/>
  </mergeCells>
  <phoneticPr fontId="1" type="noConversion"/>
  <hyperlinks>
    <hyperlink ref="CP11" r:id="rId1" xr:uid="{00000000-0004-0000-0000-000000000000}"/>
    <hyperlink ref="CP9" r:id="rId2" xr:uid="{00000000-0004-0000-0000-000001000000}"/>
    <hyperlink ref="CP25" r:id="rId3" location="1" xr:uid="{00000000-0004-0000-0000-000002000000}"/>
    <hyperlink ref="CP21" r:id="rId4" xr:uid="{00000000-0004-0000-0000-000003000000}"/>
    <hyperlink ref="CP23" r:id="rId5" xr:uid="{00000000-0004-0000-0000-000004000000}"/>
    <hyperlink ref="CP6" r:id="rId6" xr:uid="{00000000-0004-0000-0000-000005000000}"/>
    <hyperlink ref="CP14" r:id="rId7" xr:uid="{00000000-0004-0000-0000-000006000000}"/>
    <hyperlink ref="CP18" r:id="rId8" location="page_scan_tab_contents" display="https://www.jstor.org/stable/43595383?read-now=1&amp;seq=1 - page_scan_tab_contents" xr:uid="{00000000-0004-0000-0000-000007000000}"/>
    <hyperlink ref="CP17" r:id="rId9" location="page_scan_tab_contents" display="https://www.jstor.org/stable/43595383?read-now=1&amp;seq=1 - page_scan_tab_contents" xr:uid="{00000000-0004-0000-0000-000008000000}"/>
    <hyperlink ref="CP20" r:id="rId10" location="page_scan_tab_contents" display="https://www.jstor.org/stable/43595383?read-now=1&amp;seq=1 - page_scan_tab_contents" xr:uid="{00000000-0004-0000-0000-000009000000}"/>
    <hyperlink ref="CP66" r:id="rId11" xr:uid="{00000000-0004-0000-0000-00000A000000}"/>
    <hyperlink ref="CP65" r:id="rId12" xr:uid="{00000000-0004-0000-0000-00000B000000}"/>
    <hyperlink ref="CP67" r:id="rId13" xr:uid="{00000000-0004-0000-0000-00000C000000}"/>
    <hyperlink ref="CP19" r:id="rId14" location="page_scan_tab_contents" display="https://www.jstor.org/stable/43595383?read-now=1&amp;seq=1 - page_scan_tab_contents" xr:uid="{00000000-0004-0000-0000-00000D000000}"/>
    <hyperlink ref="CP12" r:id="rId15" xr:uid="{00000000-0004-0000-0000-00000E000000}"/>
    <hyperlink ref="CP13" r:id="rId16" xr:uid="{00000000-0004-0000-0000-00000F000000}"/>
    <hyperlink ref="CP24" r:id="rId17" xr:uid="{00000000-0004-0000-0000-000010000000}"/>
    <hyperlink ref="CP22" r:id="rId18" xr:uid="{00000000-0004-0000-0000-000011000000}"/>
    <hyperlink ref="CP10" r:id="rId19" xr:uid="{00000000-0004-0000-0000-000012000000}"/>
    <hyperlink ref="CP8" r:id="rId20" xr:uid="{00000000-0004-0000-0000-000013000000}"/>
    <hyperlink ref="CP16" r:id="rId21" xr:uid="{00000000-0004-0000-0000-000014000000}"/>
    <hyperlink ref="CP30" r:id="rId22" xr:uid="{00000000-0004-0000-0000-000015000000}"/>
    <hyperlink ref="CP31" r:id="rId23" xr:uid="{00000000-0004-0000-0000-000016000000}"/>
    <hyperlink ref="CP15" r:id="rId24" xr:uid="{00000000-0004-0000-0000-000017000000}"/>
    <hyperlink ref="CP37" r:id="rId25" xr:uid="{00000000-0004-0000-0000-000018000000}"/>
    <hyperlink ref="CP58" r:id="rId26" xr:uid="{00000000-0004-0000-0000-000019000000}"/>
    <hyperlink ref="CP39" r:id="rId27" xr:uid="{00000000-0004-0000-0000-00001A000000}"/>
    <hyperlink ref="CP62" r:id="rId28" xr:uid="{00000000-0004-0000-0000-00001B000000}"/>
    <hyperlink ref="CP35" r:id="rId29" xr:uid="{00000000-0004-0000-0000-00001C000000}"/>
    <hyperlink ref="CP36" r:id="rId30" xr:uid="{00000000-0004-0000-0000-00001D000000}"/>
    <hyperlink ref="CP64" r:id="rId31" display="https://www.jstage.jst.go.jp/article/jjfe/57/1/57_KJ00009983906/_pdf/-char/ja" xr:uid="{00000000-0004-0000-0000-00001E000000}"/>
    <hyperlink ref="CP48" r:id="rId32" xr:uid="{00000000-0004-0000-0000-00001F000000}"/>
    <hyperlink ref="CP53" r:id="rId33" xr:uid="{00000000-0004-0000-0000-000020000000}"/>
    <hyperlink ref="CP56" r:id="rId34" xr:uid="{00000000-0004-0000-0000-000021000000}"/>
    <hyperlink ref="CP54" r:id="rId35" xr:uid="{00000000-0004-0000-0000-000022000000}"/>
    <hyperlink ref="CP49" r:id="rId36" xr:uid="{00000000-0004-0000-0000-000023000000}"/>
    <hyperlink ref="CP55" r:id="rId37" xr:uid="{00000000-0004-0000-0000-000024000000}"/>
    <hyperlink ref="CP57" r:id="rId38" xr:uid="{00000000-0004-0000-0000-000025000000}"/>
    <hyperlink ref="CP61" r:id="rId39" xr:uid="{00000000-0004-0000-0000-000026000000}"/>
    <hyperlink ref="CP60" r:id="rId40" xr:uid="{00000000-0004-0000-0000-000027000000}"/>
    <hyperlink ref="CP59" r:id="rId41" xr:uid="{00000000-0004-0000-0000-000028000000}"/>
    <hyperlink ref="CP47" r:id="rId42" xr:uid="{00000000-0004-0000-0000-000029000000}"/>
    <hyperlink ref="CP45" r:id="rId43" xr:uid="{00000000-0004-0000-0000-00002A000000}"/>
    <hyperlink ref="CP43" r:id="rId44" xr:uid="{00000000-0004-0000-0000-00002B000000}"/>
    <hyperlink ref="CP44" r:id="rId45" xr:uid="{00000000-0004-0000-0000-00002C000000}"/>
    <hyperlink ref="CP46" r:id="rId46" xr:uid="{00000000-0004-0000-0000-00002D000000}"/>
    <hyperlink ref="CP40" r:id="rId47" xr:uid="{00000000-0004-0000-0000-00002E000000}"/>
    <hyperlink ref="CP32" r:id="rId48" xr:uid="{00000000-0004-0000-0000-00002F000000}"/>
    <hyperlink ref="CP34" r:id="rId49" xr:uid="{00000000-0004-0000-0000-000030000000}"/>
    <hyperlink ref="CP33" r:id="rId50" xr:uid="{00000000-0004-0000-0000-000031000000}"/>
    <hyperlink ref="CP50" r:id="rId51" xr:uid="{00000000-0004-0000-0000-000032000000}"/>
    <hyperlink ref="CP41" r:id="rId52" xr:uid="{00000000-0004-0000-0000-000033000000}"/>
    <hyperlink ref="CP42" r:id="rId53" xr:uid="{00000000-0004-0000-0000-000034000000}"/>
    <hyperlink ref="CP70" r:id="rId54" xr:uid="{00000000-0004-0000-0000-000035000000}"/>
    <hyperlink ref="CP71" r:id="rId55" xr:uid="{00000000-0004-0000-0000-000036000000}"/>
    <hyperlink ref="CP69" r:id="rId56" xr:uid="{00000000-0004-0000-0000-000037000000}"/>
    <hyperlink ref="CP80" r:id="rId57" xr:uid="{00000000-0004-0000-0000-000038000000}"/>
    <hyperlink ref="CP75" r:id="rId58" xr:uid="{00000000-0004-0000-0000-000039000000}"/>
    <hyperlink ref="CP76" r:id="rId59" xr:uid="{00000000-0004-0000-0000-00003A000000}"/>
    <hyperlink ref="CP77" r:id="rId60" xr:uid="{00000000-0004-0000-0000-00003B000000}"/>
    <hyperlink ref="CP72" r:id="rId61" xr:uid="{00000000-0004-0000-0000-00003C000000}"/>
    <hyperlink ref="CP78" r:id="rId62" xr:uid="{00000000-0004-0000-0000-00003D000000}"/>
    <hyperlink ref="CP74" r:id="rId63" xr:uid="{00000000-0004-0000-0000-00003E000000}"/>
    <hyperlink ref="CP68" r:id="rId64" xr:uid="{00000000-0004-0000-0000-00003F000000}"/>
    <hyperlink ref="CP73" r:id="rId65" xr:uid="{00000000-0004-0000-0000-000040000000}"/>
    <hyperlink ref="CP84" r:id="rId66" xr:uid="{00000000-0004-0000-0000-000041000000}"/>
    <hyperlink ref="CP79" r:id="rId67" xr:uid="{00000000-0004-0000-0000-000042000000}"/>
    <hyperlink ref="CP26" r:id="rId68" xr:uid="{00000000-0004-0000-0000-000043000000}"/>
    <hyperlink ref="CP28" r:id="rId69" display="https://advances.sciencemag.org/content/6/12/eaaw5790" xr:uid="{00000000-0004-0000-0000-000044000000}"/>
    <hyperlink ref="CP29" r:id="rId70" display="https://advances.sciencemag.org/content/6/12/eaaw5790" xr:uid="{00000000-0004-0000-0000-000045000000}"/>
    <hyperlink ref="CP27" r:id="rId71" display="https://advances.sciencemag.org/content/6/12/eaaw5790" xr:uid="{00000000-0004-0000-0000-000046000000}"/>
    <hyperlink ref="CP81" r:id="rId72" xr:uid="{00000000-0004-0000-0000-000047000000}"/>
    <hyperlink ref="CP82" r:id="rId73" xr:uid="{00000000-0004-0000-0000-000048000000}"/>
    <hyperlink ref="CP83" r:id="rId74" xr:uid="{00000000-0004-0000-0000-000049000000}"/>
    <hyperlink ref="CP108" r:id="rId75" xr:uid="{00000000-0004-0000-0000-00004A000000}"/>
    <hyperlink ref="CP105" r:id="rId76" xr:uid="{00000000-0004-0000-0000-00004B000000}"/>
    <hyperlink ref="CP106" r:id="rId77" xr:uid="{00000000-0004-0000-0000-00004C000000}"/>
    <hyperlink ref="CP91" r:id="rId78" xr:uid="{00000000-0004-0000-0000-00004D000000}"/>
    <hyperlink ref="CP92" r:id="rId79" xr:uid="{00000000-0004-0000-0000-00004E000000}"/>
    <hyperlink ref="CP94" r:id="rId80" xr:uid="{00000000-0004-0000-0000-000050000000}"/>
    <hyperlink ref="CP107" r:id="rId81" xr:uid="{00000000-0004-0000-0000-000051000000}"/>
    <hyperlink ref="CP99" r:id="rId82" xr:uid="{00000000-0004-0000-0000-000052000000}"/>
    <hyperlink ref="CP100" r:id="rId83" xr:uid="{00000000-0004-0000-0000-000053000000}"/>
    <hyperlink ref="CP101" r:id="rId84" xr:uid="{00000000-0004-0000-0000-000054000000}"/>
    <hyperlink ref="CP95" r:id="rId85" xr:uid="{00000000-0004-0000-0000-000055000000}"/>
    <hyperlink ref="CP96" r:id="rId86" xr:uid="{00000000-0004-0000-0000-000056000000}"/>
    <hyperlink ref="CP97" r:id="rId87" xr:uid="{00000000-0004-0000-0000-000057000000}"/>
    <hyperlink ref="CP98" r:id="rId88" xr:uid="{00000000-0004-0000-0000-000058000000}"/>
    <hyperlink ref="CP90" r:id="rId89" xr:uid="{6D1211FA-6349-A542-B980-CFA3D3AF8626}"/>
    <hyperlink ref="CP89" r:id="rId90" xr:uid="{882E334B-9C70-EE46-B005-8F31A6F24C51}"/>
    <hyperlink ref="CP4" r:id="rId91" xr:uid="{931E3ADC-E42B-1242-A3A7-C6AF7A0E15A9}"/>
    <hyperlink ref="CP5" r:id="rId92" xr:uid="{2F4AFF9A-F75B-9543-9CCE-90FAFDC85044}"/>
    <hyperlink ref="CP93" r:id="rId93" xr:uid="{00000000-0004-0000-0000-00004F000000}"/>
    <hyperlink ref="CP85" r:id="rId94" xr:uid="{4C7E3A22-A176-6A45-B285-E5A4244A51EF}"/>
    <hyperlink ref="CP86" r:id="rId95" xr:uid="{4F0B00B3-B606-FB40-B9DB-8721FB725682}"/>
    <hyperlink ref="CP87" r:id="rId96" xr:uid="{3E74E469-C14E-0345-962D-A6CA0D34DE8F}"/>
    <hyperlink ref="CP88" r:id="rId97" xr:uid="{8DE95B56-7180-D24E-B981-973D4EA88F37}"/>
  </hyperlinks>
  <pageMargins left="0.7" right="0.7" top="0.75" bottom="0.75" header="0.3" footer="0.3"/>
  <pageSetup paperSize="9" scale="10" orientation="portrait" r:id="rId98"/>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Table S1</vt:lpstr>
      <vt:lpstr>'Table S1'!Print_Area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Shitephen シティフン</dc:creator>
  <cp:lastModifiedBy>Shitephen Wang</cp:lastModifiedBy>
  <dcterms:created xsi:type="dcterms:W3CDTF">2020-11-11T07:42:53Z</dcterms:created>
  <dcterms:modified xsi:type="dcterms:W3CDTF">2021-09-01T11:08:05Z</dcterms:modified>
</cp:coreProperties>
</file>