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mitted jurnal articles\學論重寫 (preparing)\"/>
    </mc:Choice>
  </mc:AlternateContent>
  <bookViews>
    <workbookView xWindow="0" yWindow="0" windowWidth="15540" windowHeight="5835"/>
  </bookViews>
  <sheets>
    <sheet name="Rawdata (Table S1)" sheetId="1" r:id="rId1"/>
    <sheet name="Correlation matrix (Table S2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06" i="1" l="1"/>
  <c r="BH106" i="1"/>
  <c r="BG106" i="1"/>
  <c r="BF106" i="1"/>
  <c r="BE106" i="1"/>
  <c r="BD106" i="1"/>
  <c r="BC106" i="1"/>
  <c r="BI105" i="1"/>
  <c r="BH105" i="1"/>
  <c r="BG105" i="1"/>
  <c r="BF105" i="1"/>
  <c r="BE105" i="1"/>
  <c r="BD105" i="1"/>
  <c r="BC105" i="1"/>
  <c r="BI104" i="1"/>
  <c r="BH104" i="1"/>
  <c r="BG104" i="1"/>
  <c r="BF104" i="1"/>
  <c r="BE104" i="1"/>
  <c r="BD104" i="1"/>
  <c r="BC104" i="1"/>
  <c r="BI102" i="1"/>
  <c r="BH102" i="1"/>
  <c r="BG102" i="1"/>
  <c r="BF102" i="1"/>
  <c r="BE102" i="1"/>
  <c r="BD102" i="1"/>
  <c r="BC102" i="1"/>
  <c r="BI101" i="1"/>
  <c r="BH101" i="1"/>
  <c r="BG101" i="1"/>
  <c r="BF101" i="1"/>
  <c r="BE101" i="1"/>
  <c r="BD101" i="1"/>
  <c r="BC101" i="1"/>
  <c r="BI100" i="1"/>
  <c r="BH100" i="1"/>
  <c r="BG100" i="1"/>
  <c r="BF100" i="1"/>
  <c r="BE100" i="1"/>
  <c r="BD100" i="1"/>
  <c r="BC100" i="1"/>
  <c r="U93" i="1"/>
  <c r="U92" i="1"/>
  <c r="T92" i="1"/>
  <c r="T93" i="1" s="1"/>
  <c r="BV91" i="1"/>
  <c r="BI91" i="1"/>
  <c r="BH91" i="1"/>
  <c r="BG91" i="1"/>
  <c r="BF91" i="1"/>
  <c r="BE91" i="1"/>
  <c r="BD91" i="1"/>
  <c r="BC91" i="1"/>
  <c r="U91" i="1"/>
  <c r="U90" i="1" s="1"/>
  <c r="T91" i="1"/>
  <c r="BV90" i="1"/>
  <c r="BI90" i="1"/>
  <c r="BH90" i="1"/>
  <c r="BG90" i="1"/>
  <c r="BF90" i="1"/>
  <c r="BE90" i="1"/>
  <c r="BD90" i="1"/>
  <c r="BC90" i="1"/>
  <c r="T90" i="1"/>
  <c r="BV89" i="1"/>
  <c r="BI89" i="1"/>
  <c r="BH89" i="1"/>
  <c r="BG89" i="1"/>
  <c r="BF89" i="1"/>
  <c r="BE89" i="1"/>
  <c r="BD89" i="1"/>
  <c r="BC89" i="1"/>
  <c r="BX87" i="1"/>
  <c r="BX88" i="1" s="1"/>
  <c r="BV87" i="1"/>
  <c r="BV88" i="1" s="1"/>
  <c r="BI87" i="1"/>
  <c r="BI88" i="1" s="1"/>
  <c r="BH87" i="1"/>
  <c r="BH88" i="1" s="1"/>
  <c r="BG87" i="1"/>
  <c r="BG88" i="1" s="1"/>
  <c r="BF87" i="1"/>
  <c r="BF88" i="1" s="1"/>
  <c r="BE87" i="1"/>
  <c r="BE88" i="1" s="1"/>
  <c r="BD87" i="1"/>
  <c r="BD88" i="1" s="1"/>
  <c r="BC87" i="1"/>
  <c r="BC88" i="1" s="1"/>
  <c r="BB87" i="1"/>
  <c r="BB88" i="1" s="1"/>
  <c r="BA87" i="1"/>
  <c r="BA88" i="1" s="1"/>
  <c r="AZ87" i="1"/>
  <c r="AZ88" i="1" s="1"/>
  <c r="AR87" i="1"/>
  <c r="AR88" i="1" s="1"/>
  <c r="AQ87" i="1"/>
  <c r="AQ88" i="1" s="1"/>
  <c r="AO87" i="1"/>
  <c r="AO88" i="1" s="1"/>
  <c r="AN87" i="1"/>
  <c r="AN88" i="1" s="1"/>
  <c r="AM87" i="1"/>
  <c r="AM88" i="1" s="1"/>
  <c r="AL87" i="1"/>
  <c r="AL88" i="1" s="1"/>
  <c r="AK87" i="1"/>
  <c r="AK88" i="1" s="1"/>
  <c r="AA87" i="1"/>
  <c r="AA88" i="1" s="1"/>
  <c r="Z87" i="1"/>
  <c r="Z88" i="1" s="1"/>
  <c r="V87" i="1"/>
  <c r="V88" i="1" s="1"/>
  <c r="U87" i="1"/>
  <c r="U88" i="1" s="1"/>
  <c r="T87" i="1"/>
  <c r="T88" i="1" s="1"/>
  <c r="S87" i="1"/>
  <c r="S88" i="1" s="1"/>
  <c r="Q87" i="1"/>
  <c r="Q88" i="1" s="1"/>
  <c r="M87" i="1"/>
  <c r="M88" i="1" s="1"/>
  <c r="L87" i="1"/>
  <c r="L88" i="1" s="1"/>
  <c r="K87" i="1"/>
  <c r="K88" i="1" s="1"/>
  <c r="J87" i="1"/>
  <c r="J88" i="1" s="1"/>
  <c r="I87" i="1"/>
  <c r="I88" i="1" s="1"/>
  <c r="H87" i="1"/>
  <c r="H88" i="1" s="1"/>
  <c r="G87" i="1"/>
  <c r="G88" i="1" s="1"/>
  <c r="F87" i="1"/>
  <c r="F88" i="1" s="1"/>
  <c r="CH86" i="1"/>
  <c r="CI86" i="1" s="1"/>
  <c r="CL86" i="1" s="1"/>
  <c r="CD86" i="1"/>
  <c r="BT86" i="1"/>
  <c r="BU86" i="1" s="1"/>
  <c r="BY86" i="1" s="1"/>
  <c r="BO86" i="1"/>
  <c r="BK86" i="1"/>
  <c r="O86" i="1"/>
  <c r="CH85" i="1"/>
  <c r="CD85" i="1"/>
  <c r="CI85" i="1" s="1"/>
  <c r="CL85" i="1" s="1"/>
  <c r="BO85" i="1"/>
  <c r="BK85" i="1"/>
  <c r="AY85" i="1"/>
  <c r="O85" i="1"/>
  <c r="CD84" i="1"/>
  <c r="AY84" i="1"/>
  <c r="O84" i="1"/>
  <c r="AY83" i="1"/>
  <c r="O83" i="1"/>
  <c r="CB82" i="1"/>
  <c r="CD82" i="1" s="1"/>
  <c r="CA82" i="1"/>
  <c r="BZ82" i="1"/>
  <c r="BT82" i="1"/>
  <c r="BS82" i="1"/>
  <c r="BR82" i="1"/>
  <c r="BQ82" i="1"/>
  <c r="BN82" i="1"/>
  <c r="BM82" i="1"/>
  <c r="BL82" i="1"/>
  <c r="BO82" i="1" s="1"/>
  <c r="BP82" i="1" s="1"/>
  <c r="AY82" i="1"/>
  <c r="O82" i="1"/>
  <c r="CB81" i="1"/>
  <c r="CD81" i="1" s="1"/>
  <c r="CA81" i="1"/>
  <c r="BZ81" i="1"/>
  <c r="BT81" i="1"/>
  <c r="BS81" i="1"/>
  <c r="BR81" i="1"/>
  <c r="BQ81" i="1"/>
  <c r="BN81" i="1"/>
  <c r="BM81" i="1"/>
  <c r="BL81" i="1"/>
  <c r="BO81" i="1" s="1"/>
  <c r="BP81" i="1" s="1"/>
  <c r="AY81" i="1"/>
  <c r="O81" i="1"/>
  <c r="BN80" i="1"/>
  <c r="BO80" i="1" s="1"/>
  <c r="BM80" i="1"/>
  <c r="BL80" i="1"/>
  <c r="AY80" i="1"/>
  <c r="R80" i="1"/>
  <c r="P80" i="1"/>
  <c r="N80" i="1"/>
  <c r="O80" i="1" s="1"/>
  <c r="BO79" i="1"/>
  <c r="BN79" i="1"/>
  <c r="BM79" i="1"/>
  <c r="BL79" i="1"/>
  <c r="AY79" i="1"/>
  <c r="R79" i="1"/>
  <c r="P79" i="1"/>
  <c r="N79" i="1"/>
  <c r="O79" i="1" s="1"/>
  <c r="CD78" i="1"/>
  <c r="AY78" i="1"/>
  <c r="CD77" i="1"/>
  <c r="AY77" i="1"/>
  <c r="CD76" i="1"/>
  <c r="AY76" i="1"/>
  <c r="CD75" i="1"/>
  <c r="BT75" i="1"/>
  <c r="BP75" i="1" s="1"/>
  <c r="BO75" i="1"/>
  <c r="BN75" i="1"/>
  <c r="BM75" i="1"/>
  <c r="BL75" i="1"/>
  <c r="AY75" i="1"/>
  <c r="AJ75" i="1"/>
  <c r="AI75" i="1"/>
  <c r="AH75" i="1"/>
  <c r="AG75" i="1"/>
  <c r="AF75" i="1"/>
  <c r="AE75" i="1"/>
  <c r="AD75" i="1"/>
  <c r="AB75" i="1"/>
  <c r="Y75" i="1"/>
  <c r="X75" i="1"/>
  <c r="W75" i="1"/>
  <c r="BO74" i="1"/>
  <c r="BN74" i="1"/>
  <c r="BM74" i="1"/>
  <c r="BL74" i="1"/>
  <c r="AY74" i="1"/>
  <c r="R74" i="1"/>
  <c r="P74" i="1"/>
  <c r="N74" i="1"/>
  <c r="O74" i="1" s="1"/>
  <c r="CB73" i="1"/>
  <c r="CA73" i="1"/>
  <c r="BZ73" i="1"/>
  <c r="CD73" i="1" s="1"/>
  <c r="BS73" i="1"/>
  <c r="BR73" i="1"/>
  <c r="BT73" i="1" s="1"/>
  <c r="BQ73" i="1"/>
  <c r="BN73" i="1"/>
  <c r="BM73" i="1"/>
  <c r="BL73" i="1"/>
  <c r="BO73" i="1" s="1"/>
  <c r="AY73" i="1"/>
  <c r="O73" i="1"/>
  <c r="CB72" i="1"/>
  <c r="CA72" i="1"/>
  <c r="BZ72" i="1"/>
  <c r="CD72" i="1" s="1"/>
  <c r="BS72" i="1"/>
  <c r="BR72" i="1"/>
  <c r="BT72" i="1" s="1"/>
  <c r="BQ72" i="1"/>
  <c r="BN72" i="1"/>
  <c r="BM72" i="1"/>
  <c r="BL72" i="1"/>
  <c r="BO72" i="1" s="1"/>
  <c r="AY72" i="1"/>
  <c r="O72" i="1"/>
  <c r="CB71" i="1"/>
  <c r="CA71" i="1"/>
  <c r="BZ71" i="1"/>
  <c r="CD71" i="1" s="1"/>
  <c r="BS71" i="1"/>
  <c r="BR71" i="1"/>
  <c r="BT71" i="1" s="1"/>
  <c r="BQ71" i="1"/>
  <c r="BN71" i="1"/>
  <c r="BM71" i="1"/>
  <c r="BL71" i="1"/>
  <c r="AY71" i="1"/>
  <c r="O71" i="1"/>
  <c r="BN70" i="1"/>
  <c r="BM70" i="1"/>
  <c r="BL70" i="1"/>
  <c r="BO70" i="1" s="1"/>
  <c r="AY70" i="1"/>
  <c r="AJ70" i="1"/>
  <c r="AI70" i="1"/>
  <c r="AH70" i="1"/>
  <c r="AG70" i="1"/>
  <c r="AF70" i="1"/>
  <c r="AE70" i="1"/>
  <c r="AD70" i="1"/>
  <c r="AD87" i="1" s="1"/>
  <c r="AD88" i="1" s="1"/>
  <c r="AB70" i="1"/>
  <c r="Y70" i="1"/>
  <c r="X70" i="1"/>
  <c r="W70" i="1"/>
  <c r="W87" i="1" s="1"/>
  <c r="W88" i="1" s="1"/>
  <c r="CH69" i="1"/>
  <c r="CF69" i="1"/>
  <c r="CE69" i="1"/>
  <c r="CD69" i="1"/>
  <c r="CI69" i="1" s="1"/>
  <c r="CB69" i="1"/>
  <c r="CA69" i="1"/>
  <c r="BZ69" i="1"/>
  <c r="BT69" i="1"/>
  <c r="BU69" i="1" s="1"/>
  <c r="BR69" i="1"/>
  <c r="BQ69" i="1"/>
  <c r="BO69" i="1"/>
  <c r="BN69" i="1"/>
  <c r="BM69" i="1"/>
  <c r="BL69" i="1"/>
  <c r="O69" i="1"/>
  <c r="N69" i="1"/>
  <c r="BU68" i="1"/>
  <c r="BT68" i="1"/>
  <c r="BR68" i="1"/>
  <c r="BQ68" i="1"/>
  <c r="BP68" i="1"/>
  <c r="BO68" i="1"/>
  <c r="BN68" i="1"/>
  <c r="BM68" i="1"/>
  <c r="BL68" i="1"/>
  <c r="AY68" i="1"/>
  <c r="O68" i="1"/>
  <c r="N68" i="1"/>
  <c r="BU67" i="1"/>
  <c r="BT67" i="1"/>
  <c r="BP67" i="1"/>
  <c r="AY67" i="1"/>
  <c r="AJ67" i="1"/>
  <c r="AI67" i="1"/>
  <c r="AH67" i="1"/>
  <c r="AG67" i="1"/>
  <c r="AF67" i="1"/>
  <c r="AE67" i="1"/>
  <c r="AB67" i="1"/>
  <c r="Y67" i="1"/>
  <c r="X67" i="1"/>
  <c r="O67" i="1"/>
  <c r="BU66" i="1"/>
  <c r="BT66" i="1"/>
  <c r="BR66" i="1"/>
  <c r="BQ66" i="1"/>
  <c r="BP66" i="1"/>
  <c r="BO66" i="1"/>
  <c r="BN66" i="1"/>
  <c r="BM66" i="1"/>
  <c r="BL66" i="1"/>
  <c r="AY66" i="1"/>
  <c r="O66" i="1"/>
  <c r="N66" i="1"/>
  <c r="BU65" i="1"/>
  <c r="BT65" i="1"/>
  <c r="BP65" i="1"/>
  <c r="AY65" i="1"/>
  <c r="AJ65" i="1"/>
  <c r="AI65" i="1"/>
  <c r="AH65" i="1"/>
  <c r="AG65" i="1"/>
  <c r="AF65" i="1"/>
  <c r="AE65" i="1"/>
  <c r="AE87" i="1" s="1"/>
  <c r="AE88" i="1" s="1"/>
  <c r="AB65" i="1"/>
  <c r="Y65" i="1"/>
  <c r="Y87" i="1" s="1"/>
  <c r="Y88" i="1" s="1"/>
  <c r="X65" i="1"/>
  <c r="O65" i="1"/>
  <c r="CC64" i="1"/>
  <c r="CB64" i="1"/>
  <c r="CA64" i="1"/>
  <c r="BZ64" i="1"/>
  <c r="CD64" i="1" s="1"/>
  <c r="BN64" i="1"/>
  <c r="BM64" i="1"/>
  <c r="BL64" i="1"/>
  <c r="BO64" i="1" s="1"/>
  <c r="AT64" i="1"/>
  <c r="BW63" i="1"/>
  <c r="BR63" i="1"/>
  <c r="BQ63" i="1"/>
  <c r="BT63" i="1" s="1"/>
  <c r="BP63" i="1" s="1"/>
  <c r="BO63" i="1"/>
  <c r="O63" i="1"/>
  <c r="CB62" i="1"/>
  <c r="BN62" i="1"/>
  <c r="BM62" i="1"/>
  <c r="BL62" i="1"/>
  <c r="BO62" i="1" s="1"/>
  <c r="CD62" i="1" s="1"/>
  <c r="AY62" i="1"/>
  <c r="AX62" i="1"/>
  <c r="AW62" i="1"/>
  <c r="CA61" i="1"/>
  <c r="BN61" i="1"/>
  <c r="CB61" i="1" s="1"/>
  <c r="BM61" i="1"/>
  <c r="BO61" i="1" s="1"/>
  <c r="BL61" i="1"/>
  <c r="AY61" i="1"/>
  <c r="AX61" i="1"/>
  <c r="AW61" i="1"/>
  <c r="BN60" i="1"/>
  <c r="BM60" i="1"/>
  <c r="BL60" i="1"/>
  <c r="BO60" i="1" s="1"/>
  <c r="AX60" i="1"/>
  <c r="AW60" i="1"/>
  <c r="AY60" i="1" s="1"/>
  <c r="BO59" i="1"/>
  <c r="BN59" i="1"/>
  <c r="BM59" i="1"/>
  <c r="BL59" i="1"/>
  <c r="AY59" i="1"/>
  <c r="AX59" i="1"/>
  <c r="AW59" i="1"/>
  <c r="CK58" i="1"/>
  <c r="CJ58" i="1"/>
  <c r="CH58" i="1"/>
  <c r="CC58" i="1"/>
  <c r="BZ58" i="1"/>
  <c r="CD58" i="1" s="1"/>
  <c r="CI58" i="1" s="1"/>
  <c r="CL58" i="1" s="1"/>
  <c r="BW58" i="1"/>
  <c r="BR58" i="1"/>
  <c r="BQ58" i="1"/>
  <c r="BT58" i="1" s="1"/>
  <c r="BN58" i="1"/>
  <c r="BM58" i="1"/>
  <c r="BM57" i="1" s="1"/>
  <c r="BL58" i="1"/>
  <c r="AY58" i="1"/>
  <c r="O58" i="1"/>
  <c r="CD57" i="1"/>
  <c r="CC57" i="1"/>
  <c r="CB57" i="1"/>
  <c r="CA57" i="1"/>
  <c r="BZ57" i="1"/>
  <c r="BN57" i="1"/>
  <c r="BL57" i="1"/>
  <c r="BN56" i="1"/>
  <c r="BM56" i="1"/>
  <c r="BL56" i="1"/>
  <c r="BO56" i="1" s="1"/>
  <c r="BN55" i="1"/>
  <c r="AW55" i="1"/>
  <c r="AV55" i="1"/>
  <c r="BN54" i="1"/>
  <c r="AY54" i="1"/>
  <c r="AW54" i="1"/>
  <c r="AV54" i="1"/>
  <c r="CD53" i="1"/>
  <c r="CC53" i="1"/>
  <c r="CB53" i="1"/>
  <c r="CA53" i="1"/>
  <c r="BZ53" i="1"/>
  <c r="BN53" i="1"/>
  <c r="BM53" i="1"/>
  <c r="BL53" i="1"/>
  <c r="BO53" i="1" s="1"/>
  <c r="CH52" i="1"/>
  <c r="CF52" i="1"/>
  <c r="CE52" i="1"/>
  <c r="CC52" i="1"/>
  <c r="CB52" i="1"/>
  <c r="CA52" i="1"/>
  <c r="BZ52" i="1"/>
  <c r="BO52" i="1"/>
  <c r="BN52" i="1"/>
  <c r="BM52" i="1"/>
  <c r="BL52" i="1"/>
  <c r="AY52" i="1"/>
  <c r="AX52" i="1"/>
  <c r="AW52" i="1"/>
  <c r="AV52" i="1"/>
  <c r="BO50" i="1"/>
  <c r="BN50" i="1"/>
  <c r="BM50" i="1"/>
  <c r="AY50" i="1"/>
  <c r="BN49" i="1"/>
  <c r="AY49" i="1"/>
  <c r="AW49" i="1"/>
  <c r="AV49" i="1"/>
  <c r="CD48" i="1"/>
  <c r="CC48" i="1"/>
  <c r="CB48" i="1"/>
  <c r="CA48" i="1"/>
  <c r="BZ48" i="1"/>
  <c r="BO48" i="1"/>
  <c r="BN48" i="1"/>
  <c r="BM48" i="1"/>
  <c r="BL48" i="1"/>
  <c r="BO47" i="1"/>
  <c r="AY47" i="1"/>
  <c r="AW47" i="1"/>
  <c r="AV47" i="1"/>
  <c r="O47" i="1"/>
  <c r="BO46" i="1"/>
  <c r="AY46" i="1"/>
  <c r="AW46" i="1"/>
  <c r="AV46" i="1"/>
  <c r="O46" i="1"/>
  <c r="CB45" i="1"/>
  <c r="CD45" i="1" s="1"/>
  <c r="CA45" i="1"/>
  <c r="BN45" i="1"/>
  <c r="BM45" i="1"/>
  <c r="BO45" i="1" s="1"/>
  <c r="AY45" i="1"/>
  <c r="AX45" i="1"/>
  <c r="AW45" i="1"/>
  <c r="AV45" i="1"/>
  <c r="R45" i="1"/>
  <c r="O45" i="1"/>
  <c r="CB44" i="1"/>
  <c r="CD44" i="1" s="1"/>
  <c r="CA44" i="1"/>
  <c r="BN44" i="1"/>
  <c r="BM44" i="1"/>
  <c r="BO44" i="1" s="1"/>
  <c r="AV44" i="1"/>
  <c r="O44" i="1"/>
  <c r="CB43" i="1"/>
  <c r="CD43" i="1" s="1"/>
  <c r="CA43" i="1"/>
  <c r="BN43" i="1"/>
  <c r="BM43" i="1"/>
  <c r="BO43" i="1" s="1"/>
  <c r="AY43" i="1"/>
  <c r="AX43" i="1"/>
  <c r="AW43" i="1"/>
  <c r="AV43" i="1"/>
  <c r="R43" i="1"/>
  <c r="O43" i="1"/>
  <c r="CC42" i="1"/>
  <c r="BO42" i="1"/>
  <c r="BO41" i="1"/>
  <c r="CC40" i="1"/>
  <c r="BO40" i="1"/>
  <c r="AY40" i="1"/>
  <c r="AW40" i="1"/>
  <c r="AV40" i="1"/>
  <c r="O40" i="1"/>
  <c r="BY39" i="1"/>
  <c r="BT39" i="1"/>
  <c r="BU39" i="1" s="1"/>
  <c r="BO39" i="1"/>
  <c r="AY39" i="1"/>
  <c r="BT38" i="1"/>
  <c r="BO38" i="1"/>
  <c r="BU38" i="1" s="1"/>
  <c r="BY38" i="1" s="1"/>
  <c r="AY38" i="1"/>
  <c r="BT37" i="1"/>
  <c r="BP37" i="1"/>
  <c r="BO37" i="1"/>
  <c r="AY37" i="1"/>
  <c r="BT36" i="1"/>
  <c r="BU36" i="1" s="1"/>
  <c r="BS36" i="1"/>
  <c r="BR36" i="1"/>
  <c r="BQ36" i="1"/>
  <c r="BP36" i="1"/>
  <c r="BO36" i="1"/>
  <c r="AW36" i="1"/>
  <c r="AY36" i="1" s="1"/>
  <c r="O36" i="1"/>
  <c r="BO35" i="1"/>
  <c r="AX35" i="1"/>
  <c r="AX87" i="1" s="1"/>
  <c r="AX88" i="1" s="1"/>
  <c r="AW35" i="1"/>
  <c r="AY35" i="1" s="1"/>
  <c r="AV35" i="1"/>
  <c r="R35" i="1"/>
  <c r="CC34" i="1"/>
  <c r="BR34" i="1"/>
  <c r="BQ34" i="1"/>
  <c r="BT34" i="1" s="1"/>
  <c r="BN34" i="1"/>
  <c r="BM34" i="1"/>
  <c r="BL34" i="1"/>
  <c r="BO34" i="1" s="1"/>
  <c r="AY34" i="1"/>
  <c r="AC34" i="1"/>
  <c r="O34" i="1"/>
  <c r="CC33" i="1"/>
  <c r="BR33" i="1"/>
  <c r="BQ33" i="1"/>
  <c r="BN33" i="1"/>
  <c r="BM33" i="1"/>
  <c r="BL33" i="1"/>
  <c r="AY33" i="1"/>
  <c r="AC33" i="1"/>
  <c r="O33" i="1"/>
  <c r="CC32" i="1"/>
  <c r="BR32" i="1"/>
  <c r="BQ32" i="1"/>
  <c r="BT32" i="1" s="1"/>
  <c r="BN32" i="1"/>
  <c r="BM32" i="1"/>
  <c r="BL32" i="1"/>
  <c r="BO32" i="1" s="1"/>
  <c r="AY32" i="1"/>
  <c r="AC32" i="1"/>
  <c r="AC87" i="1" s="1"/>
  <c r="AC88" i="1" s="1"/>
  <c r="O32" i="1"/>
  <c r="CD31" i="1"/>
  <c r="BT31" i="1"/>
  <c r="BU31" i="1" s="1"/>
  <c r="BS31" i="1"/>
  <c r="BR31" i="1"/>
  <c r="BQ31" i="1"/>
  <c r="BO31" i="1"/>
  <c r="BN31" i="1"/>
  <c r="BM31" i="1"/>
  <c r="BL31" i="1"/>
  <c r="O31" i="1"/>
  <c r="CD30" i="1"/>
  <c r="BS30" i="1"/>
  <c r="BR30" i="1"/>
  <c r="BQ30" i="1"/>
  <c r="BT30" i="1" s="1"/>
  <c r="BO30" i="1"/>
  <c r="BN30" i="1"/>
  <c r="BM30" i="1"/>
  <c r="BL30" i="1"/>
  <c r="O30" i="1"/>
  <c r="CL29" i="1"/>
  <c r="BU29" i="1"/>
  <c r="BY29" i="1" s="1"/>
  <c r="O29" i="1"/>
  <c r="CL28" i="1"/>
  <c r="BU28" i="1"/>
  <c r="BY28" i="1" s="1"/>
  <c r="O28" i="1"/>
  <c r="CL27" i="1"/>
  <c r="BU27" i="1"/>
  <c r="BY27" i="1" s="1"/>
  <c r="O27" i="1"/>
  <c r="CL26" i="1"/>
  <c r="BU26" i="1"/>
  <c r="BY26" i="1" s="1"/>
  <c r="O26" i="1"/>
  <c r="BO25" i="1"/>
  <c r="AW25" i="1"/>
  <c r="AY25" i="1" s="1"/>
  <c r="AV25" i="1"/>
  <c r="AV87" i="1" s="1"/>
  <c r="AV88" i="1" s="1"/>
  <c r="R25" i="1"/>
  <c r="O25" i="1"/>
  <c r="AY24" i="1"/>
  <c r="AY23" i="1"/>
  <c r="AY22" i="1"/>
  <c r="AW21" i="1"/>
  <c r="AY21" i="1" s="1"/>
  <c r="O21" i="1"/>
  <c r="N21" i="1"/>
  <c r="BT20" i="1"/>
  <c r="BU20" i="1" s="1"/>
  <c r="BP20" i="1"/>
  <c r="BO20" i="1"/>
  <c r="P20" i="1"/>
  <c r="N20" i="1"/>
  <c r="O20" i="1" s="1"/>
  <c r="BT19" i="1"/>
  <c r="BO19" i="1"/>
  <c r="BU19" i="1" s="1"/>
  <c r="P19" i="1"/>
  <c r="N19" i="1"/>
  <c r="O19" i="1" s="1"/>
  <c r="BU18" i="1"/>
  <c r="BT18" i="1"/>
  <c r="BP18" i="1" s="1"/>
  <c r="BO18" i="1"/>
  <c r="P18" i="1"/>
  <c r="O18" i="1"/>
  <c r="N18" i="1"/>
  <c r="BT17" i="1"/>
  <c r="BP17" i="1" s="1"/>
  <c r="BO17" i="1"/>
  <c r="P17" i="1"/>
  <c r="O17" i="1"/>
  <c r="N17" i="1"/>
  <c r="BO16" i="1"/>
  <c r="AY16" i="1"/>
  <c r="N16" i="1"/>
  <c r="N87" i="1" s="1"/>
  <c r="N88" i="1" s="1"/>
  <c r="CK15" i="1"/>
  <c r="CK87" i="1" s="1"/>
  <c r="CK88" i="1" s="1"/>
  <c r="CJ15" i="1"/>
  <c r="CJ87" i="1" s="1"/>
  <c r="CJ88" i="1" s="1"/>
  <c r="CI15" i="1"/>
  <c r="CL15" i="1" s="1"/>
  <c r="CL87" i="1" s="1"/>
  <c r="CL88" i="1" s="1"/>
  <c r="CH15" i="1"/>
  <c r="CD15" i="1"/>
  <c r="BY15" i="1"/>
  <c r="AB15" i="1"/>
  <c r="AB87" i="1" s="1"/>
  <c r="AB88" i="1" s="1"/>
  <c r="P15" i="1"/>
  <c r="O15" i="1"/>
  <c r="CC14" i="1"/>
  <c r="BQ14" i="1"/>
  <c r="BP14" i="1"/>
  <c r="BO14" i="1"/>
  <c r="BK14" i="1"/>
  <c r="BJ14" i="1"/>
  <c r="P14" i="1"/>
  <c r="O14" i="1"/>
  <c r="CC13" i="1"/>
  <c r="BQ13" i="1"/>
  <c r="BO13" i="1"/>
  <c r="BK13" i="1"/>
  <c r="BJ13" i="1"/>
  <c r="P13" i="1"/>
  <c r="O13" i="1"/>
  <c r="CC12" i="1"/>
  <c r="BQ12" i="1"/>
  <c r="BO12" i="1"/>
  <c r="BK12" i="1"/>
  <c r="BJ12" i="1"/>
  <c r="P12" i="1"/>
  <c r="O12" i="1"/>
  <c r="BS11" i="1"/>
  <c r="BQ11" i="1"/>
  <c r="BT11" i="1" s="1"/>
  <c r="BN11" i="1"/>
  <c r="BM11" i="1"/>
  <c r="BL11" i="1"/>
  <c r="BO11" i="1" s="1"/>
  <c r="AW11" i="1"/>
  <c r="AY11" i="1" s="1"/>
  <c r="O11" i="1"/>
  <c r="BS10" i="1"/>
  <c r="BQ10" i="1"/>
  <c r="BT10" i="1" s="1"/>
  <c r="BN10" i="1"/>
  <c r="BM10" i="1"/>
  <c r="BL10" i="1"/>
  <c r="BO10" i="1" s="1"/>
  <c r="AY10" i="1"/>
  <c r="AW10" i="1"/>
  <c r="O10" i="1"/>
  <c r="CG9" i="1"/>
  <c r="CG87" i="1" s="1"/>
  <c r="CG88" i="1" s="1"/>
  <c r="CF9" i="1"/>
  <c r="CF87" i="1" s="1"/>
  <c r="CF88" i="1" s="1"/>
  <c r="CE9" i="1"/>
  <c r="CE87" i="1" s="1"/>
  <c r="CE88" i="1" s="1"/>
  <c r="CB9" i="1"/>
  <c r="CA9" i="1"/>
  <c r="BZ9" i="1"/>
  <c r="CD9" i="1" s="1"/>
  <c r="BS9" i="1"/>
  <c r="BR9" i="1"/>
  <c r="BT9" i="1" s="1"/>
  <c r="BQ9" i="1"/>
  <c r="BO9" i="1"/>
  <c r="BN9" i="1"/>
  <c r="BM9" i="1"/>
  <c r="BL9" i="1"/>
  <c r="AY9" i="1"/>
  <c r="AW9" i="1"/>
  <c r="R9" i="1"/>
  <c r="R87" i="1" s="1"/>
  <c r="R88" i="1" s="1"/>
  <c r="O9" i="1"/>
  <c r="BT8" i="1"/>
  <c r="BS8" i="1"/>
  <c r="BQ8" i="1"/>
  <c r="BN8" i="1"/>
  <c r="BM8" i="1"/>
  <c r="BL8" i="1"/>
  <c r="AY8" i="1"/>
  <c r="AW8" i="1"/>
  <c r="O8" i="1"/>
  <c r="BR7" i="1"/>
  <c r="BQ7" i="1"/>
  <c r="BT7" i="1" s="1"/>
  <c r="BN7" i="1"/>
  <c r="BM7" i="1"/>
  <c r="BO7" i="1" s="1"/>
  <c r="O7" i="1"/>
  <c r="CC6" i="1"/>
  <c r="CC87" i="1" s="1"/>
  <c r="CC88" i="1" s="1"/>
  <c r="CB6" i="1"/>
  <c r="CB87" i="1" s="1"/>
  <c r="CB88" i="1" s="1"/>
  <c r="BT6" i="1"/>
  <c r="BO6" i="1"/>
  <c r="BU6" i="1" s="1"/>
  <c r="AU6" i="1"/>
  <c r="AU87" i="1" s="1"/>
  <c r="AU88" i="1" s="1"/>
  <c r="AT6" i="1"/>
  <c r="AT87" i="1" s="1"/>
  <c r="AT88" i="1" s="1"/>
  <c r="AS6" i="1"/>
  <c r="AS87" i="1" s="1"/>
  <c r="AS88" i="1" s="1"/>
  <c r="AP6" i="1"/>
  <c r="AP87" i="1" s="1"/>
  <c r="AP88" i="1" s="1"/>
  <c r="O6" i="1"/>
  <c r="BT5" i="1"/>
  <c r="BU5" i="1" s="1"/>
  <c r="BY5" i="1" s="1"/>
  <c r="BR5" i="1"/>
  <c r="BQ5" i="1"/>
  <c r="BO5" i="1"/>
  <c r="BN5" i="1"/>
  <c r="BM5" i="1"/>
  <c r="O5" i="1"/>
  <c r="BR4" i="1"/>
  <c r="BQ4" i="1"/>
  <c r="BN4" i="1"/>
  <c r="BM4" i="1"/>
  <c r="O4" i="1"/>
  <c r="BU34" i="1" l="1"/>
  <c r="BP34" i="1"/>
  <c r="BU7" i="1"/>
  <c r="BY7" i="1" s="1"/>
  <c r="BP7" i="1"/>
  <c r="BU9" i="1"/>
  <c r="BP9" i="1"/>
  <c r="BU10" i="1"/>
  <c r="BP10" i="1"/>
  <c r="BU11" i="1"/>
  <c r="BP11" i="1"/>
  <c r="BU30" i="1"/>
  <c r="BP30" i="1"/>
  <c r="BU32" i="1"/>
  <c r="BP32" i="1"/>
  <c r="BP106" i="1"/>
  <c r="BP108" i="1"/>
  <c r="BP107" i="1"/>
  <c r="BN89" i="1"/>
  <c r="BN90" i="1"/>
  <c r="BN91" i="1"/>
  <c r="BN87" i="1"/>
  <c r="BN88" i="1" s="1"/>
  <c r="BR89" i="1"/>
  <c r="BR90" i="1"/>
  <c r="BR91" i="1"/>
  <c r="BR87" i="1"/>
  <c r="BR88" i="1" s="1"/>
  <c r="BP5" i="1"/>
  <c r="BP6" i="1"/>
  <c r="P87" i="1"/>
  <c r="P88" i="1" s="1"/>
  <c r="BU17" i="1"/>
  <c r="BP19" i="1"/>
  <c r="BU37" i="1"/>
  <c r="BY37" i="1" s="1"/>
  <c r="BP38" i="1"/>
  <c r="CD52" i="1"/>
  <c r="CI52" i="1" s="1"/>
  <c r="BZ61" i="1"/>
  <c r="CA62" i="1"/>
  <c r="BU63" i="1"/>
  <c r="BY63" i="1" s="1"/>
  <c r="X87" i="1"/>
  <c r="X88" i="1" s="1"/>
  <c r="AF87" i="1"/>
  <c r="AF88" i="1" s="1"/>
  <c r="BO71" i="1"/>
  <c r="BU71" i="1" s="1"/>
  <c r="BP71" i="1"/>
  <c r="BU81" i="1"/>
  <c r="T95" i="1"/>
  <c r="BM89" i="1"/>
  <c r="BM90" i="1"/>
  <c r="BM91" i="1"/>
  <c r="BM87" i="1"/>
  <c r="BM88" i="1" s="1"/>
  <c r="BQ89" i="1"/>
  <c r="BQ90" i="1"/>
  <c r="BQ91" i="1"/>
  <c r="BQ87" i="1"/>
  <c r="BQ88" i="1" s="1"/>
  <c r="BL91" i="1"/>
  <c r="BL87" i="1"/>
  <c r="BL88" i="1" s="1"/>
  <c r="BL89" i="1"/>
  <c r="BL90" i="1"/>
  <c r="BO4" i="1"/>
  <c r="BT4" i="1"/>
  <c r="CD6" i="1"/>
  <c r="AW87" i="1"/>
  <c r="AW88" i="1" s="1"/>
  <c r="BS90" i="1"/>
  <c r="BS91" i="1"/>
  <c r="BS87" i="1"/>
  <c r="BS88" i="1" s="1"/>
  <c r="BS89" i="1"/>
  <c r="CH9" i="1"/>
  <c r="BJ89" i="1"/>
  <c r="BJ90" i="1"/>
  <c r="BJ91" i="1"/>
  <c r="BJ87" i="1"/>
  <c r="BJ88" i="1" s="1"/>
  <c r="BP39" i="1"/>
  <c r="BO57" i="1"/>
  <c r="BO58" i="1"/>
  <c r="BU58" i="1" s="1"/>
  <c r="BY58" i="1" s="1"/>
  <c r="BW90" i="1"/>
  <c r="BW91" i="1"/>
  <c r="BW87" i="1"/>
  <c r="BW88" i="1" s="1"/>
  <c r="BW89" i="1"/>
  <c r="CD61" i="1"/>
  <c r="AG87" i="1"/>
  <c r="AG88" i="1" s="1"/>
  <c r="BU82" i="1"/>
  <c r="U94" i="1"/>
  <c r="O87" i="1"/>
  <c r="O88" i="1" s="1"/>
  <c r="AY87" i="1"/>
  <c r="AY88" i="1" s="1"/>
  <c r="BO8" i="1"/>
  <c r="BK90" i="1"/>
  <c r="BK91" i="1"/>
  <c r="BK87" i="1"/>
  <c r="BK88" i="1" s="1"/>
  <c r="BK89" i="1"/>
  <c r="BO33" i="1"/>
  <c r="BT33" i="1"/>
  <c r="BU73" i="1"/>
  <c r="BP73" i="1"/>
  <c r="CA87" i="1"/>
  <c r="CA88" i="1" s="1"/>
  <c r="BU72" i="1"/>
  <c r="BP72" i="1"/>
  <c r="BZ62" i="1"/>
  <c r="BZ87" i="1" s="1"/>
  <c r="BZ88" i="1" s="1"/>
  <c r="BP86" i="1"/>
  <c r="BP69" i="1"/>
  <c r="BU75" i="1"/>
  <c r="BY75" i="1" s="1"/>
  <c r="CH87" i="1" l="1"/>
  <c r="CH88" i="1" s="1"/>
  <c r="CI9" i="1"/>
  <c r="CI87" i="1" s="1"/>
  <c r="CI88" i="1" s="1"/>
  <c r="BO90" i="1"/>
  <c r="BO91" i="1"/>
  <c r="BO87" i="1"/>
  <c r="BO88" i="1" s="1"/>
  <c r="BO89" i="1"/>
  <c r="BS94" i="1"/>
  <c r="BR94" i="1"/>
  <c r="BN94" i="1"/>
  <c r="BP58" i="1"/>
  <c r="BP109" i="1"/>
  <c r="BL94" i="1"/>
  <c r="BU8" i="1"/>
  <c r="BP8" i="1"/>
  <c r="CD87" i="1"/>
  <c r="CD88" i="1" s="1"/>
  <c r="BP33" i="1"/>
  <c r="BP100" i="1" s="1"/>
  <c r="BU33" i="1"/>
  <c r="BP105" i="1"/>
  <c r="BP104" i="1"/>
  <c r="BP103" i="1"/>
  <c r="BT91" i="1"/>
  <c r="BT87" i="1"/>
  <c r="BT88" i="1" s="1"/>
  <c r="BT89" i="1"/>
  <c r="BT90" i="1"/>
  <c r="BU4" i="1"/>
  <c r="BP4" i="1"/>
  <c r="BQ94" i="1"/>
  <c r="BM94" i="1"/>
  <c r="BQ93" i="1" l="1"/>
  <c r="BG93" i="1"/>
  <c r="BF97" i="1"/>
  <c r="BF93" i="1"/>
  <c r="BG97" i="1"/>
  <c r="BG95" i="1"/>
  <c r="BF95" i="1"/>
  <c r="BU89" i="1"/>
  <c r="BL95" i="1"/>
  <c r="BC93" i="1"/>
  <c r="BC97" i="1"/>
  <c r="BC95" i="1"/>
  <c r="BP101" i="1"/>
  <c r="BD97" i="1"/>
  <c r="BD93" i="1"/>
  <c r="BD95" i="1"/>
  <c r="BP97" i="1"/>
  <c r="BP91" i="1"/>
  <c r="BP87" i="1"/>
  <c r="BP99" i="1"/>
  <c r="BP98" i="1"/>
  <c r="BP89" i="1"/>
  <c r="BP90" i="1"/>
  <c r="BP102" i="1"/>
  <c r="BH97" i="1"/>
  <c r="BR93" i="1"/>
  <c r="BH93" i="1"/>
  <c r="BH95" i="1"/>
  <c r="BO92" i="1"/>
  <c r="BU90" i="1"/>
  <c r="BU91" i="1"/>
  <c r="BU87" i="1"/>
  <c r="BU88" i="1" s="1"/>
  <c r="BY4" i="1"/>
  <c r="BY87" i="1" s="1"/>
  <c r="BY88" i="1" s="1"/>
  <c r="BP114" i="1"/>
  <c r="BP113" i="1"/>
  <c r="BP112" i="1"/>
  <c r="BE97" i="1"/>
  <c r="BE93" i="1"/>
  <c r="BE95" i="1"/>
  <c r="BI97" i="1"/>
  <c r="BS93" i="1"/>
  <c r="BI93" i="1"/>
  <c r="BI95" i="1"/>
  <c r="BP88" i="1" l="1"/>
  <c r="BP110" i="1"/>
  <c r="BP111" i="1"/>
  <c r="BU92" i="1"/>
  <c r="BQ92" i="1"/>
  <c r="BR92" i="1"/>
  <c r="BM92" i="1"/>
  <c r="BL92" i="1"/>
  <c r="BS92" i="1"/>
  <c r="BN92" i="1"/>
  <c r="BC94" i="1"/>
  <c r="BC96" i="1"/>
  <c r="BC98" i="1"/>
  <c r="BT92" i="1"/>
</calcChain>
</file>

<file path=xl/sharedStrings.xml><?xml version="1.0" encoding="utf-8"?>
<sst xmlns="http://schemas.openxmlformats.org/spreadsheetml/2006/main" count="1144" uniqueCount="657">
  <si>
    <t>Aboveground Net Primary Productivity</t>
    <phoneticPr fontId="3" type="noConversion"/>
  </si>
  <si>
    <t>Belowground Net Primary Productivity</t>
    <phoneticPr fontId="3" type="noConversion"/>
  </si>
  <si>
    <t>Total Net Primary Productivity</t>
    <phoneticPr fontId="3" type="noConversion"/>
  </si>
  <si>
    <t>Soil Respiration</t>
    <phoneticPr fontId="3" type="noConversion"/>
  </si>
  <si>
    <t>Heterotrophic Respiration</t>
    <phoneticPr fontId="3" type="noConversion"/>
  </si>
  <si>
    <t>Net Ecosystem Productivity = TNPP-HR</t>
    <phoneticPr fontId="3" type="noConversion"/>
  </si>
  <si>
    <t>Country</t>
    <phoneticPr fontId="3" type="noConversion"/>
  </si>
  <si>
    <t>Location</t>
  </si>
  <si>
    <t>Ecological zone</t>
    <phoneticPr fontId="3" type="noConversion"/>
  </si>
  <si>
    <t>Land use</t>
  </si>
  <si>
    <t>ID</t>
    <phoneticPr fontId="3" type="noConversion"/>
  </si>
  <si>
    <t>Beginning year</t>
    <phoneticPr fontId="3" type="noConversion"/>
  </si>
  <si>
    <t>Finishing year</t>
    <phoneticPr fontId="3" type="noConversion"/>
  </si>
  <si>
    <t>managed</t>
    <phoneticPr fontId="3" type="noConversion"/>
  </si>
  <si>
    <t>fertilised</t>
    <phoneticPr fontId="3" type="noConversion"/>
  </si>
  <si>
    <t>weeded and selective cutting</t>
    <phoneticPr fontId="3" type="noConversion"/>
  </si>
  <si>
    <t>shoots dug</t>
    <phoneticPr fontId="3" type="noConversion"/>
  </si>
  <si>
    <t>clear cutting</t>
    <phoneticPr fontId="3" type="noConversion"/>
  </si>
  <si>
    <t>mixed with other forests</t>
    <phoneticPr fontId="3" type="noConversion"/>
  </si>
  <si>
    <t>mean annual temperature4</t>
  </si>
  <si>
    <t>Warmthindex</t>
  </si>
  <si>
    <t>Annual rainfall4</t>
    <phoneticPr fontId="3" type="noConversion"/>
  </si>
  <si>
    <t>Snow</t>
    <phoneticPr fontId="3" type="noConversion"/>
  </si>
  <si>
    <t>Elevation (asl)</t>
    <phoneticPr fontId="3" type="noConversion"/>
  </si>
  <si>
    <t>Relative humidity</t>
    <phoneticPr fontId="3" type="noConversion"/>
  </si>
  <si>
    <t>Sunshine duration</t>
    <phoneticPr fontId="3" type="noConversion"/>
  </si>
  <si>
    <t>Wind speed</t>
    <phoneticPr fontId="3" type="noConversion"/>
  </si>
  <si>
    <t>Water content (soil)</t>
    <phoneticPr fontId="3" type="noConversion"/>
  </si>
  <si>
    <t>pH (soil)</t>
    <phoneticPr fontId="3" type="noConversion"/>
  </si>
  <si>
    <t>pH (soil)</t>
    <phoneticPr fontId="3" type="noConversion"/>
  </si>
  <si>
    <t>Total N (soil)</t>
    <phoneticPr fontId="3" type="noConversion"/>
  </si>
  <si>
    <t>Total P (soil)</t>
    <phoneticPr fontId="3" type="noConversion"/>
  </si>
  <si>
    <t>Total K (soil)</t>
    <phoneticPr fontId="3" type="noConversion"/>
  </si>
  <si>
    <r>
      <t>Available P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(soil)</t>
    </r>
    <phoneticPr fontId="3" type="noConversion"/>
  </si>
  <si>
    <t>Available SiO2 (soil)</t>
    <phoneticPr fontId="3" type="noConversion"/>
  </si>
  <si>
    <t>C.E.C (soil)</t>
    <phoneticPr fontId="3" type="noConversion"/>
  </si>
  <si>
    <t>K+ (soil)</t>
    <phoneticPr fontId="3" type="noConversion"/>
  </si>
  <si>
    <t>Ca2+ (soil)</t>
    <phoneticPr fontId="3" type="noConversion"/>
  </si>
  <si>
    <t>Mg2+ (soil)</t>
    <phoneticPr fontId="3" type="noConversion"/>
  </si>
  <si>
    <t>Sand</t>
    <phoneticPr fontId="3" type="noConversion"/>
  </si>
  <si>
    <t>Silt</t>
    <phoneticPr fontId="3" type="noConversion"/>
  </si>
  <si>
    <t>Clay</t>
    <phoneticPr fontId="3" type="noConversion"/>
  </si>
  <si>
    <t>N (litter)</t>
    <phoneticPr fontId="3" type="noConversion"/>
  </si>
  <si>
    <t>Ca (litter)</t>
    <phoneticPr fontId="3" type="noConversion"/>
  </si>
  <si>
    <t>K (litter)</t>
    <phoneticPr fontId="3" type="noConversion"/>
  </si>
  <si>
    <t>Mg (litter)</t>
    <phoneticPr fontId="3" type="noConversion"/>
  </si>
  <si>
    <t>P (litter)</t>
    <phoneticPr fontId="3" type="noConversion"/>
  </si>
  <si>
    <t>Si (storage in Plant above ground)</t>
    <phoneticPr fontId="3" type="noConversion"/>
  </si>
  <si>
    <t>Si (storage in Plant below ground)</t>
    <phoneticPr fontId="3" type="noConversion"/>
  </si>
  <si>
    <t>Si (storage in soil)</t>
    <phoneticPr fontId="3" type="noConversion"/>
  </si>
  <si>
    <t>Si (primary sink in Plant annually)</t>
    <phoneticPr fontId="3" type="noConversion"/>
  </si>
  <si>
    <t>Si (net sink in Plant annually)</t>
    <phoneticPr fontId="3" type="noConversion"/>
  </si>
  <si>
    <t>Si (return to soil)</t>
    <phoneticPr fontId="3" type="noConversion"/>
  </si>
  <si>
    <r>
      <t>Culm density</t>
    </r>
    <r>
      <rPr>
        <vertAlign val="superscript"/>
        <sz val="10"/>
        <color theme="1"/>
        <rFont val="Times New Roman"/>
        <family val="1"/>
      </rPr>
      <t>(2</t>
    </r>
    <phoneticPr fontId="3" type="noConversion"/>
  </si>
  <si>
    <r>
      <t>Culm DBH</t>
    </r>
    <r>
      <rPr>
        <vertAlign val="superscript"/>
        <sz val="10"/>
        <color theme="1"/>
        <rFont val="Times New Roman"/>
        <family val="1"/>
      </rPr>
      <t>(3</t>
    </r>
    <phoneticPr fontId="3" type="noConversion"/>
  </si>
  <si>
    <r>
      <t>Culm height</t>
    </r>
    <r>
      <rPr>
        <vertAlign val="superscript"/>
        <sz val="10"/>
        <color theme="1"/>
        <rFont val="Times New Roman"/>
        <family val="1"/>
      </rPr>
      <t>(3</t>
    </r>
    <phoneticPr fontId="3" type="noConversion"/>
  </si>
  <si>
    <t>Basal area (b.a.)</t>
    <phoneticPr fontId="3" type="noConversion"/>
  </si>
  <si>
    <t>Relative luminosity</t>
    <phoneticPr fontId="3" type="noConversion"/>
  </si>
  <si>
    <t>Leaf area index (Fisheye lens)</t>
    <phoneticPr fontId="3" type="noConversion"/>
  </si>
  <si>
    <t>Leaf area index (leaf area scanner)</t>
    <phoneticPr fontId="3" type="noConversion"/>
  </si>
  <si>
    <t>Leaves C</t>
    <phoneticPr fontId="3" type="noConversion"/>
  </si>
  <si>
    <t>Branches C</t>
    <phoneticPr fontId="3" type="noConversion"/>
  </si>
  <si>
    <t>Culms C</t>
    <phoneticPr fontId="3" type="noConversion"/>
  </si>
  <si>
    <t>Fine roots C</t>
    <phoneticPr fontId="3" type="noConversion"/>
  </si>
  <si>
    <t>Coarse root C</t>
    <phoneticPr fontId="3" type="noConversion"/>
  </si>
  <si>
    <t>Rhizomes C</t>
    <phoneticPr fontId="3" type="noConversion"/>
  </si>
  <si>
    <t>Stump C</t>
    <phoneticPr fontId="3" type="noConversion"/>
  </si>
  <si>
    <t>Soil C (0-10cm)</t>
    <phoneticPr fontId="3" type="noConversion"/>
  </si>
  <si>
    <t>Soil C (10-30cm)</t>
    <phoneticPr fontId="3" type="noConversion"/>
  </si>
  <si>
    <t>Foliages</t>
    <phoneticPr fontId="3" type="noConversion"/>
  </si>
  <si>
    <t>Branches</t>
    <phoneticPr fontId="3" type="noConversion"/>
  </si>
  <si>
    <t>Culms</t>
    <phoneticPr fontId="3" type="noConversion"/>
  </si>
  <si>
    <t>AGC</t>
    <phoneticPr fontId="3" type="noConversion"/>
  </si>
  <si>
    <t>Root_Shoot Ratio</t>
    <phoneticPr fontId="3" type="noConversion"/>
  </si>
  <si>
    <t>Roots</t>
    <phoneticPr fontId="3" type="noConversion"/>
  </si>
  <si>
    <t>Rhizomes</t>
    <phoneticPr fontId="3" type="noConversion"/>
  </si>
  <si>
    <t>Stumps</t>
    <phoneticPr fontId="3" type="noConversion"/>
  </si>
  <si>
    <t>BGC</t>
    <phoneticPr fontId="3" type="noConversion"/>
  </si>
  <si>
    <t>TC (AGC+BGC)</t>
    <phoneticPr fontId="3" type="noConversion"/>
  </si>
  <si>
    <t>Litter layer C</t>
    <phoneticPr fontId="3" type="noConversion"/>
  </si>
  <si>
    <t>SC (soil carbon)</t>
    <phoneticPr fontId="3" type="noConversion"/>
  </si>
  <si>
    <t>Undergrowth</t>
    <phoneticPr fontId="3" type="noConversion"/>
  </si>
  <si>
    <t>TEC (Total ecosystem carbon)</t>
    <phoneticPr fontId="3" type="noConversion"/>
  </si>
  <si>
    <t>LNP</t>
    <phoneticPr fontId="3" type="noConversion"/>
  </si>
  <si>
    <t>BNP</t>
    <phoneticPr fontId="3" type="noConversion"/>
  </si>
  <si>
    <t>CNP</t>
    <phoneticPr fontId="3" type="noConversion"/>
  </si>
  <si>
    <t>Litterfall</t>
    <phoneticPr fontId="3" type="noConversion"/>
  </si>
  <si>
    <t>ANPP</t>
    <phoneticPr fontId="3" type="noConversion"/>
  </si>
  <si>
    <t>RoNP</t>
    <phoneticPr fontId="3" type="noConversion"/>
  </si>
  <si>
    <t>RhNP</t>
    <phoneticPr fontId="3" type="noConversion"/>
  </si>
  <si>
    <t>StNP</t>
    <phoneticPr fontId="3" type="noConversion"/>
  </si>
  <si>
    <t>BNPP</t>
    <phoneticPr fontId="3" type="noConversion"/>
  </si>
  <si>
    <t>TNPP</t>
    <phoneticPr fontId="3" type="noConversion"/>
  </si>
  <si>
    <t>SR</t>
    <phoneticPr fontId="3" type="noConversion"/>
  </si>
  <si>
    <t>HR</t>
    <phoneticPr fontId="3" type="noConversion"/>
  </si>
  <si>
    <t>NEP</t>
    <phoneticPr fontId="3" type="noConversion"/>
  </si>
  <si>
    <t>References</t>
    <phoneticPr fontId="3" type="noConversion"/>
  </si>
  <si>
    <t>available or not</t>
    <phoneticPr fontId="3" type="noConversion"/>
  </si>
  <si>
    <t>Link</t>
    <phoneticPr fontId="3" type="noConversion"/>
  </si>
  <si>
    <t>Check data</t>
    <phoneticPr fontId="3" type="noConversion"/>
  </si>
  <si>
    <t>Code</t>
    <phoneticPr fontId="3" type="noConversion"/>
  </si>
  <si>
    <t>°C</t>
    <phoneticPr fontId="3" type="noConversion"/>
  </si>
  <si>
    <t>mm</t>
  </si>
  <si>
    <t>m</t>
    <phoneticPr fontId="3" type="noConversion"/>
  </si>
  <si>
    <t>m</t>
  </si>
  <si>
    <t>%</t>
    <phoneticPr fontId="3" type="noConversion"/>
  </si>
  <si>
    <r>
      <t>hr 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</si>
  <si>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 s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</si>
  <si>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kg kg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</si>
  <si>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KCl</t>
    <phoneticPr fontId="3" type="noConversion"/>
  </si>
  <si>
    <r>
      <t>(H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 1:5)</t>
    </r>
    <phoneticPr fontId="3" type="noConversion"/>
  </si>
  <si>
    <r>
      <t>g kg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</si>
  <si>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g kg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</si>
  <si>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kg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</si>
  <si>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cmole/kg</t>
    <phoneticPr fontId="3" type="noConversion"/>
  </si>
  <si>
    <r>
      <t>me 100g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</si>
  <si>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(%)</t>
    <phoneticPr fontId="3" type="noConversion"/>
  </si>
  <si>
    <t>(%)</t>
    <phoneticPr fontId="3" type="noConversion"/>
  </si>
  <si>
    <r>
      <t>kg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</si>
  <si>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kg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</si>
  <si>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kg ha</t>
    </r>
    <r>
      <rPr>
        <vertAlign val="superscript"/>
        <sz val="10"/>
        <color theme="1"/>
        <rFont val="Times New Roman"/>
        <family val="1"/>
      </rPr>
      <t xml:space="preserve">-1 </t>
    </r>
    <r>
      <rPr>
        <sz val="10"/>
        <color theme="1"/>
        <rFont val="Times New Roman"/>
        <family val="1"/>
      </rPr>
      <t>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</si>
  <si>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kg ha</t>
    </r>
    <r>
      <rPr>
        <vertAlign val="superscript"/>
        <sz val="10"/>
        <color theme="1"/>
        <rFont val="Times New Roman"/>
        <family val="1"/>
      </rPr>
      <t xml:space="preserve">-1 </t>
    </r>
    <r>
      <rPr>
        <sz val="10"/>
        <color theme="1"/>
        <rFont val="Times New Roman"/>
        <family val="1"/>
      </rPr>
      <t>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</si>
  <si>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kg ha</t>
    </r>
    <r>
      <rPr>
        <vertAlign val="superscript"/>
        <sz val="10"/>
        <color theme="1"/>
        <rFont val="Times New Roman"/>
        <family val="1"/>
      </rPr>
      <t xml:space="preserve">-1 </t>
    </r>
    <r>
      <rPr>
        <sz val="10"/>
        <color theme="1"/>
        <rFont val="Times New Roman"/>
        <family val="1"/>
      </rPr>
      <t>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</si>
  <si>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culm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</si>
  <si>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cm</t>
  </si>
  <si>
    <r>
      <t>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</si>
  <si>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LAI</t>
    <phoneticPr fontId="3" type="noConversion"/>
  </si>
  <si>
    <t>LAI</t>
    <phoneticPr fontId="3" type="noConversion"/>
  </si>
  <si>
    <t>%</t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</si>
  <si>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</si>
  <si>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</si>
  <si>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</si>
  <si>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 xml:space="preserve"> 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</si>
  <si>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 xml:space="preserve"> 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</si>
  <si>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r>
      <t>Mg C ha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 xml:space="preserve"> yr</t>
    </r>
    <r>
      <rPr>
        <vertAlign val="superscript"/>
        <sz val="10"/>
        <color theme="1"/>
        <rFont val="Times New Roman"/>
        <family val="1"/>
      </rPr>
      <t>-1</t>
    </r>
    <phoneticPr fontId="3" type="noConversion"/>
  </si>
  <si>
    <t>China</t>
  </si>
  <si>
    <t>Fangdang, north part of Fujian province (nearby Wu Yi Mount)</t>
    <phoneticPr fontId="3" type="noConversion"/>
  </si>
  <si>
    <t>SCf</t>
    <phoneticPr fontId="3" type="noConversion"/>
  </si>
  <si>
    <t>9 managed Moso bamboo (Phyllostachys pubescens) plots</t>
    <phoneticPr fontId="3" type="noConversion"/>
  </si>
  <si>
    <t>CN-FJP-FD-9P</t>
    <phoneticPr fontId="3" type="noConversion"/>
  </si>
  <si>
    <t>Zhuang et al. (2015)</t>
    <phoneticPr fontId="3" type="noConversion"/>
  </si>
  <si>
    <t>available</t>
    <phoneticPr fontId="3" type="noConversion"/>
  </si>
  <si>
    <t>https://www.researchgate.net/profile/Shunyao_Zhuang/publication/281752141_Carbon_storage_estimation_of_Moso_bamboo_Phyllostachys_pubescens_forest_stands_in_Fujian_China/links/569591e908ae3ad8e33d8918.pdf</t>
    <phoneticPr fontId="3" type="noConversion"/>
  </si>
  <si>
    <t>V</t>
    <phoneticPr fontId="3" type="noConversion"/>
  </si>
  <si>
    <t>Ouning, north part of Fujian province (nearby Wu Yi Mount)</t>
    <phoneticPr fontId="3" type="noConversion"/>
  </si>
  <si>
    <t>SCf</t>
    <phoneticPr fontId="3" type="noConversion"/>
  </si>
  <si>
    <t>CN-FJP-ON-9P</t>
    <phoneticPr fontId="3" type="noConversion"/>
  </si>
  <si>
    <t>Zhuang et al. (2015)</t>
  </si>
  <si>
    <t>Wuyishan Biosphere Reserv, Fujian</t>
    <phoneticPr fontId="3" type="noConversion"/>
  </si>
  <si>
    <t>SM</t>
    <phoneticPr fontId="3" type="noConversion"/>
  </si>
  <si>
    <t>unmanaged Phyllostachys heterocycla var. pubescens stand</t>
    <phoneticPr fontId="3" type="noConversion"/>
  </si>
  <si>
    <t>CN-FJP-WYS</t>
    <phoneticPr fontId="3" type="noConversion"/>
  </si>
  <si>
    <t>Li et al., 2006</t>
    <phoneticPr fontId="3" type="noConversion"/>
  </si>
  <si>
    <t>available</t>
    <phoneticPr fontId="3" type="noConversion"/>
  </si>
  <si>
    <t>https://www.ncbi.nlm.nih.gov/pmc/articles/PMC1635818/</t>
    <phoneticPr fontId="3" type="noConversion"/>
  </si>
  <si>
    <t>Xiaoqiao, north part of Fujian province (nearby Wu Yi Mount)</t>
    <phoneticPr fontId="3" type="noConversion"/>
  </si>
  <si>
    <t>9 managed Moso bamboo (Phyllostachys pubescens) plots</t>
    <phoneticPr fontId="3" type="noConversion"/>
  </si>
  <si>
    <t>CN-FJP-XQ-9P</t>
    <phoneticPr fontId="3" type="noConversion"/>
  </si>
  <si>
    <t>Zhuang et al. (2015)</t>
    <phoneticPr fontId="3" type="noConversion"/>
  </si>
  <si>
    <t>Fujian province, Yong'an county, Tianbaoyan National Nature Reserve</t>
  </si>
  <si>
    <t>SM</t>
    <phoneticPr fontId="3" type="noConversion"/>
  </si>
  <si>
    <t>Phyllostachys pubescens stand, 13 years fertilization. Management: bamboo shoots dug out in march, grass cut once during Jun - Sept.</t>
    <phoneticPr fontId="3" type="noConversion"/>
  </si>
  <si>
    <t>CN-FJP-YAC-TNNR-13YF</t>
    <phoneticPr fontId="3" type="noConversion"/>
  </si>
  <si>
    <t>Chen et al. (2012)</t>
    <phoneticPr fontId="3" type="noConversion"/>
  </si>
  <si>
    <t>http://zlxb.zafu.edu.cn/CN/10.11833/j.issn.2095-0756.2012.01.010</t>
    <phoneticPr fontId="3" type="noConversion"/>
  </si>
  <si>
    <t>V</t>
    <phoneticPr fontId="3" type="noConversion"/>
  </si>
  <si>
    <t>Fujian province, Yong'an county, Tianbaoyan National Nature Reserve</t>
    <phoneticPr fontId="3" type="noConversion"/>
  </si>
  <si>
    <r>
      <t>Pure phyllostachys edulis stand. Weeded once a year, fertilised every 2 yrs. Amount of fertilizers added = 0.25 kg per culm (N:P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>:K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O=9:5:6)</t>
    </r>
    <phoneticPr fontId="3" type="noConversion"/>
  </si>
  <si>
    <t>CN-FJP-YAC-TNNR-2YFEY</t>
    <phoneticPr fontId="3" type="noConversion"/>
  </si>
  <si>
    <t>Fan et al. (2011)</t>
    <phoneticPr fontId="3" type="noConversion"/>
  </si>
  <si>
    <t>available</t>
    <phoneticPr fontId="3" type="noConversion"/>
  </si>
  <si>
    <t>http://ahnydxxb.ahau.edu.cn/ch/reader/view_abstract.aspx?file_no=201106005&amp;flag=1</t>
    <phoneticPr fontId="3" type="noConversion"/>
  </si>
  <si>
    <t>V</t>
    <phoneticPr fontId="3" type="noConversion"/>
  </si>
  <si>
    <t>Phyllostachys pubescens stand, 5 years fertilization. Management: bamboo shoots dug out in march, grass cut once during Jun - Sept.</t>
    <phoneticPr fontId="3" type="noConversion"/>
  </si>
  <si>
    <t>CN-FJP-YAC-TNNR-5YF</t>
    <phoneticPr fontId="3" type="noConversion"/>
  </si>
  <si>
    <t>Chen et al. (2012)</t>
    <phoneticPr fontId="3" type="noConversion"/>
  </si>
  <si>
    <t>available</t>
    <phoneticPr fontId="3" type="noConversion"/>
  </si>
  <si>
    <t>http://zlxb.zafu.edu.cn/CN/10.11833/j.issn.2095-0756.2012.01.010</t>
    <phoneticPr fontId="3" type="noConversion"/>
  </si>
  <si>
    <t>SM</t>
    <phoneticPr fontId="3" type="noConversion"/>
  </si>
  <si>
    <t>Phyllostachys pubescens stand, no fertilization. Management: bamboo shoots dug out in march, grass cut once during Jun - Sept.</t>
    <phoneticPr fontId="3" type="noConversion"/>
  </si>
  <si>
    <t>CN-FJP-YAC-TNNR-NF</t>
    <phoneticPr fontId="3" type="noConversion"/>
  </si>
  <si>
    <t>V</t>
    <phoneticPr fontId="3" type="noConversion"/>
  </si>
  <si>
    <t>Dingmushan Forest Farm, Chibi city, Hubei province</t>
  </si>
  <si>
    <t>SCf</t>
    <phoneticPr fontId="3" type="noConversion"/>
  </si>
  <si>
    <t xml:space="preserve">Moso bamboo in managed stand with appling pesticides </t>
    <phoneticPr fontId="3" type="noConversion"/>
  </si>
  <si>
    <t>CN-HBP-CC-DFF-AP</t>
    <phoneticPr fontId="3" type="noConversion"/>
  </si>
  <si>
    <t>Tang et al. (2015)</t>
    <phoneticPr fontId="3" type="noConversion"/>
  </si>
  <si>
    <t>http://www.sisef.it/iforest/contents/?id=ifor1674-008</t>
  </si>
  <si>
    <t>SCf</t>
    <phoneticPr fontId="3" type="noConversion"/>
  </si>
  <si>
    <t>Moso bamboo in managed stand with hand-weeded</t>
    <phoneticPr fontId="3" type="noConversion"/>
  </si>
  <si>
    <t>CN-HBP-CC-DFF-HW</t>
    <phoneticPr fontId="3" type="noConversion"/>
  </si>
  <si>
    <t>Tang et al. (2015)</t>
  </si>
  <si>
    <t>available</t>
    <phoneticPr fontId="3" type="noConversion"/>
  </si>
  <si>
    <t>Dingmushan Forest Farm, Chibi city, Hubei province</t>
    <phoneticPr fontId="3" type="noConversion"/>
  </si>
  <si>
    <t>SCf</t>
    <phoneticPr fontId="3" type="noConversion"/>
  </si>
  <si>
    <t>Moso bamboo in unmanaged stand</t>
    <phoneticPr fontId="3" type="noConversion"/>
  </si>
  <si>
    <t>CN-HBP-CC-DMS</t>
    <phoneticPr fontId="3" type="noConversion"/>
  </si>
  <si>
    <t>Tang et al. (2015)</t>
    <phoneticPr fontId="3" type="noConversion"/>
  </si>
  <si>
    <t>Huitong County, Hunan province</t>
    <phoneticPr fontId="3" type="noConversion"/>
  </si>
  <si>
    <t>SCf</t>
    <phoneticPr fontId="3" type="noConversion"/>
  </si>
  <si>
    <t>unmanaged before 1988</t>
    <phoneticPr fontId="3" type="noConversion"/>
  </si>
  <si>
    <t>CN-HNP-HTC</t>
    <phoneticPr fontId="3" type="noConversion"/>
  </si>
  <si>
    <t>Xiao et al. (2009); Xiao et al. (2010)</t>
    <phoneticPr fontId="3" type="noConversion"/>
  </si>
  <si>
    <t>http://www.airitilibrary.com/Publication/alDetailedMesh?DocID=10017488-201011-201101220039-201101220039-59-65</t>
    <phoneticPr fontId="3" type="noConversion"/>
  </si>
  <si>
    <t>Fengyi county, Jiangxi province</t>
    <phoneticPr fontId="3" type="noConversion"/>
  </si>
  <si>
    <t>Mount Dagangshan experimental area within Subtropical Forest Experimental Center, Chinese Academy of Forestry, Fengyi county, Jiangxi province (huge cold damaged)</t>
    <phoneticPr fontId="3" type="noConversion"/>
  </si>
  <si>
    <t>CN-JXP-FYC-MDASEA</t>
    <phoneticPr fontId="3" type="noConversion"/>
  </si>
  <si>
    <t>Zhou et al. (2011)</t>
    <phoneticPr fontId="3" type="noConversion"/>
  </si>
  <si>
    <t>available</t>
    <phoneticPr fontId="3" type="noConversion"/>
  </si>
  <si>
    <t>https://agupubs.onlinelibrary.wiley.com/doi/full/10.1029/2009JG001234</t>
    <phoneticPr fontId="3" type="noConversion"/>
  </si>
  <si>
    <t>Middle subtropical of China</t>
    <phoneticPr fontId="3" type="noConversion"/>
  </si>
  <si>
    <t>18 Phyllostachys pubescens study sites for middle subtropical of China (MS)</t>
    <phoneticPr fontId="3" type="noConversion"/>
  </si>
  <si>
    <t>CN-MS-18P</t>
    <phoneticPr fontId="3" type="noConversion"/>
  </si>
  <si>
    <t>Wang et al., 2013 (Zhou&amp;Jiang, 2004; Gao, 2004; Wang et al., 2009; Xiao et al., 2010; Zhang, 2008)</t>
    <phoneticPr fontId="3" type="noConversion"/>
  </si>
  <si>
    <t>https://www.jstor.org/stable/43595383?read-now=1&amp;seq=1#page_scan_tab_contents</t>
  </si>
  <si>
    <t>V</t>
    <phoneticPr fontId="3" type="noConversion"/>
  </si>
  <si>
    <t>North subtropical of China</t>
    <phoneticPr fontId="3" type="noConversion"/>
  </si>
  <si>
    <t>4 Phyllostachys pubescens study sites for north subtropical of China (NS)</t>
    <phoneticPr fontId="3" type="noConversion"/>
  </si>
  <si>
    <t>CN-NS-4P</t>
    <phoneticPr fontId="3" type="noConversion"/>
  </si>
  <si>
    <t>Wang et al., 2013 (Zhang&amp;Ding, 1997; Pan et al., 2010)</t>
    <phoneticPr fontId="3" type="noConversion"/>
  </si>
  <si>
    <t>Southenwest mountain subtropical of China</t>
    <phoneticPr fontId="3" type="noConversion"/>
  </si>
  <si>
    <t>SM</t>
    <phoneticPr fontId="3" type="noConversion"/>
  </si>
  <si>
    <t>2 Phyllostachys pubescens study sites for southenwest mountain subtropical of China (SM)</t>
    <phoneticPr fontId="3" type="noConversion"/>
  </si>
  <si>
    <t>CN-SM-2P</t>
    <phoneticPr fontId="3" type="noConversion"/>
  </si>
  <si>
    <t>Wang et al., 2013 (Qi et al., 2009)</t>
    <phoneticPr fontId="3" type="noConversion"/>
  </si>
  <si>
    <t>South subtropical of China</t>
    <phoneticPr fontId="3" type="noConversion"/>
  </si>
  <si>
    <t>SM</t>
    <phoneticPr fontId="3" type="noConversion"/>
  </si>
  <si>
    <t>6 Phyllostachys pubescens study sites for south subtropical of China (SS)</t>
    <phoneticPr fontId="3" type="noConversion"/>
  </si>
  <si>
    <t>CN-SS-6P</t>
    <phoneticPr fontId="3" type="noConversion"/>
  </si>
  <si>
    <t>Wang et al., 2013 (He et al., 2008; Zheng et al., 2008)</t>
  </si>
  <si>
    <t>Anji county and Longquan city, Zhejiang province</t>
  </si>
  <si>
    <t>105 plots for Phyllostachys edulis forest</t>
    <phoneticPr fontId="3" type="noConversion"/>
  </si>
  <si>
    <t>CN-ZJP-AJC-105P</t>
    <phoneticPr fontId="3" type="noConversion"/>
  </si>
  <si>
    <t>Fan et al. (2013)</t>
    <phoneticPr fontId="3" type="noConversion"/>
  </si>
  <si>
    <t>available</t>
    <phoneticPr fontId="3" type="noConversion"/>
  </si>
  <si>
    <t>http://html.rhhz.net/linyekexue/html/20131125.htm</t>
    <phoneticPr fontId="3" type="noConversion"/>
  </si>
  <si>
    <t>Anji county, NW Zhejiang province, E China</t>
    <phoneticPr fontId="3" type="noConversion"/>
  </si>
  <si>
    <t>28/73 plots for Moso bamboo (Phyllostachys pubescens)(extensive)</t>
    <phoneticPr fontId="3" type="noConversion"/>
  </si>
  <si>
    <t>CN-ZJP-AJC-EX</t>
    <phoneticPr fontId="3" type="noConversion"/>
  </si>
  <si>
    <t>Fu et al. (2014)</t>
    <phoneticPr fontId="3" type="noConversion"/>
  </si>
  <si>
    <t>https://link.springer.com/article/10.1007/s11368-013-0665-7</t>
  </si>
  <si>
    <t>Anji county, NW Zhejiang province, E China</t>
  </si>
  <si>
    <t>26/73 plots for Moso bamboo (Phyllostachys pubescens) (intensive)</t>
    <phoneticPr fontId="3" type="noConversion"/>
  </si>
  <si>
    <t>CN-ZJP-AJC-IN</t>
    <phoneticPr fontId="3" type="noConversion"/>
  </si>
  <si>
    <t>Fu et al. (2014)</t>
  </si>
  <si>
    <t>19/73 plots for Moso bamboo (Phyllostachys pubescens) (moderate)</t>
    <phoneticPr fontId="3" type="noConversion"/>
  </si>
  <si>
    <t>CN-ZJP-AJC-MO</t>
    <phoneticPr fontId="3" type="noConversion"/>
  </si>
  <si>
    <t>Zhejiang province , Lin'an city, Banqiao village</t>
    <phoneticPr fontId="3" type="noConversion"/>
  </si>
  <si>
    <t>18 plots for Phyllostachys edulis stand.</t>
    <phoneticPr fontId="3" type="noConversion"/>
  </si>
  <si>
    <t>CN-ZJP-LAC-BV-18P</t>
    <phoneticPr fontId="3" type="noConversion"/>
  </si>
  <si>
    <t>Fan et al. (2012)</t>
    <phoneticPr fontId="3" type="noConversion"/>
  </si>
  <si>
    <t>http://zlxb.zafu.edu.cn/EN/10.11833/j.issn.2095-0756.2012.03.001#1</t>
    <phoneticPr fontId="3" type="noConversion"/>
  </si>
  <si>
    <t>Zhejiang province, Lin'an City, Qingshan Town</t>
    <phoneticPr fontId="3" type="noConversion"/>
  </si>
  <si>
    <t>3 plots for Moso bamboo control</t>
    <phoneticPr fontId="3" type="noConversion"/>
  </si>
  <si>
    <t>CN-ZJP-LAC-QST-CON</t>
    <phoneticPr fontId="3" type="noConversion"/>
  </si>
  <si>
    <t>Song et al. (2020)</t>
    <phoneticPr fontId="3" type="noConversion"/>
  </si>
  <si>
    <t>https://advances.sciencemag.org/content/6/12/eaaw5790</t>
    <phoneticPr fontId="3" type="noConversion"/>
  </si>
  <si>
    <t>Zhejiang province, Lin'an City, Qingshan Town</t>
    <phoneticPr fontId="3" type="noConversion"/>
  </si>
  <si>
    <t>3 plots for Moso bamboo high N treatment</t>
    <phoneticPr fontId="3" type="noConversion"/>
  </si>
  <si>
    <t>CN-ZJP-LAC-QST-HN</t>
    <phoneticPr fontId="3" type="noConversion"/>
  </si>
  <si>
    <t>Song et al. (2020)</t>
    <phoneticPr fontId="3" type="noConversion"/>
  </si>
  <si>
    <t>https://advances.sciencemag.org/content/6/12/eaaw5793</t>
  </si>
  <si>
    <t>3 plots for Moso bamboo low N treatment</t>
    <phoneticPr fontId="3" type="noConversion"/>
  </si>
  <si>
    <t>CN-ZJP-LAC-QST-LN</t>
    <phoneticPr fontId="3" type="noConversion"/>
  </si>
  <si>
    <t>https://advances.sciencemag.org/content/6/12/eaaw5791</t>
  </si>
  <si>
    <t>3 plots for Moso bamboo midle N treatment</t>
    <phoneticPr fontId="3" type="noConversion"/>
  </si>
  <si>
    <t>CN-ZJP-LAC-QST-MN</t>
    <phoneticPr fontId="3" type="noConversion"/>
  </si>
  <si>
    <t>Song et al. (2020)</t>
    <phoneticPr fontId="3" type="noConversion"/>
  </si>
  <si>
    <t>https://advances.sciencemag.org/content/6/12/eaaw5792</t>
  </si>
  <si>
    <t xml:space="preserve">Zhejiang province, Miaoshanwu Nature Reserve </t>
    <phoneticPr fontId="3" type="noConversion"/>
  </si>
  <si>
    <t>Moso bamboo in managed stand with high produciton</t>
    <phoneticPr fontId="3" type="noConversion"/>
  </si>
  <si>
    <t>CN-ZJP-MNR-HP</t>
    <phoneticPr fontId="3" type="noConversion"/>
  </si>
  <si>
    <t>Huang et al. (1993)</t>
    <phoneticPr fontId="3" type="noConversion"/>
  </si>
  <si>
    <t>http://kns.cnki.net/kcms/detail/detail.aspx?DbCode=CJFD&amp;dbname=CJFD9093&amp;filename=LYKX199305011</t>
    <phoneticPr fontId="3" type="noConversion"/>
  </si>
  <si>
    <t>V</t>
    <phoneticPr fontId="3" type="noConversion"/>
  </si>
  <si>
    <t xml:space="preserve">Zhejiang province, Miaoshanwu Nature Reserve </t>
    <phoneticPr fontId="3" type="noConversion"/>
  </si>
  <si>
    <t>Moso bamboo in managed stand with middle produciton</t>
    <phoneticPr fontId="3" type="noConversion"/>
  </si>
  <si>
    <t>CN-ZJP-MNR-MP</t>
    <phoneticPr fontId="3" type="noConversion"/>
  </si>
  <si>
    <t>Huang et al. (1993)</t>
    <phoneticPr fontId="3" type="noConversion"/>
  </si>
  <si>
    <t>Japan</t>
    <phoneticPr fontId="3" type="noConversion"/>
  </si>
  <si>
    <t>Aichi Prefecture, Japan</t>
    <phoneticPr fontId="3" type="noConversion"/>
  </si>
  <si>
    <t>TeDo</t>
    <phoneticPr fontId="3" type="noConversion"/>
  </si>
  <si>
    <t>unmanaged Moso bamboo (Phyllostachys pubescens) in Kanpachi, Toyota city</t>
    <phoneticPr fontId="3" type="noConversion"/>
  </si>
  <si>
    <t>JP-ACP-KPC-UM</t>
    <phoneticPr fontId="3" type="noConversion"/>
  </si>
  <si>
    <r>
      <t xml:space="preserve">Umemura and Takenaka (2014); </t>
    </r>
    <r>
      <rPr>
        <sz val="10"/>
        <color rgb="FFFF0000"/>
        <rFont val="Times New Roman"/>
        <family val="1"/>
      </rPr>
      <t>Umemura and Takenaka unpublished data</t>
    </r>
    <phoneticPr fontId="3" type="noConversion"/>
  </si>
  <si>
    <t>https://esj-journals.onlinelibrary.wiley.com/doi/pdf/10.1007/s11284-014-1150-5</t>
    <phoneticPr fontId="3" type="noConversion"/>
  </si>
  <si>
    <t>Japan</t>
    <phoneticPr fontId="3" type="noConversion"/>
  </si>
  <si>
    <t>unmanaged Moso bamboo (Phyllostachys pubescens) in Noguchi, Toyota city</t>
    <phoneticPr fontId="3" type="noConversion"/>
  </si>
  <si>
    <t>JP-ACP-NGC-UM</t>
    <phoneticPr fontId="3" type="noConversion"/>
  </si>
  <si>
    <t>https://esj-journals.onlinelibrary.wiley.com/doi/pdf/10.1007/s11284-014-1150-5</t>
    <phoneticPr fontId="3" type="noConversion"/>
  </si>
  <si>
    <t>Japan</t>
    <phoneticPr fontId="3" type="noConversion"/>
  </si>
  <si>
    <t>TeDo</t>
    <phoneticPr fontId="3" type="noConversion"/>
  </si>
  <si>
    <t>unmanaged Moso bamboo (Phyllostachys pubescens) in Seto, Seto city (nearby nagoya)</t>
    <phoneticPr fontId="3" type="noConversion"/>
  </si>
  <si>
    <t>JP-ACP-ST-UM</t>
    <phoneticPr fontId="3" type="noConversion"/>
  </si>
  <si>
    <t>Japan</t>
  </si>
  <si>
    <t>Fukuoka Prefecture, Japan</t>
    <phoneticPr fontId="3" type="noConversion"/>
  </si>
  <si>
    <t>unmanaged Phyllostachys pubescens stand in Munakata city</t>
    <phoneticPr fontId="3" type="noConversion"/>
  </si>
  <si>
    <t>JP-FOP-MKC-UM</t>
    <phoneticPr fontId="3" type="noConversion"/>
  </si>
  <si>
    <t>Fujii et al. (2005)</t>
    <phoneticPr fontId="3" type="noConversion"/>
  </si>
  <si>
    <t>https://www.jstage.jst.go.jp/article/jila/68/5/68_5_689/_article/-char/ja</t>
  </si>
  <si>
    <t>Gifu Prefecture, Japan</t>
    <phoneticPr fontId="3" type="noConversion"/>
  </si>
  <si>
    <r>
      <t>unmanaged Moso bamboo (Phyllostachys pubescens) with Hachiku bamboo (Phyllostachys nigra</t>
    </r>
    <r>
      <rPr>
        <sz val="10"/>
        <color rgb="FFFF0000"/>
        <rFont val="Times New Roman"/>
        <family val="1"/>
      </rPr>
      <t xml:space="preserve"> var. henonis</t>
    </r>
    <r>
      <rPr>
        <sz val="10"/>
        <color theme="1"/>
        <rFont val="Times New Roman"/>
        <family val="1"/>
      </rPr>
      <t xml:space="preserve">) </t>
    </r>
    <r>
      <rPr>
        <sz val="10"/>
        <color rgb="FFFF0000"/>
        <rFont val="Times New Roman"/>
        <family val="1"/>
      </rPr>
      <t>in Fujihashi mura</t>
    </r>
    <phoneticPr fontId="3" type="noConversion"/>
  </si>
  <si>
    <t>JP-GFP-FHM-UM</t>
    <phoneticPr fontId="3" type="noConversion"/>
  </si>
  <si>
    <t>Zhang et al. (2005)</t>
    <phoneticPr fontId="3" type="noConversion"/>
  </si>
  <si>
    <t>https://www.jstage.jst.go.jp/article/jass/21/1/21_65/_pdf/-char/ja</t>
    <phoneticPr fontId="3" type="noConversion"/>
  </si>
  <si>
    <t>Gifu Prefecture, Japan</t>
    <phoneticPr fontId="3" type="noConversion"/>
  </si>
  <si>
    <t>TeDo</t>
    <phoneticPr fontId="3" type="noConversion"/>
  </si>
  <si>
    <t>managed Phyllostachys pubescens stand in Tsubakibora, Gifu city</t>
  </si>
  <si>
    <t>JP-GFP-TBK-M</t>
    <phoneticPr fontId="3" type="noConversion"/>
  </si>
  <si>
    <t>Goto et al. (2008)</t>
    <phoneticPr fontId="3" type="noConversion"/>
  </si>
  <si>
    <t>https://www.jstage.jst.go.jp/article/jass/24/4/24_243/_article/-char/ja/</t>
    <phoneticPr fontId="3" type="noConversion"/>
  </si>
  <si>
    <t>Gifu Prefecture, Japan</t>
    <phoneticPr fontId="3" type="noConversion"/>
  </si>
  <si>
    <t>unmanaged Phyllostachys pubescens stand in Tsubakibora, Gifu city</t>
  </si>
  <si>
    <t>JP-GFP-TBK-UM</t>
    <phoneticPr fontId="3" type="noConversion"/>
  </si>
  <si>
    <t>Goto et al. (2008)</t>
  </si>
  <si>
    <t>https://www.jstage.jst.go.jp/article/jass/24/4/24_243/_article/-char/ja/</t>
    <phoneticPr fontId="3" type="noConversion"/>
  </si>
  <si>
    <t>Gifu Prefecture, Japan</t>
    <phoneticPr fontId="3" type="noConversion"/>
  </si>
  <si>
    <r>
      <t xml:space="preserve">unmanaged Phyllostachys pubescens </t>
    </r>
    <r>
      <rPr>
        <sz val="10"/>
        <color rgb="FFFF0000"/>
        <rFont val="Times New Roman"/>
        <family val="1"/>
      </rPr>
      <t>with Hachiku bamboo (Phyllostachys nigra var. henonis) stand, Tokuyama, Ibigawa cho</t>
    </r>
  </si>
  <si>
    <t>JP-GFP-TY-UM</t>
    <phoneticPr fontId="3" type="noConversion"/>
  </si>
  <si>
    <t>Goto et al. (2008)</t>
    <phoneticPr fontId="3" type="noConversion"/>
  </si>
  <si>
    <t>https://www.jstage.jst.go.jp/article/jass/24/4/24_243/_article/-char/ja/</t>
    <phoneticPr fontId="3" type="noConversion"/>
  </si>
  <si>
    <t>Kochi Prefecture, Japan</t>
    <phoneticPr fontId="3" type="noConversion"/>
  </si>
  <si>
    <t>SCf</t>
    <phoneticPr fontId="3" type="noConversion"/>
  </si>
  <si>
    <r>
      <t xml:space="preserve">unmanaged </t>
    </r>
    <r>
      <rPr>
        <sz val="10"/>
        <color rgb="FFFF0000"/>
        <rFont val="Times New Roman"/>
        <family val="1"/>
      </rPr>
      <t>Moso bamboo forests (0.43ha) in Kouchi city</t>
    </r>
    <phoneticPr fontId="3" type="noConversion"/>
  </si>
  <si>
    <t>JP-KCP-UM</t>
    <phoneticPr fontId="3" type="noConversion"/>
  </si>
  <si>
    <t>Itou et al. (2018)</t>
    <phoneticPr fontId="3" type="noConversion"/>
  </si>
  <si>
    <t>https://www.jstage.jst.go.jp/article/jjfs/100/4/100_124/_article/-char/ja</t>
    <phoneticPr fontId="3" type="noConversion"/>
  </si>
  <si>
    <t>V</t>
    <phoneticPr fontId="3" type="noConversion"/>
  </si>
  <si>
    <t>Kagawa Prefecture, Japan</t>
  </si>
  <si>
    <t>TeDo</t>
    <phoneticPr fontId="3" type="noConversion"/>
  </si>
  <si>
    <t>unmanaged Moso bamboo (Phyllostachys pubescens) in Takanmatsu city</t>
    <phoneticPr fontId="3" type="noConversion"/>
  </si>
  <si>
    <t>JP-KGP-TMC-UM</t>
    <phoneticPr fontId="3" type="noConversion"/>
  </si>
  <si>
    <t>Kobayashi and Tada (2010) -&gt; as a kind of unpublished data of Kobayashi and Tada (2020)</t>
    <phoneticPr fontId="3" type="noConversion"/>
  </si>
  <si>
    <t>https://www.jstage.jst.go.jp/article/jjsk/58/0/58_KJ00006203544/_article/-char/ja/</t>
    <phoneticPr fontId="3" type="noConversion"/>
  </si>
  <si>
    <t>Kagawa Prefecture, Japan</t>
    <phoneticPr fontId="3" type="noConversion"/>
  </si>
  <si>
    <t>TeDo</t>
    <phoneticPr fontId="3" type="noConversion"/>
  </si>
  <si>
    <t>5 unmanaged Moso bamboo (Phyllostachys pubescens) invading to forests in Takanmatsu city</t>
  </si>
  <si>
    <t>JP-KGP-TMC-UMIF</t>
    <phoneticPr fontId="3" type="noConversion"/>
  </si>
  <si>
    <t>Kobayashi and Tada (2010) -&gt; as a kind of unpublished data of Kobayashi and Tada (2020)</t>
    <phoneticPr fontId="3" type="noConversion"/>
  </si>
  <si>
    <t>https://www.jstage.jst.go.jp/article/jjsk/58/0/58_KJ00006203544/_article/-char/ja/</t>
  </si>
  <si>
    <t>Kagoshima Prefecture, Japan</t>
    <phoneticPr fontId="3" type="noConversion"/>
  </si>
  <si>
    <r>
      <t xml:space="preserve">2 unmanaged Moso bamboo (Phyllostachys pubescens) forest in </t>
    </r>
    <r>
      <rPr>
        <sz val="10"/>
        <color rgb="FFFF0000"/>
        <rFont val="Times New Roman"/>
        <family val="1"/>
      </rPr>
      <t>Aira cho</t>
    </r>
    <r>
      <rPr>
        <sz val="10"/>
        <color theme="1"/>
        <rFont val="Times New Roman"/>
        <family val="1"/>
      </rPr>
      <t xml:space="preserve"> (P3, P6) (5</t>
    </r>
  </si>
  <si>
    <t>JP-KGSMP-AIRC-UM</t>
    <phoneticPr fontId="3" type="noConversion"/>
  </si>
  <si>
    <r>
      <t xml:space="preserve">Kumemura et al. (2009), </t>
    </r>
    <r>
      <rPr>
        <sz val="10"/>
        <color rgb="FFFF0000"/>
        <rFont val="Times New Roman"/>
        <family val="1"/>
      </rPr>
      <t>Murakami et al. (2006)</t>
    </r>
    <phoneticPr fontId="3" type="noConversion"/>
  </si>
  <si>
    <t>https://ir.kagoshima-u.ac.jp/?action=pages_view_main&amp;active_action=repository_view_main_item_detail&amp;item_id=12611&amp;item_no=1&amp;page_id=13&amp;block_id=21</t>
  </si>
  <si>
    <t>Kagoshima Prefecture, Japan</t>
  </si>
  <si>
    <r>
      <t xml:space="preserve">1 unmanaged Moso bamboo (Phyllostachys pubescens) forest in </t>
    </r>
    <r>
      <rPr>
        <sz val="10"/>
        <color rgb="FFFF0000"/>
        <rFont val="Times New Roman"/>
        <family val="1"/>
      </rPr>
      <t>Minami-kyusyu city</t>
    </r>
    <r>
      <rPr>
        <sz val="10"/>
        <color theme="1"/>
        <rFont val="Times New Roman"/>
        <family val="1"/>
      </rPr>
      <t xml:space="preserve"> (P4) (5</t>
    </r>
  </si>
  <si>
    <t>JP-KGSMP-CRC-UM</t>
    <phoneticPr fontId="3" type="noConversion"/>
  </si>
  <si>
    <r>
      <t xml:space="preserve">Kumemura et al. (2009), </t>
    </r>
    <r>
      <rPr>
        <sz val="10"/>
        <color rgb="FFFF0000"/>
        <rFont val="Times New Roman"/>
        <family val="1"/>
      </rPr>
      <t>Murakami et al. (2006)</t>
    </r>
  </si>
  <si>
    <r>
      <t xml:space="preserve">3 unmanaged Moso bamboo (Phyllostachys pubescens) forests in </t>
    </r>
    <r>
      <rPr>
        <sz val="10"/>
        <color rgb="FFFF0000"/>
        <rFont val="Times New Roman"/>
        <family val="1"/>
      </rPr>
      <t>Sa</t>
    </r>
    <r>
      <rPr>
        <sz val="10"/>
        <color theme="1"/>
        <rFont val="Times New Roman"/>
        <family val="1"/>
      </rPr>
      <t xml:space="preserve">tsuma </t>
    </r>
    <r>
      <rPr>
        <sz val="10"/>
        <color rgb="FFFF0000"/>
        <rFont val="Times New Roman"/>
        <family val="1"/>
      </rPr>
      <t>cho</t>
    </r>
    <r>
      <rPr>
        <sz val="10"/>
        <color theme="1"/>
        <rFont val="Times New Roman"/>
        <family val="1"/>
      </rPr>
      <t xml:space="preserve"> (P1, P2, P5) (5</t>
    </r>
  </si>
  <si>
    <t>JP-KGSMP-KTMC-UM</t>
    <phoneticPr fontId="3" type="noConversion"/>
  </si>
  <si>
    <t>Kasuya Research forest, Fukuoka Prefecture, Japan</t>
    <phoneticPr fontId="3" type="noConversion"/>
  </si>
  <si>
    <r>
      <rPr>
        <sz val="10"/>
        <color rgb="FFFF0000"/>
        <rFont val="Times New Roman"/>
        <family val="1"/>
      </rPr>
      <t xml:space="preserve">managed </t>
    </r>
    <r>
      <rPr>
        <sz val="10"/>
        <color theme="1"/>
        <rFont val="Times New Roman"/>
        <family val="1"/>
      </rPr>
      <t>Phyllostachys pubescens forest (bamboo shoot harvested forest)</t>
    </r>
  </si>
  <si>
    <t>JP-KRF</t>
    <phoneticPr fontId="3" type="noConversion"/>
  </si>
  <si>
    <t>Katayama et al (2018)</t>
    <phoneticPr fontId="3" type="noConversion"/>
  </si>
  <si>
    <t>https://catalog.lib.kyushu-u.ac.jp/opac_detail_md/?lang=0&amp;amode=MD100000&amp;bibid=1913975</t>
  </si>
  <si>
    <t>Kasuya Research forest, Fukuoka Prefecture, Japan</t>
  </si>
  <si>
    <r>
      <rPr>
        <sz val="10"/>
        <color rgb="FFFF0000"/>
        <rFont val="Times New Roman"/>
        <family val="1"/>
      </rPr>
      <t>unmanaged</t>
    </r>
    <r>
      <rPr>
        <sz val="10"/>
        <color theme="1"/>
        <rFont val="Times New Roman"/>
        <family val="1"/>
      </rPr>
      <t xml:space="preserve"> Phyllostachys pubescens forest (control)</t>
    </r>
  </si>
  <si>
    <t>JP-KRF-UM</t>
    <phoneticPr fontId="3" type="noConversion"/>
  </si>
  <si>
    <t>Katayama et al (2018)</t>
    <phoneticPr fontId="3" type="noConversion"/>
  </si>
  <si>
    <t>available</t>
    <phoneticPr fontId="3" type="noConversion"/>
  </si>
  <si>
    <t>https://catalog.lib.kyushu-u.ac.jp/opac_detail_md/?lang=0&amp;amode=MD100000&amp;bibid=1913975</t>
    <phoneticPr fontId="3" type="noConversion"/>
  </si>
  <si>
    <t>Kyoto Prefecture, Japan</t>
  </si>
  <si>
    <t>managed moso bamboo stands with clear cutting in the experimental forest of FFPRI Kansai, Kyoto city</t>
    <phoneticPr fontId="3" type="noConversion"/>
  </si>
  <si>
    <t>JP-KTP-CT89</t>
    <phoneticPr fontId="3" type="noConversion"/>
  </si>
  <si>
    <t>Kawahara et al. (1987)</t>
    <phoneticPr fontId="3" type="noConversion"/>
  </si>
  <si>
    <t>non-available</t>
  </si>
  <si>
    <t>http://web.kyoto-inet.or.jp/people/j-bamboo/bj-5.html</t>
  </si>
  <si>
    <t>V</t>
    <phoneticPr fontId="3" type="noConversion"/>
  </si>
  <si>
    <t>3 unmanaged Phyllostachys pubescens stands in Goryo, Kyoto city</t>
  </si>
  <si>
    <t>JP-KTP-GR-UM</t>
    <phoneticPr fontId="3" type="noConversion"/>
  </si>
  <si>
    <t>Watanabe (1985)</t>
    <phoneticPr fontId="3" type="noConversion"/>
  </si>
  <si>
    <t>http://web.kyoto-inet.or.jp/people/j-bamboo/bj-3.html</t>
  </si>
  <si>
    <t>unmanaged Moso bamboo forests in Kyoto Gakuen University, Sogabe-cho, Kameoka city</t>
    <phoneticPr fontId="3" type="noConversion"/>
  </si>
  <si>
    <t>JP-KTP-KOC-UM</t>
    <phoneticPr fontId="3" type="noConversion"/>
  </si>
  <si>
    <t>Fujii and Nakagawa (2010)</t>
    <phoneticPr fontId="3" type="noConversion"/>
  </si>
  <si>
    <t>http://web.kyoto-inet.or.jp/people/j-bamboo/bj-27.html</t>
  </si>
  <si>
    <t>Rough managed moso bamboo stands in the experimental forest of FFPRI Kansai, Kyoto city</t>
  </si>
  <si>
    <t>JP-KTP-M2019</t>
  </si>
  <si>
    <t>This study</t>
    <phoneticPr fontId="3" type="noConversion"/>
  </si>
  <si>
    <t>X</t>
    <phoneticPr fontId="3" type="noConversion"/>
  </si>
  <si>
    <t>V</t>
  </si>
  <si>
    <t>3 managed moso bamboo stands in the experimental forest of FFPRI Kansai, Kyoto city</t>
  </si>
  <si>
    <t>JP-KTP-M71</t>
    <phoneticPr fontId="3" type="noConversion"/>
  </si>
  <si>
    <t>Suzuki (1976)</t>
    <phoneticPr fontId="3" type="noConversion"/>
  </si>
  <si>
    <t>It is a precious data evenough it seems have not been peer-reviewed. But the auther discribed the process detailed enough compared with other peer-reviewed articles (Literature is in the Kyoto University Library)</t>
    <phoneticPr fontId="3" type="noConversion"/>
  </si>
  <si>
    <t>TeDo</t>
    <phoneticPr fontId="3" type="noConversion"/>
  </si>
  <si>
    <t>managed moso bamboo stands with selective cutting in the experimental forest of FFPRI Kansai, Kyoto city</t>
  </si>
  <si>
    <t>JP-KTP-M89</t>
    <phoneticPr fontId="3" type="noConversion"/>
  </si>
  <si>
    <t>Kawahara et al. (1987)</t>
    <phoneticPr fontId="3" type="noConversion"/>
  </si>
  <si>
    <t>5 unmanaged Phyllostachys pubescens stands] in Matsuo, Kyoto city</t>
    <phoneticPr fontId="3" type="noConversion"/>
  </si>
  <si>
    <t>JP-KTP-MO-UM</t>
    <phoneticPr fontId="3" type="noConversion"/>
  </si>
  <si>
    <t>Watanabe (1985)</t>
  </si>
  <si>
    <t>non-available</t>
    <phoneticPr fontId="3" type="noConversion"/>
  </si>
  <si>
    <t>unmanaged Phyllostachys pubescens stand in Nakayama, Kyoto city</t>
    <phoneticPr fontId="3" type="noConversion"/>
  </si>
  <si>
    <t>JP-KTP-NY-UM</t>
    <phoneticPr fontId="3" type="noConversion"/>
  </si>
  <si>
    <t>unmanaged moso bamboo stands (original condition) in the experimental forest of FFPRI Kansai, Kyoto city</t>
    <phoneticPr fontId="3" type="noConversion"/>
  </si>
  <si>
    <t>JP-KTP-UM84</t>
    <phoneticPr fontId="3" type="noConversion"/>
  </si>
  <si>
    <t>Kawahara et al. (1987)</t>
  </si>
  <si>
    <t>unmanaged moso bamboo stands (controls) in the experimental forest of FFPRI Kansai, Kyoto city</t>
    <phoneticPr fontId="3" type="noConversion"/>
  </si>
  <si>
    <t>JP-KTP-UM89</t>
    <phoneticPr fontId="3" type="noConversion"/>
  </si>
  <si>
    <t>Kyoto Prefecture, Japan</t>
    <phoneticPr fontId="3" type="noConversion"/>
  </si>
  <si>
    <t>unmanaged Phyllostachys pubescens stand in the experimental forest of FFPRI Kansai, Kyoto city</t>
  </si>
  <si>
    <t>JP-KTP-UM91</t>
    <phoneticPr fontId="3" type="noConversion"/>
  </si>
  <si>
    <t>Isagi et al. (1997)</t>
    <phoneticPr fontId="3" type="noConversion"/>
  </si>
  <si>
    <t>https://link.springer.com/article/10.1023/A:1009711814070</t>
  </si>
  <si>
    <t>Osaka Prefecture, Japan</t>
  </si>
  <si>
    <t>TeDo</t>
  </si>
  <si>
    <t>unmanaged Phyllostachys pubescens Mazel ex Houzeau forest in Mt Tennou in 2005</t>
    <phoneticPr fontId="3" type="noConversion"/>
  </si>
  <si>
    <t>JP-OSP-MTO-UM-abe05</t>
    <phoneticPr fontId="3" type="noConversion"/>
  </si>
  <si>
    <t>Abe and Shibata (2009)</t>
    <phoneticPr fontId="3" type="noConversion"/>
  </si>
  <si>
    <t>https://www.jstage.jst.go.jp/article/jjsrt/35/1/35_1_57/_article/-char/ja</t>
    <phoneticPr fontId="3" type="noConversion"/>
  </si>
  <si>
    <t>unmanaged Phyllostachys pubescens Mazel ex Houzeau forest in Mt Tennou in 2006</t>
    <phoneticPr fontId="3" type="noConversion"/>
  </si>
  <si>
    <t>JP-OSP-MTO-UM-abe06</t>
    <phoneticPr fontId="3" type="noConversion"/>
  </si>
  <si>
    <t>Abe and Shibata (2009)</t>
  </si>
  <si>
    <t>https://www.jstage.jst.go.jp/article/jjsrt/35/1/35_1_57/_article/-char/ja</t>
    <phoneticPr fontId="3" type="noConversion"/>
  </si>
  <si>
    <t>unmanaged Phyllostachys pubescens Mazel ex Houzeau forest in Mt Tennou in 2007</t>
    <phoneticPr fontId="3" type="noConversion"/>
  </si>
  <si>
    <t>JP-OSP-MTO-UM-abe07</t>
    <phoneticPr fontId="3" type="noConversion"/>
  </si>
  <si>
    <t>https://www.jstage.jst.go.jp/article/jjsrt/35/1/35_1_57/_article/-char/ja</t>
    <phoneticPr fontId="3" type="noConversion"/>
  </si>
  <si>
    <t>unmanaged Phyllostachys pubescens Mazel ex Houzeau forest in Mt Tennou in 2008</t>
    <phoneticPr fontId="3" type="noConversion"/>
  </si>
  <si>
    <t>JP-OSP-MTO-UM-abe08</t>
    <phoneticPr fontId="3" type="noConversion"/>
  </si>
  <si>
    <r>
      <t xml:space="preserve">unmanaged Phyllostachys pubescens Mazel ex Houzeau forest </t>
    </r>
    <r>
      <rPr>
        <sz val="10"/>
        <color rgb="FFFF0000"/>
        <rFont val="Times New Roman"/>
        <family val="1"/>
      </rPr>
      <t>in Mt Tennou (pure bamboo forest)</t>
    </r>
    <phoneticPr fontId="3" type="noConversion"/>
  </si>
  <si>
    <t>JP-OSP-MTO-UMP-fs06</t>
    <phoneticPr fontId="3" type="noConversion"/>
  </si>
  <si>
    <t>Fukushima et al. (2015)</t>
    <phoneticPr fontId="3" type="noConversion"/>
  </si>
  <si>
    <t>https://esj-journals.onlinelibrary.wiley.com/doi/full/10.1111/1442-1984.12066</t>
  </si>
  <si>
    <t>V</t>
    <phoneticPr fontId="3" type="noConversion"/>
  </si>
  <si>
    <t>Japan</t>
    <phoneticPr fontId="3" type="noConversion"/>
  </si>
  <si>
    <t>Shimane Prefecture, Japan</t>
    <phoneticPr fontId="3" type="noConversion"/>
  </si>
  <si>
    <r>
      <t>abandoned moso bamboo forests (Phyllostachys pubescens)</t>
    </r>
    <r>
      <rPr>
        <sz val="10"/>
        <color rgb="FFFF0000"/>
        <rFont val="Times New Roman"/>
        <family val="1"/>
      </rPr>
      <t xml:space="preserve"> in Matsue city, plot Ab</t>
    </r>
    <phoneticPr fontId="3" type="noConversion"/>
  </si>
  <si>
    <t>JP-SNP-MEC-Ab-UM</t>
    <phoneticPr fontId="3" type="noConversion"/>
  </si>
  <si>
    <t>Ikegami et al. (2014), Ikegami et al.(2015)</t>
    <phoneticPr fontId="3" type="noConversion"/>
  </si>
  <si>
    <t>https://www.tandfonline.com/doi/full/10.1080/00380768.2014.942794,  https://www.jstage.jst.go.jp/article/jjfe/57/1/57_KJ00009983906/_pdf/-char/ja</t>
  </si>
  <si>
    <t>Korea</t>
    <phoneticPr fontId="3" type="noConversion"/>
  </si>
  <si>
    <t>Gajwa National Experimental Forest, Forest Biomaterials Research Center, Jinju</t>
    <phoneticPr fontId="3" type="noConversion"/>
  </si>
  <si>
    <t>TeDc</t>
    <phoneticPr fontId="3" type="noConversion"/>
  </si>
  <si>
    <t xml:space="preserve">fertilised - (N:P:K: 21:17:17; 244 kg N ha−1 year−1, 196 kg P ha−1 year−1, 196 kg K ha−1 year−1) </t>
    <phoneticPr fontId="3" type="noConversion"/>
  </si>
  <si>
    <t>KR-JU-F</t>
    <phoneticPr fontId="3" type="noConversion"/>
  </si>
  <si>
    <t>Kim et al. (2018)</t>
    <phoneticPr fontId="3" type="noConversion"/>
  </si>
  <si>
    <t>available</t>
    <phoneticPr fontId="3" type="noConversion"/>
  </si>
  <si>
    <t>Korea</t>
    <phoneticPr fontId="3" type="noConversion"/>
  </si>
  <si>
    <t>Jinyu</t>
    <phoneticPr fontId="3" type="noConversion"/>
  </si>
  <si>
    <t>TeDc</t>
    <phoneticPr fontId="3" type="noConversion"/>
  </si>
  <si>
    <t>KR-JU-M</t>
    <phoneticPr fontId="3" type="noConversion"/>
  </si>
  <si>
    <t>Hwang et al. (2005)</t>
    <phoneticPr fontId="3" type="noConversion"/>
  </si>
  <si>
    <t>available</t>
    <phoneticPr fontId="3" type="noConversion"/>
  </si>
  <si>
    <t>http://kiss.kstudy.com/thesis/thesis-view.asp?key=2459514</t>
    <phoneticPr fontId="3" type="noConversion"/>
  </si>
  <si>
    <t>Korea</t>
    <phoneticPr fontId="3" type="noConversion"/>
  </si>
  <si>
    <t>Gajwa National Experimental Forest, Forest Biomaterials Research Center, Jinju</t>
    <phoneticPr fontId="3" type="noConversion"/>
  </si>
  <si>
    <t>unfertilised</t>
    <phoneticPr fontId="3" type="noConversion"/>
  </si>
  <si>
    <t>KR-JU-UF</t>
    <phoneticPr fontId="3" type="noConversion"/>
  </si>
  <si>
    <t>Jinyu, Korea Forest Research Institute</t>
    <phoneticPr fontId="3" type="noConversion"/>
  </si>
  <si>
    <t>unmanaged</t>
    <phoneticPr fontId="3" type="noConversion"/>
  </si>
  <si>
    <t>KR-JU-UM</t>
    <phoneticPr fontId="3" type="noConversion"/>
  </si>
  <si>
    <t>Lee et al. (2012)</t>
    <phoneticPr fontId="3" type="noConversion"/>
  </si>
  <si>
    <t>available</t>
    <phoneticPr fontId="3" type="noConversion"/>
  </si>
  <si>
    <t>http://kiss.kstudy.com/thesis/thesis-view.asp?key=3042038</t>
    <phoneticPr fontId="3" type="noConversion"/>
  </si>
  <si>
    <t>V</t>
    <phoneticPr fontId="3" type="noConversion"/>
  </si>
  <si>
    <t>Suncheon</t>
    <phoneticPr fontId="3" type="noConversion"/>
  </si>
  <si>
    <t>KR-SC-UM</t>
    <phoneticPr fontId="3" type="noConversion"/>
  </si>
  <si>
    <t>Park and Ryu (1996)</t>
    <phoneticPr fontId="3" type="noConversion"/>
  </si>
  <si>
    <t>http://kiss.kstudy.com/thesis/thesis-view.asp?key=74524</t>
  </si>
  <si>
    <t>Taiwan</t>
  </si>
  <si>
    <t>Shi-Zhuo, Mountain Ali</t>
    <phoneticPr fontId="3" type="noConversion"/>
  </si>
  <si>
    <t>SM</t>
    <phoneticPr fontId="3" type="noConversion"/>
  </si>
  <si>
    <t>Phyllostachys pubescens at the beginning (unmanaged)</t>
    <phoneticPr fontId="3" type="noConversion"/>
  </si>
  <si>
    <t>TW-CYC-MAL-SZ-UM</t>
    <phoneticPr fontId="3" type="noConversion"/>
  </si>
  <si>
    <t>Wang et al. (2009); This study</t>
    <phoneticPr fontId="3" type="noConversion"/>
  </si>
  <si>
    <t>https://www.researchgate.net/publication/333507633_The_Structures_Aboveground_Biomass_Carbon_Storage_of_Phyllostachys_pubescens_Stand_in_Huisun_Experimental_Forest_Station_and_Shi-Zhuo</t>
    <phoneticPr fontId="3" type="noConversion"/>
  </si>
  <si>
    <t>Feng Huan mountain, Nantou County</t>
  </si>
  <si>
    <t>SM</t>
  </si>
  <si>
    <t>Board leaves forest mix Phyllostachys pubescens forest (northeast aspect)</t>
    <phoneticPr fontId="3" type="noConversion"/>
  </si>
  <si>
    <t>TW-NTC-BLM</t>
    <phoneticPr fontId="3" type="noConversion"/>
  </si>
  <si>
    <t>Chen et al., 2011</t>
    <phoneticPr fontId="3" type="noConversion"/>
  </si>
  <si>
    <t>http://www.airitilibrary.com/Publication/alDetailedMesh?docid=05781345-201406-201503020016-201503020016-181-192</t>
    <phoneticPr fontId="3" type="noConversion"/>
  </si>
  <si>
    <t>Phyllostachys pubescens in control (northeast aspect)</t>
    <phoneticPr fontId="3" type="noConversion"/>
  </si>
  <si>
    <t>TW-NTC-FHMC-UM</t>
    <phoneticPr fontId="3" type="noConversion"/>
  </si>
  <si>
    <t>Chen et al., 2011</t>
    <phoneticPr fontId="3" type="noConversion"/>
  </si>
  <si>
    <t>Phyllostachys pubescens in northwest aspect</t>
    <phoneticPr fontId="3" type="noConversion"/>
  </si>
  <si>
    <t>TW-NTC-FHMNW-UM</t>
    <phoneticPr fontId="3" type="noConversion"/>
  </si>
  <si>
    <t>available</t>
    <phoneticPr fontId="3" type="noConversion"/>
  </si>
  <si>
    <t>V</t>
    <phoneticPr fontId="3" type="noConversion"/>
  </si>
  <si>
    <t>Daan, (1,200-1,500m) high altitude area of central Taiwan, Nantou County</t>
    <phoneticPr fontId="3" type="noConversion"/>
  </si>
  <si>
    <t>TW-NTC-HA</t>
    <phoneticPr fontId="3" type="noConversion"/>
  </si>
  <si>
    <t>Yen and Lee (2011)</t>
  </si>
  <si>
    <t>available</t>
    <phoneticPr fontId="3" type="noConversion"/>
  </si>
  <si>
    <t>https://www.sciencedirect.com/science/article/pii/S0378112710007188</t>
  </si>
  <si>
    <t>Huisun Experimental Forest Station</t>
    <phoneticPr fontId="3" type="noConversion"/>
  </si>
  <si>
    <t>SCf</t>
  </si>
  <si>
    <t>Phyllostachys pubescens at the beginning (unmanaged)</t>
    <phoneticPr fontId="3" type="noConversion"/>
  </si>
  <si>
    <t>TW-NTC-HEFS-07-UM</t>
    <phoneticPr fontId="3" type="noConversion"/>
  </si>
  <si>
    <t>Wang et al. (2009); This study</t>
    <phoneticPr fontId="3" type="noConversion"/>
  </si>
  <si>
    <t>Huisun Experimental Forest Station</t>
  </si>
  <si>
    <t>Phyllostachys pubescens controls after 2 years</t>
    <phoneticPr fontId="3" type="noConversion"/>
  </si>
  <si>
    <t>TW-NTC-HEFS-09-UM</t>
    <phoneticPr fontId="3" type="noConversion"/>
  </si>
  <si>
    <t>Wang et al. (2010)</t>
    <phoneticPr fontId="3" type="noConversion"/>
  </si>
  <si>
    <t>http://ir.lib.nchu.edu.tw/bitstream/11455/74254/1/143838-3.pdf</t>
  </si>
  <si>
    <t>Huisun Experimental Forest Station, Nantou County</t>
    <phoneticPr fontId="3" type="noConversion"/>
  </si>
  <si>
    <t>Phyllostachys pubescens clear cutting after 2 years</t>
    <phoneticPr fontId="3" type="noConversion"/>
  </si>
  <si>
    <t>TW-NTC-HEFS-CT</t>
    <phoneticPr fontId="3" type="noConversion"/>
  </si>
  <si>
    <t>Wang et al. (2010)</t>
    <phoneticPr fontId="3" type="noConversion"/>
  </si>
  <si>
    <t>Huisun Experimental Forest Station, Nantou County</t>
    <phoneticPr fontId="3" type="noConversion"/>
  </si>
  <si>
    <t>Phyllostachys pubescens selective cutting after 2 years</t>
    <phoneticPr fontId="3" type="noConversion"/>
  </si>
  <si>
    <t>TW-NTC-HEFS-SC</t>
    <phoneticPr fontId="3" type="noConversion"/>
  </si>
  <si>
    <t>Daan, (600-900m) lower altitude of central Taiwan, Nantou County</t>
    <phoneticPr fontId="3" type="noConversion"/>
  </si>
  <si>
    <t>managed</t>
    <phoneticPr fontId="3" type="noConversion"/>
  </si>
  <si>
    <t>TW-NTC-LA</t>
    <phoneticPr fontId="3" type="noConversion"/>
  </si>
  <si>
    <t>Yen and Lee (2011)</t>
    <phoneticPr fontId="3" type="noConversion"/>
  </si>
  <si>
    <t>available</t>
    <phoneticPr fontId="3" type="noConversion"/>
  </si>
  <si>
    <t>V</t>
    <phoneticPr fontId="3" type="noConversion"/>
  </si>
  <si>
    <r>
      <t xml:space="preserve">Daan, (900-1,200m) mid </t>
    </r>
    <r>
      <rPr>
        <b/>
        <sz val="10"/>
        <color theme="1"/>
        <rFont val="Times New Roman"/>
        <family val="1"/>
      </rPr>
      <t>altitude</t>
    </r>
    <r>
      <rPr>
        <sz val="10"/>
        <color theme="1"/>
        <rFont val="Times New Roman"/>
        <family val="1"/>
      </rPr>
      <t xml:space="preserve"> area of central Taiwan, Nantou County</t>
    </r>
    <phoneticPr fontId="3" type="noConversion"/>
  </si>
  <si>
    <t>TW-NTC-ML</t>
    <phoneticPr fontId="3" type="noConversion"/>
  </si>
  <si>
    <t>Phyllostachys pubescens managed with organic fertilisation (northeast aspect)</t>
    <phoneticPr fontId="3" type="noConversion"/>
  </si>
  <si>
    <t>TW-NTC-OF</t>
    <phoneticPr fontId="3" type="noConversion"/>
  </si>
  <si>
    <t>Chen et al., 2011</t>
    <phoneticPr fontId="3" type="noConversion"/>
  </si>
  <si>
    <t>available</t>
    <phoneticPr fontId="3" type="noConversion"/>
  </si>
  <si>
    <t>http://www.airitilibrary.com/Publication/alDetailedMesh?docid=05781345-201406-201503020016-201503020016-181-192</t>
    <phoneticPr fontId="3" type="noConversion"/>
  </si>
  <si>
    <t>Phyllostachys pubescens managed with fertilising soybean chaff (northeast aspect)</t>
    <phoneticPr fontId="3" type="noConversion"/>
  </si>
  <si>
    <t>TW-NTC-SC</t>
    <phoneticPr fontId="3" type="noConversion"/>
  </si>
  <si>
    <t>Sanjiaolun, Nantou County, central Taiwan</t>
    <phoneticPr fontId="3" type="noConversion"/>
  </si>
  <si>
    <t>Phyllostachys pubescens managed before 2008. The moso bamboo forest of the study site was planted 30 yr ago.</t>
    <phoneticPr fontId="3" type="noConversion"/>
  </si>
  <si>
    <t>TW-NTC-SJL-M</t>
    <phoneticPr fontId="3" type="noConversion"/>
  </si>
  <si>
    <t>Chen et al., 2016</t>
    <phoneticPr fontId="3" type="noConversion"/>
  </si>
  <si>
    <t>https://www.researchgate.net/publication/306133854_The_trend_of_growth_characteristics_of_moso_bamboo_Phyllostachys_pubescens_forests_under_an_unmanaged_condition_in_central_Taiwan</t>
    <phoneticPr fontId="3" type="noConversion"/>
  </si>
  <si>
    <t>Sanjiaolun, Nantou County, central Taiwan</t>
    <phoneticPr fontId="3" type="noConversion"/>
  </si>
  <si>
    <t>Phyllostachys pubescens unmanaged between 2008-2014 (managed before 2008). The moso bamboo forest of the study site was planted 30 yr ago.</t>
    <phoneticPr fontId="3" type="noConversion"/>
  </si>
  <si>
    <t>TW-NTC-SJL-UM</t>
    <phoneticPr fontId="3" type="noConversion"/>
  </si>
  <si>
    <t>Chen et al., 2016</t>
    <phoneticPr fontId="3" type="noConversion"/>
  </si>
  <si>
    <t>Sitou Nature Education Area, Nantou County</t>
  </si>
  <si>
    <t>Phyllostachys pubescens managed before 2012</t>
    <phoneticPr fontId="3" type="noConversion"/>
  </si>
  <si>
    <t>TW-NTC-STNEA-M</t>
    <phoneticPr fontId="3" type="noConversion"/>
  </si>
  <si>
    <t>Lin et al., 2017</t>
    <phoneticPr fontId="3" type="noConversion"/>
  </si>
  <si>
    <t>https://esj-journals.onlinelibrary.wiley.com/doi/full/10.1007/s11284-017-1497-5</t>
  </si>
  <si>
    <t>Phyllostachys pubescens unmanaged between 2012-2015 (managed before 2012)</t>
    <phoneticPr fontId="3" type="noConversion"/>
  </si>
  <si>
    <t>TW-NTC-STNEA-UM</t>
    <phoneticPr fontId="3" type="noConversion"/>
  </si>
  <si>
    <t>Exist rate</t>
    <phoneticPr fontId="3" type="noConversion"/>
  </si>
  <si>
    <t>Missing rate</t>
    <phoneticPr fontId="3" type="noConversion"/>
  </si>
  <si>
    <t xml:space="preserve">(1 Components not attached to standing crop (Eg. litter, liana) excluded from AGC </t>
    <phoneticPr fontId="3" type="noConversion"/>
  </si>
  <si>
    <t>Table 4.3</t>
    <phoneticPr fontId="3" type="noConversion"/>
  </si>
  <si>
    <t>Total</t>
    <phoneticPr fontId="3" type="noConversion"/>
  </si>
  <si>
    <t xml:space="preserve">(2 Average or range reported. Unit of measurement as specified unless otherwise stated </t>
    <phoneticPr fontId="3" type="noConversion"/>
  </si>
  <si>
    <t>K</t>
    <phoneticPr fontId="3" type="noConversion"/>
  </si>
  <si>
    <t xml:space="preserve">(3 Average or range reported unless otherwise stated </t>
    <phoneticPr fontId="3" type="noConversion"/>
  </si>
  <si>
    <t xml:space="preserve">(4 Midpoint values reported (max+min/2) if a range was given </t>
    <phoneticPr fontId="3" type="noConversion"/>
  </si>
  <si>
    <t>J</t>
    <phoneticPr fontId="3" type="noConversion"/>
  </si>
  <si>
    <t>Default value</t>
    <phoneticPr fontId="3" type="noConversion"/>
  </si>
  <si>
    <t>(5 weather factors referance from the cloest weather station</t>
    <phoneticPr fontId="3" type="noConversion"/>
  </si>
  <si>
    <t>(6 In this study, we reveal the soil nutrients and belowground carbon ratio in Huisun Experimental Forest Station</t>
    <phoneticPr fontId="3" type="noConversion"/>
  </si>
  <si>
    <t>AVG</t>
    <phoneticPr fontId="3" type="noConversion"/>
  </si>
  <si>
    <t>(7 managed, fertilised, weeded and selective cutting, shoots dug, clear cutting, and mixed with other forests are dummy variables set for Multiple Linear Regression</t>
    <phoneticPr fontId="3" type="noConversion"/>
  </si>
  <si>
    <t>(8 All research article from Korea provied by http://kiss.kstudy.com/search/sch-result.asp</t>
    <phoneticPr fontId="3" type="noConversion"/>
  </si>
  <si>
    <t>T</t>
    <phoneticPr fontId="3" type="noConversion"/>
  </si>
  <si>
    <t>Max</t>
    <phoneticPr fontId="3" type="noConversion"/>
  </si>
  <si>
    <t>Table 4.4</t>
    <phoneticPr fontId="3" type="noConversion"/>
  </si>
  <si>
    <t>(9 All research article from Japan provied by https://www.jstage.jst.go.jp/result/global/-char/ja?item1=4&amp;word1=%E3%83%A2%E3%82%A6%E3%82%BD%E3%82%A6&amp;cond1=&amp;item2=&amp;word2=&amp;cond2=&amp;item3=&amp;word3=&amp;cond3=&amp;item4=&amp;word4=&amp;count=50&amp;from=0&amp;order=&amp;type=&amp;license=&amp;attribute=&amp;languageType=&amp;option=&amp;yearfrom=&amp;yearto=&amp;category=&amp;cdjournal=&amp;favorite=&amp;translate=&amp;bglobalSearch=false&amp;sortby=1&amp;showRecodsH=50&amp;showRecords=20</t>
    <phoneticPr fontId="3" type="noConversion"/>
  </si>
  <si>
    <t>SCF</t>
    <phoneticPr fontId="3" type="noConversion"/>
  </si>
  <si>
    <t>AGB &lt; 80</t>
    <phoneticPr fontId="3" type="noConversion"/>
  </si>
  <si>
    <t>avg</t>
    <phoneticPr fontId="3" type="noConversion"/>
  </si>
  <si>
    <t>(10 If a peer-reviewed article did not mention the weather's information in Japan, we check the nearest weather station's data and input it the data sheet (www.data.jma.go.jp/gmd/risk/obsdl/index.php)</t>
    <phoneticPr fontId="3" type="noConversion"/>
  </si>
  <si>
    <t>Min</t>
    <phoneticPr fontId="3" type="noConversion"/>
  </si>
  <si>
    <t>min</t>
    <phoneticPr fontId="3" type="noConversion"/>
  </si>
  <si>
    <t>NA = not available</t>
  </si>
  <si>
    <t>max</t>
    <phoneticPr fontId="3" type="noConversion"/>
  </si>
  <si>
    <t>If the journal article just have biomass, we will give it a carbon ratio of 50% following the instruction from IPCC (IPCC, 2006; IPCC 2019)</t>
    <phoneticPr fontId="3" type="noConversion"/>
  </si>
  <si>
    <t>Tropical and Subtropical</t>
    <phoneticPr fontId="3" type="noConversion"/>
  </si>
  <si>
    <t>AGB &gt; 80</t>
    <phoneticPr fontId="3" type="noConversion"/>
  </si>
  <si>
    <t>Unpublished data in this research</t>
    <phoneticPr fontId="3" type="noConversion"/>
  </si>
  <si>
    <t>min</t>
    <phoneticPr fontId="3" type="noConversion"/>
  </si>
  <si>
    <t>Temperate and Boreal</t>
    <phoneticPr fontId="3" type="noConversion"/>
  </si>
  <si>
    <t>TeDo</t>
    <phoneticPr fontId="3" type="noConversion"/>
  </si>
  <si>
    <t>AGB &lt; 80</t>
    <phoneticPr fontId="3" type="noConversion"/>
  </si>
  <si>
    <t>avg</t>
    <phoneticPr fontId="3" type="noConversion"/>
  </si>
  <si>
    <t>max</t>
    <phoneticPr fontId="3" type="noConversion"/>
  </si>
  <si>
    <t>TeDc</t>
    <phoneticPr fontId="3" type="noConversion"/>
  </si>
  <si>
    <t>min</t>
    <phoneticPr fontId="3" type="noConversion"/>
  </si>
  <si>
    <t>managed</t>
  </si>
  <si>
    <t>fertilised</t>
  </si>
  <si>
    <t>weeded and selective cutting</t>
  </si>
  <si>
    <t>shoots dug</t>
  </si>
  <si>
    <t>clear cutting</t>
  </si>
  <si>
    <t>mixed with other forests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</si>
  <si>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</si>
  <si>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</si>
  <si>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</si>
  <si>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</si>
  <si>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</si>
  <si>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</si>
  <si>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</si>
  <si>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 (KCl)</t>
    <phoneticPr fontId="3" type="noConversion"/>
  </si>
  <si>
    <t>pH (soil) (H2O 1:5)</t>
    <phoneticPr fontId="3" type="noConversion"/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</si>
  <si>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</si>
  <si>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</si>
  <si>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</si>
  <si>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</si>
  <si>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</si>
  <si>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</si>
  <si>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</si>
  <si>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</si>
  <si>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</si>
  <si>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Sand</t>
  </si>
  <si>
    <t>Silt</t>
  </si>
  <si>
    <t>Clay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</si>
  <si>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</si>
  <si>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</si>
  <si>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</si>
  <si>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</si>
  <si>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</si>
  <si>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</si>
  <si>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</si>
  <si>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</si>
  <si>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</si>
  <si>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</si>
  <si>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</si>
  <si>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</si>
  <si>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</si>
  <si>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</si>
  <si>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</si>
  <si>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</si>
  <si>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</si>
  <si>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</si>
  <si>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</si>
  <si>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</si>
  <si>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</si>
  <si>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</si>
  <si>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</si>
  <si>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</si>
  <si>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</si>
  <si>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</si>
  <si>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</si>
  <si>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</si>
  <si>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</si>
  <si>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</si>
  <si>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</si>
  <si>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</si>
  <si>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</si>
  <si>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</si>
  <si>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</si>
  <si>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</si>
  <si>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</si>
  <si>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</si>
  <si>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</si>
  <si>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</si>
  <si>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</si>
  <si>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</si>
  <si>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</si>
  <si>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</si>
  <si>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</si>
  <si>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</si>
  <si>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</si>
  <si>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</si>
  <si>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</si>
  <si>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</si>
  <si>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</si>
  <si>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</si>
  <si>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</si>
  <si>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</si>
  <si>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pH (soil) (KCl)</t>
    <phoneticPr fontId="3" type="noConversion"/>
  </si>
  <si>
    <t>pH (soil) (H2O 1:5)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</si>
</sst>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_);[Red]\(0\)"/>
    <numFmt numFmtId="178" formatCode="0.0000000000000_);[Red]\(0.0000000000000\)"/>
    <numFmt numFmtId="179" formatCode="0.000000_);[Red]\(0.000000\)"/>
    <numFmt numFmtId="180" formatCode="0.0000_);[Red]\(0.0000\)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u/>
      <sz val="12"/>
      <color theme="10"/>
      <name val="新細明體"/>
      <family val="2"/>
      <charset val="136"/>
      <scheme val="minor"/>
    </font>
    <font>
      <sz val="10"/>
      <color rgb="FFFF0000"/>
      <name val="Times New Roman"/>
      <family val="1"/>
    </font>
    <font>
      <u/>
      <sz val="10"/>
      <color theme="10"/>
      <name val="Times New Roman"/>
      <family val="1"/>
    </font>
    <font>
      <u/>
      <sz val="10"/>
      <color rgb="FFFF0000"/>
      <name val="Times New Roman"/>
      <family val="1"/>
    </font>
    <font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7" fillId="0" borderId="1" xfId="1" applyBorder="1">
      <alignment vertical="center"/>
    </xf>
    <xf numFmtId="177" fontId="2" fillId="0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7" fillId="0" borderId="1" xfId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2" fillId="0" borderId="1" xfId="0" applyNumberFormat="1" applyFont="1" applyBorder="1">
      <alignment vertical="center"/>
    </xf>
    <xf numFmtId="177" fontId="2" fillId="0" borderId="1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>
      <alignment vertical="center"/>
    </xf>
    <xf numFmtId="176" fontId="8" fillId="0" borderId="1" xfId="0" applyNumberFormat="1" applyFont="1" applyBorder="1">
      <alignment vertical="center"/>
    </xf>
    <xf numFmtId="176" fontId="8" fillId="0" borderId="1" xfId="0" applyNumberFormat="1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9" fillId="0" borderId="1" xfId="1" applyFont="1" applyBorder="1">
      <alignment vertical="center"/>
    </xf>
    <xf numFmtId="0" fontId="8" fillId="0" borderId="1" xfId="0" applyFont="1" applyBorder="1">
      <alignment vertical="center"/>
    </xf>
    <xf numFmtId="176" fontId="2" fillId="0" borderId="0" xfId="0" applyNumberFormat="1" applyFont="1" applyFill="1" applyBorder="1">
      <alignment vertical="center"/>
    </xf>
    <xf numFmtId="0" fontId="8" fillId="0" borderId="1" xfId="0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1" applyFont="1" applyFill="1" applyBorder="1">
      <alignment vertical="center"/>
    </xf>
    <xf numFmtId="176" fontId="2" fillId="0" borderId="0" xfId="0" applyNumberFormat="1" applyFont="1" applyBorder="1">
      <alignment vertical="center"/>
    </xf>
    <xf numFmtId="0" fontId="11" fillId="0" borderId="1" xfId="1" applyFont="1" applyBorder="1">
      <alignment vertical="center"/>
    </xf>
    <xf numFmtId="10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0" fillId="0" borderId="1" xfId="1" applyFont="1" applyBorder="1">
      <alignment vertical="center"/>
    </xf>
    <xf numFmtId="177" fontId="8" fillId="0" borderId="1" xfId="0" applyNumberFormat="1" applyFont="1" applyBorder="1">
      <alignment vertical="center"/>
    </xf>
    <xf numFmtId="177" fontId="8" fillId="0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176" fontId="2" fillId="4" borderId="1" xfId="0" applyNumberFormat="1" applyFont="1" applyFill="1" applyBorder="1">
      <alignment vertical="center"/>
    </xf>
    <xf numFmtId="10" fontId="2" fillId="0" borderId="0" xfId="0" applyNumberFormat="1" applyFont="1" applyBorder="1">
      <alignment vertical="center"/>
    </xf>
    <xf numFmtId="10" fontId="2" fillId="0" borderId="0" xfId="0" applyNumberFormat="1" applyFont="1" applyBorder="1" applyAlignment="1">
      <alignment vertical="center" wrapText="1"/>
    </xf>
    <xf numFmtId="10" fontId="0" fillId="0" borderId="0" xfId="0" applyNumberFormat="1" applyBorder="1">
      <alignment vertical="center"/>
    </xf>
    <xf numFmtId="10" fontId="7" fillId="0" borderId="0" xfId="1" applyNumberFormat="1" applyBorder="1">
      <alignment vertical="center"/>
    </xf>
    <xf numFmtId="10" fontId="4" fillId="0" borderId="0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0" fontId="2" fillId="2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3" fillId="0" borderId="1" xfId="0" applyFont="1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S1)'!$AY$2</c:f>
              <c:strCache>
                <c:ptCount val="1"/>
                <c:pt idx="0">
                  <c:v>Basal area (b.a.)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143891024176068"/>
                  <c:y val="-1.85185185185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S1)'!$AY$4:$AY$86</c:f>
              <c:numCache>
                <c:formatCode>0.00_);[Red]\(0.00\)</c:formatCode>
                <c:ptCount val="83"/>
                <c:pt idx="4">
                  <c:v>29.028353818281531</c:v>
                </c:pt>
                <c:pt idx="5">
                  <c:v>28.775114943214181</c:v>
                </c:pt>
                <c:pt idx="6">
                  <c:v>32.044207367504043</c:v>
                </c:pt>
                <c:pt idx="7">
                  <c:v>20.648117715718918</c:v>
                </c:pt>
                <c:pt idx="12">
                  <c:v>21.264655273985909</c:v>
                </c:pt>
                <c:pt idx="17">
                  <c:v>28.151358986776938</c:v>
                </c:pt>
                <c:pt idx="18">
                  <c:v>20.305945253512977</c:v>
                </c:pt>
                <c:pt idx="19">
                  <c:v>26.433530194037907</c:v>
                </c:pt>
                <c:pt idx="20">
                  <c:v>21.848080052984994</c:v>
                </c:pt>
                <c:pt idx="21">
                  <c:v>21.805031242491747</c:v>
                </c:pt>
                <c:pt idx="28">
                  <c:v>14.047505886820614</c:v>
                </c:pt>
                <c:pt idx="29">
                  <c:v>47.191245550339858</c:v>
                </c:pt>
                <c:pt idx="30">
                  <c:v>19.228431995561689</c:v>
                </c:pt>
                <c:pt idx="31">
                  <c:v>70.993173583070003</c:v>
                </c:pt>
                <c:pt idx="32">
                  <c:v>11.189347722437693</c:v>
                </c:pt>
                <c:pt idx="33">
                  <c:v>17.110495892217592</c:v>
                </c:pt>
                <c:pt idx="34">
                  <c:v>36.226490286707303</c:v>
                </c:pt>
                <c:pt idx="35">
                  <c:v>16.597917561848696</c:v>
                </c:pt>
                <c:pt idx="36">
                  <c:v>97.133646619281379</c:v>
                </c:pt>
                <c:pt idx="39">
                  <c:v>79.900000000000006</c:v>
                </c:pt>
                <c:pt idx="40">
                  <c:v>45.7</c:v>
                </c:pt>
                <c:pt idx="41">
                  <c:v>65.333333333333329</c:v>
                </c:pt>
                <c:pt idx="42">
                  <c:v>74.5</c:v>
                </c:pt>
                <c:pt idx="43">
                  <c:v>86.2</c:v>
                </c:pt>
                <c:pt idx="45">
                  <c:v>60.666666666666664</c:v>
                </c:pt>
                <c:pt idx="46">
                  <c:v>27.143360527015815</c:v>
                </c:pt>
                <c:pt idx="47">
                  <c:v>69.7</c:v>
                </c:pt>
                <c:pt idx="48">
                  <c:v>38.442668646540483</c:v>
                </c:pt>
                <c:pt idx="50">
                  <c:v>66.08</c:v>
                </c:pt>
                <c:pt idx="51">
                  <c:v>57.6</c:v>
                </c:pt>
                <c:pt idx="52">
                  <c:v>53.9</c:v>
                </c:pt>
                <c:pt idx="54">
                  <c:v>71.204118953796325</c:v>
                </c:pt>
                <c:pt idx="55">
                  <c:v>103.41267510803563</c:v>
                </c:pt>
                <c:pt idx="56">
                  <c:v>100.99010318518286</c:v>
                </c:pt>
                <c:pt idx="57">
                  <c:v>103.02629818749874</c:v>
                </c:pt>
                <c:pt idx="58">
                  <c:v>104.33799836625894</c:v>
                </c:pt>
                <c:pt idx="59">
                  <c:v>88.3</c:v>
                </c:pt>
                <c:pt idx="60">
                  <c:v>46.4</c:v>
                </c:pt>
                <c:pt idx="61">
                  <c:v>42.442376396061697</c:v>
                </c:pt>
                <c:pt idx="62">
                  <c:v>33.183258542906927</c:v>
                </c:pt>
                <c:pt idx="63">
                  <c:v>61.442497072514541</c:v>
                </c:pt>
                <c:pt idx="64">
                  <c:v>18.974473499427123</c:v>
                </c:pt>
                <c:pt idx="65">
                  <c:v>40.5</c:v>
                </c:pt>
                <c:pt idx="66">
                  <c:v>73.633578526263037</c:v>
                </c:pt>
                <c:pt idx="67">
                  <c:v>28.99718843375976</c:v>
                </c:pt>
                <c:pt idx="68">
                  <c:v>36.94905659703295</c:v>
                </c:pt>
                <c:pt idx="69">
                  <c:v>23.439887744146176</c:v>
                </c:pt>
                <c:pt idx="70">
                  <c:v>41.525491584537221</c:v>
                </c:pt>
                <c:pt idx="71">
                  <c:v>28.810126226192569</c:v>
                </c:pt>
                <c:pt idx="72">
                  <c:v>31.350445534820999</c:v>
                </c:pt>
                <c:pt idx="73">
                  <c:v>10.073805870259802</c:v>
                </c:pt>
                <c:pt idx="74">
                  <c:v>29.070313715161038</c:v>
                </c:pt>
                <c:pt idx="75">
                  <c:v>41.876287192360493</c:v>
                </c:pt>
                <c:pt idx="76">
                  <c:v>44.41658755718521</c:v>
                </c:pt>
                <c:pt idx="77">
                  <c:v>32.144624449685232</c:v>
                </c:pt>
                <c:pt idx="78">
                  <c:v>37.286756601543445</c:v>
                </c:pt>
                <c:pt idx="79">
                  <c:v>17.871167365236797</c:v>
                </c:pt>
                <c:pt idx="80">
                  <c:v>31.044963348371233</c:v>
                </c:pt>
                <c:pt idx="81">
                  <c:v>21.912156369446688</c:v>
                </c:pt>
              </c:numCache>
            </c:numRef>
          </c:xVal>
          <c:yVal>
            <c:numRef>
              <c:f>'Rawdata (Table S1)'!$BO$4:$BO$86</c:f>
              <c:numCache>
                <c:formatCode>0.00_);[Red]\(0.00\)</c:formatCode>
                <c:ptCount val="83"/>
                <c:pt idx="0">
                  <c:v>35.275750000000002</c:v>
                </c:pt>
                <c:pt idx="1">
                  <c:v>38.702750000000002</c:v>
                </c:pt>
                <c:pt idx="2">
                  <c:v>35.799999999999997</c:v>
                </c:pt>
                <c:pt idx="3">
                  <c:v>43.731499999999997</c:v>
                </c:pt>
                <c:pt idx="4">
                  <c:v>36.363150000000005</c:v>
                </c:pt>
                <c:pt idx="5">
                  <c:v>52.552999999999997</c:v>
                </c:pt>
                <c:pt idx="6">
                  <c:v>40.903100000000002</c:v>
                </c:pt>
                <c:pt idx="7">
                  <c:v>24.491849999999999</c:v>
                </c:pt>
                <c:pt idx="8">
                  <c:v>20.0305</c:v>
                </c:pt>
                <c:pt idx="9">
                  <c:v>17.106999999999999</c:v>
                </c:pt>
                <c:pt idx="10">
                  <c:v>14.288500000000001</c:v>
                </c:pt>
                <c:pt idx="12">
                  <c:v>21.759872780280947</c:v>
                </c:pt>
                <c:pt idx="13">
                  <c:v>52.88</c:v>
                </c:pt>
                <c:pt idx="14">
                  <c:v>48.27</c:v>
                </c:pt>
                <c:pt idx="15">
                  <c:v>22.39</c:v>
                </c:pt>
                <c:pt idx="16">
                  <c:v>32.36</c:v>
                </c:pt>
                <c:pt idx="17">
                  <c:v>23.718</c:v>
                </c:pt>
                <c:pt idx="18">
                  <c:v>18.899999999999999</c:v>
                </c:pt>
                <c:pt idx="19">
                  <c:v>24.75</c:v>
                </c:pt>
                <c:pt idx="20">
                  <c:v>20.76</c:v>
                </c:pt>
                <c:pt idx="21">
                  <c:v>20.353999999999999</c:v>
                </c:pt>
                <c:pt idx="22">
                  <c:v>27</c:v>
                </c:pt>
                <c:pt idx="23">
                  <c:v>33</c:v>
                </c:pt>
                <c:pt idx="24">
                  <c:v>35.1</c:v>
                </c:pt>
                <c:pt idx="25">
                  <c:v>37.700000000000003</c:v>
                </c:pt>
                <c:pt idx="26">
                  <c:v>58.127000000000002</c:v>
                </c:pt>
                <c:pt idx="27">
                  <c:v>26.544499999999999</c:v>
                </c:pt>
                <c:pt idx="28">
                  <c:v>15.704999999999998</c:v>
                </c:pt>
                <c:pt idx="29">
                  <c:v>53.58</c:v>
                </c:pt>
                <c:pt idx="30">
                  <c:v>21.814999999999998</c:v>
                </c:pt>
                <c:pt idx="31">
                  <c:v>87.083333333333329</c:v>
                </c:pt>
                <c:pt idx="32">
                  <c:v>11.654999999999999</c:v>
                </c:pt>
                <c:pt idx="33">
                  <c:v>22.6</c:v>
                </c:pt>
                <c:pt idx="34">
                  <c:v>39.700000000000003</c:v>
                </c:pt>
                <c:pt idx="35">
                  <c:v>20.5</c:v>
                </c:pt>
                <c:pt idx="36">
                  <c:v>92.5</c:v>
                </c:pt>
                <c:pt idx="37">
                  <c:v>84.2</c:v>
                </c:pt>
                <c:pt idx="38">
                  <c:v>92.3</c:v>
                </c:pt>
                <c:pt idx="39">
                  <c:v>66.657499999999999</c:v>
                </c:pt>
                <c:pt idx="40">
                  <c:v>41.41</c:v>
                </c:pt>
                <c:pt idx="41">
                  <c:v>55.196666666666665</c:v>
                </c:pt>
                <c:pt idx="42">
                  <c:v>92.825000000000003</c:v>
                </c:pt>
                <c:pt idx="43">
                  <c:v>110.675</c:v>
                </c:pt>
                <c:pt idx="44">
                  <c:v>40.15</c:v>
                </c:pt>
                <c:pt idx="46">
                  <c:v>62.64</c:v>
                </c:pt>
                <c:pt idx="47">
                  <c:v>68.400000000000006</c:v>
                </c:pt>
                <c:pt idx="48">
                  <c:v>25.5</c:v>
                </c:pt>
                <c:pt idx="49">
                  <c:v>60.75</c:v>
                </c:pt>
                <c:pt idx="52" formatCode="General">
                  <c:v>47.55</c:v>
                </c:pt>
                <c:pt idx="53">
                  <c:v>105.33180000000002</c:v>
                </c:pt>
                <c:pt idx="54">
                  <c:v>65.68180000000001</c:v>
                </c:pt>
                <c:pt idx="55">
                  <c:v>108.60000000000001</c:v>
                </c:pt>
                <c:pt idx="56">
                  <c:v>108.64999999999999</c:v>
                </c:pt>
                <c:pt idx="57">
                  <c:v>109.9</c:v>
                </c:pt>
                <c:pt idx="58">
                  <c:v>112.02500000000001</c:v>
                </c:pt>
                <c:pt idx="59">
                  <c:v>84.9</c:v>
                </c:pt>
                <c:pt idx="60">
                  <c:v>43.930000000000007</c:v>
                </c:pt>
                <c:pt idx="61">
                  <c:v>26.331600000000002</c:v>
                </c:pt>
                <c:pt idx="62">
                  <c:v>34.825000000000003</c:v>
                </c:pt>
                <c:pt idx="63">
                  <c:v>48.900399999999998</c:v>
                </c:pt>
                <c:pt idx="64">
                  <c:v>28.885000000000002</c:v>
                </c:pt>
                <c:pt idx="65">
                  <c:v>35.880000000000003</c:v>
                </c:pt>
                <c:pt idx="66">
                  <c:v>81.133659999999992</c:v>
                </c:pt>
                <c:pt idx="67">
                  <c:v>36.950000000000003</c:v>
                </c:pt>
                <c:pt idx="68">
                  <c:v>45.95</c:v>
                </c:pt>
                <c:pt idx="69">
                  <c:v>21.65</c:v>
                </c:pt>
                <c:pt idx="70">
                  <c:v>39.649852999999993</c:v>
                </c:pt>
                <c:pt idx="71">
                  <c:v>26.253070000000001</c:v>
                </c:pt>
                <c:pt idx="72">
                  <c:v>29.5</c:v>
                </c:pt>
                <c:pt idx="73">
                  <c:v>8</c:v>
                </c:pt>
                <c:pt idx="74">
                  <c:v>28.4</c:v>
                </c:pt>
                <c:pt idx="75">
                  <c:v>43.869530999999995</c:v>
                </c:pt>
                <c:pt idx="76">
                  <c:v>37.198925000000003</c:v>
                </c:pt>
                <c:pt idx="77">
                  <c:v>36.75</c:v>
                </c:pt>
                <c:pt idx="78">
                  <c:v>41.95</c:v>
                </c:pt>
                <c:pt idx="79">
                  <c:v>38.4</c:v>
                </c:pt>
                <c:pt idx="80">
                  <c:v>60.4</c:v>
                </c:pt>
                <c:pt idx="81">
                  <c:v>27.259999999999998</c:v>
                </c:pt>
                <c:pt idx="82">
                  <c:v>42.04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C-4242-A8FC-A24A9273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6856"/>
        <c:axId val="-2138114168"/>
      </c:scatterChart>
      <c:valAx>
        <c:axId val="-21381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Basal area (b.a.) (m</a:t>
                </a:r>
                <a:r>
                  <a:rPr lang="en-US" altLang="zh-TW" sz="1000" b="0" i="0" baseline="30000">
                    <a:effectLst/>
                  </a:rPr>
                  <a:t>2</a:t>
                </a:r>
                <a:r>
                  <a:rPr lang="en-US" altLang="zh-TW" sz="1000" b="0" i="0" baseline="0">
                    <a:effectLst/>
                  </a:rPr>
                  <a:t>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4168"/>
        <c:crosses val="autoZero"/>
        <c:crossBetween val="midCat"/>
      </c:valAx>
      <c:valAx>
        <c:axId val="-2138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AGC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S1)'!$CK$2</c:f>
              <c:strCache>
                <c:ptCount val="1"/>
                <c:pt idx="0">
                  <c:v>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y = 0.1682x + 0.9745</a:t>
                    </a:r>
                    <a:br>
                      <a:rPr lang="en-US" altLang="zh-TW" baseline="0"/>
                    </a:br>
                    <a:r>
                      <a:rPr lang="en-US" altLang="zh-TW" baseline="0"/>
                      <a:t>R² = 0.6316</a:t>
                    </a:r>
                  </a:p>
                  <a:p>
                    <a:pPr>
                      <a:defRPr/>
                    </a:pPr>
                    <a:r>
                      <a:rPr lang="en-US" altLang="zh-TW" baseline="0"/>
                      <a:t>p-value=0.028826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S1)'!$CK$4:$CK$86</c:f>
              <c:numCache>
                <c:formatCode>0.00_);[Red]\(0.00\)</c:formatCode>
                <c:ptCount val="83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  <c:pt idx="54">
                  <c:v>13.299999999999999</c:v>
                </c:pt>
                <c:pt idx="81">
                  <c:v>4.4800000000000004</c:v>
                </c:pt>
                <c:pt idx="82">
                  <c:v>4.55</c:v>
                </c:pt>
              </c:numCache>
            </c:numRef>
          </c:xVal>
          <c:yVal>
            <c:numRef>
              <c:f>'Rawdata (Table S1)'!$CC$4:$CC$86</c:f>
              <c:numCache>
                <c:formatCode>0.00_);[Red]\(0.00\)</c:formatCode>
                <c:ptCount val="83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  <c:pt idx="28">
                  <c:v>3.5950000000000002</c:v>
                </c:pt>
                <c:pt idx="29">
                  <c:v>1.5149999999999999</c:v>
                </c:pt>
                <c:pt idx="30">
                  <c:v>2.63</c:v>
                </c:pt>
                <c:pt idx="33">
                  <c:v>2.8</c:v>
                </c:pt>
                <c:pt idx="34">
                  <c:v>4.7</c:v>
                </c:pt>
                <c:pt idx="35">
                  <c:v>10.5</c:v>
                </c:pt>
                <c:pt idx="36">
                  <c:v>2.1</c:v>
                </c:pt>
                <c:pt idx="37">
                  <c:v>3.49</c:v>
                </c:pt>
                <c:pt idx="38">
                  <c:v>3.976</c:v>
                </c:pt>
                <c:pt idx="44">
                  <c:v>3.1054999999999997</c:v>
                </c:pt>
                <c:pt idx="48">
                  <c:v>5.2</c:v>
                </c:pt>
                <c:pt idx="49">
                  <c:v>3.2167499999999993</c:v>
                </c:pt>
                <c:pt idx="53">
                  <c:v>7.35</c:v>
                </c:pt>
                <c:pt idx="54">
                  <c:v>3.3</c:v>
                </c:pt>
                <c:pt idx="60">
                  <c:v>3.7250000000000001</c:v>
                </c:pt>
                <c:pt idx="81">
                  <c:v>1.99</c:v>
                </c:pt>
                <c:pt idx="82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4-4ACB-9924-60ECF94AD6EE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S1)'!$CK$4:$CK$31</c:f>
              <c:numCache>
                <c:formatCode>0.00_);[Red]\(0.00\)</c:formatCode>
                <c:ptCount val="28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</c:numCache>
            </c:numRef>
          </c:xVal>
          <c:yVal>
            <c:numRef>
              <c:f>'Rawdata (Table S1)'!$CC$4:$CC$31</c:f>
              <c:numCache>
                <c:formatCode>0.00_);[Red]\(0.00\)</c:formatCode>
                <c:ptCount val="28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4-4ACB-9924-60ECF94AD6EE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S1)'!$CK$32:$CK$64</c:f>
              <c:numCache>
                <c:formatCode>0.00_);[Red]\(0.00\)</c:formatCode>
                <c:ptCount val="33"/>
                <c:pt idx="26">
                  <c:v>13.299999999999999</c:v>
                </c:pt>
              </c:numCache>
            </c:numRef>
          </c:xVal>
          <c:yVal>
            <c:numRef>
              <c:f>'Rawdata (Table S1)'!$CC$32:$CC$64</c:f>
              <c:numCache>
                <c:formatCode>0.00_);[Red]\(0.00\)</c:formatCode>
                <c:ptCount val="33"/>
                <c:pt idx="0">
                  <c:v>3.5950000000000002</c:v>
                </c:pt>
                <c:pt idx="1">
                  <c:v>1.5149999999999999</c:v>
                </c:pt>
                <c:pt idx="2">
                  <c:v>2.63</c:v>
                </c:pt>
                <c:pt idx="5">
                  <c:v>2.8</c:v>
                </c:pt>
                <c:pt idx="6">
                  <c:v>4.7</c:v>
                </c:pt>
                <c:pt idx="7">
                  <c:v>10.5</c:v>
                </c:pt>
                <c:pt idx="8">
                  <c:v>2.1</c:v>
                </c:pt>
                <c:pt idx="9">
                  <c:v>3.49</c:v>
                </c:pt>
                <c:pt idx="10">
                  <c:v>3.976</c:v>
                </c:pt>
                <c:pt idx="16">
                  <c:v>3.1054999999999997</c:v>
                </c:pt>
                <c:pt idx="20">
                  <c:v>5.2</c:v>
                </c:pt>
                <c:pt idx="21">
                  <c:v>3.2167499999999993</c:v>
                </c:pt>
                <c:pt idx="25">
                  <c:v>7.35</c:v>
                </c:pt>
                <c:pt idx="26">
                  <c:v>3.3</c:v>
                </c:pt>
                <c:pt idx="32">
                  <c:v>3.7250000000000001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4-4ACB-9924-60ECF94AD6EE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S1)'!$CK$70:$CK$86</c:f>
              <c:numCache>
                <c:formatCode>0.00_);[Red]\(0.00\)</c:formatCode>
                <c:ptCount val="17"/>
                <c:pt idx="15">
                  <c:v>4.4800000000000004</c:v>
                </c:pt>
                <c:pt idx="16">
                  <c:v>4.55</c:v>
                </c:pt>
              </c:numCache>
            </c:numRef>
          </c:xVal>
          <c:yVal>
            <c:numRef>
              <c:f>'Rawdata (Table S1)'!$CC$70:$CC$86</c:f>
              <c:numCache>
                <c:formatCode>0.00_);[Red]\(0.00\)</c:formatCode>
                <c:ptCount val="17"/>
                <c:pt idx="15">
                  <c:v>1.99</c:v>
                </c:pt>
                <c:pt idx="16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4-4ACB-9924-60ECF94A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3432"/>
        <c:axId val="-2137352840"/>
      </c:scatterChart>
      <c:valAx>
        <c:axId val="-21373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Heterotrophic Respiration, HR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48029621793201"/>
              <c:y val="0.8877212915020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52840"/>
        <c:crosses val="autoZero"/>
        <c:crossBetween val="midCat"/>
      </c:valAx>
      <c:valAx>
        <c:axId val="-21373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Litterfall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S1)'!$BL$2</c:f>
              <c:strCache>
                <c:ptCount val="1"/>
                <c:pt idx="0">
                  <c:v>Foliages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S1)'!$BL$4:$BL$86</c:f>
              <c:numCache>
                <c:formatCode>0.00_);[Red]\(0.00\)</c:formatCode>
                <c:ptCount val="83"/>
                <c:pt idx="4">
                  <c:v>2.4125000000000001</c:v>
                </c:pt>
                <c:pt idx="5">
                  <c:v>3.2685</c:v>
                </c:pt>
                <c:pt idx="6">
                  <c:v>2.5648</c:v>
                </c:pt>
                <c:pt idx="7">
                  <c:v>1.52125</c:v>
                </c:pt>
                <c:pt idx="26">
                  <c:v>2.157</c:v>
                </c:pt>
                <c:pt idx="27">
                  <c:v>1.4430000000000003</c:v>
                </c:pt>
                <c:pt idx="28">
                  <c:v>0.64500000000000002</c:v>
                </c:pt>
                <c:pt idx="29">
                  <c:v>2.0299999999999998</c:v>
                </c:pt>
                <c:pt idx="30">
                  <c:v>0.84499999999999997</c:v>
                </c:pt>
                <c:pt idx="44">
                  <c:v>11.4</c:v>
                </c:pt>
                <c:pt idx="47">
                  <c:v>1.7</c:v>
                </c:pt>
                <c:pt idx="48">
                  <c:v>1.55</c:v>
                </c:pt>
                <c:pt idx="49">
                  <c:v>14.2</c:v>
                </c:pt>
                <c:pt idx="52" formatCode="General">
                  <c:v>2.65</c:v>
                </c:pt>
                <c:pt idx="53">
                  <c:v>21.5258</c:v>
                </c:pt>
                <c:pt idx="54">
                  <c:v>2.7258000000000004</c:v>
                </c:pt>
                <c:pt idx="55">
                  <c:v>2.9</c:v>
                </c:pt>
                <c:pt idx="56">
                  <c:v>2.95</c:v>
                </c:pt>
                <c:pt idx="57">
                  <c:v>2.95</c:v>
                </c:pt>
                <c:pt idx="58">
                  <c:v>3.05</c:v>
                </c:pt>
                <c:pt idx="59">
                  <c:v>2.1</c:v>
                </c:pt>
                <c:pt idx="60">
                  <c:v>2.2799999999999998</c:v>
                </c:pt>
                <c:pt idx="61">
                  <c:v>1.738</c:v>
                </c:pt>
                <c:pt idx="62">
                  <c:v>8.1449999999999996</c:v>
                </c:pt>
                <c:pt idx="63">
                  <c:v>2.9476</c:v>
                </c:pt>
                <c:pt idx="64">
                  <c:v>4.0049999999999999</c:v>
                </c:pt>
                <c:pt idx="65">
                  <c:v>1.9245000000000001</c:v>
                </c:pt>
                <c:pt idx="66">
                  <c:v>2.0094800000000004</c:v>
                </c:pt>
                <c:pt idx="67">
                  <c:v>1.6</c:v>
                </c:pt>
                <c:pt idx="68">
                  <c:v>1.9</c:v>
                </c:pt>
                <c:pt idx="69">
                  <c:v>0.65</c:v>
                </c:pt>
                <c:pt idx="70">
                  <c:v>1.4495359999999999</c:v>
                </c:pt>
                <c:pt idx="71">
                  <c:v>1.63584</c:v>
                </c:pt>
                <c:pt idx="75">
                  <c:v>1.65856</c:v>
                </c:pt>
                <c:pt idx="76">
                  <c:v>1.3132159999999999</c:v>
                </c:pt>
                <c:pt idx="77">
                  <c:v>1.4</c:v>
                </c:pt>
                <c:pt idx="78">
                  <c:v>1.6</c:v>
                </c:pt>
                <c:pt idx="81">
                  <c:v>2.06</c:v>
                </c:pt>
                <c:pt idx="82">
                  <c:v>3.13</c:v>
                </c:pt>
              </c:numCache>
            </c:numRef>
          </c:xVal>
          <c:y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F-4EC6-8846-ECC0D6D7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06168"/>
        <c:axId val="2082026552"/>
      </c:scatterChart>
      <c:valAx>
        <c:axId val="20820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Leave biomass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21524376382099"/>
              <c:y val="0.89679665713280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026552"/>
        <c:crosses val="autoZero"/>
        <c:crossBetween val="midCat"/>
      </c:valAx>
      <c:valAx>
        <c:axId val="20820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ANPP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S1)'!$BA$2</c:f>
              <c:strCache>
                <c:ptCount val="1"/>
                <c:pt idx="0">
                  <c:v>Leaf area index (Fisheye lens)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S1)'!$BA$4:$BA$86</c:f>
              <c:numCache>
                <c:formatCode>0.00_);[Red]\(0.00\)</c:formatCode>
                <c:ptCount val="83"/>
                <c:pt idx="36">
                  <c:v>6.9</c:v>
                </c:pt>
                <c:pt idx="52">
                  <c:v>11.9</c:v>
                </c:pt>
                <c:pt idx="67">
                  <c:v>6.1</c:v>
                </c:pt>
                <c:pt idx="68">
                  <c:v>5.4</c:v>
                </c:pt>
                <c:pt idx="69">
                  <c:v>4.9000000000000004</c:v>
                </c:pt>
              </c:numCache>
            </c:numRef>
          </c:xVal>
          <c:y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4162-BC71-E45F2EBC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11064"/>
        <c:axId val="-2137304296"/>
      </c:scatterChart>
      <c:valAx>
        <c:axId val="-21373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LAI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45671358009398"/>
              <c:y val="0.8877213229264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04296"/>
        <c:crosses val="autoZero"/>
        <c:crossBetween val="midCat"/>
      </c:valAx>
      <c:valAx>
        <c:axId val="-21373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ANPP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S1)'!$Y$2</c:f>
              <c:strCache>
                <c:ptCount val="1"/>
                <c:pt idx="0">
                  <c:v>Total N (soil)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S1)'!$Y$4:$Y$86</c:f>
              <c:numCache>
                <c:formatCode>0.00_);[Red]\(0.00\)</c:formatCode>
                <c:ptCount val="83"/>
                <c:pt idx="8">
                  <c:v>2.0299999999999998</c:v>
                </c:pt>
                <c:pt idx="9">
                  <c:v>1.1200000000000001</c:v>
                </c:pt>
                <c:pt idx="10">
                  <c:v>1.33</c:v>
                </c:pt>
                <c:pt idx="11">
                  <c:v>1.33</c:v>
                </c:pt>
                <c:pt idx="61">
                  <c:v>0.21500000000000002</c:v>
                </c:pt>
                <c:pt idx="62">
                  <c:v>0.97</c:v>
                </c:pt>
                <c:pt idx="63">
                  <c:v>0.2</c:v>
                </c:pt>
                <c:pt idx="64">
                  <c:v>0.97</c:v>
                </c:pt>
                <c:pt idx="65">
                  <c:v>0.34200000000000003</c:v>
                </c:pt>
                <c:pt idx="66">
                  <c:v>0.62000000000000011</c:v>
                </c:pt>
                <c:pt idx="71">
                  <c:v>0.47500000000000003</c:v>
                </c:pt>
              </c:numCache>
            </c:numRef>
          </c:xVal>
          <c:y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732-BDED-85CACB15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44056"/>
        <c:axId val="-2138840168"/>
      </c:scatterChart>
      <c:valAx>
        <c:axId val="-21372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Total N in Soil (g kg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303480870865298"/>
              <c:y val="0.892241712235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840168"/>
        <c:crosses val="autoZero"/>
        <c:crossBetween val="midCat"/>
      </c:valAx>
      <c:valAx>
        <c:axId val="-21388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ANPP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24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S1)'!$BP$2</c:f>
              <c:strCache>
                <c:ptCount val="1"/>
                <c:pt idx="0">
                  <c:v>Root_Shoot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93265644261"/>
                  <c:y val="-2.1158416542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S1)'!$BP$4:$BP$86</c:f>
              <c:numCache>
                <c:formatCode>0.00_);[Red]\(0.00\)</c:formatCode>
                <c:ptCount val="83"/>
                <c:pt idx="0">
                  <c:v>0.34228187919463082</c:v>
                </c:pt>
                <c:pt idx="1">
                  <c:v>0.34228187919463088</c:v>
                </c:pt>
                <c:pt idx="2">
                  <c:v>0.85474860335195546</c:v>
                </c:pt>
                <c:pt idx="3">
                  <c:v>0.34228187919463093</c:v>
                </c:pt>
                <c:pt idx="4">
                  <c:v>0.25643267978709211</c:v>
                </c:pt>
                <c:pt idx="5">
                  <c:v>0.36447015393983223</c:v>
                </c:pt>
                <c:pt idx="6">
                  <c:v>0.23887798235341573</c:v>
                </c:pt>
                <c:pt idx="7">
                  <c:v>0.23912648493274294</c:v>
                </c:pt>
                <c:pt idx="10">
                  <c:v>0.27361164572908281</c:v>
                </c:pt>
                <c:pt idx="13">
                  <c:v>0.63350983358547652</c:v>
                </c:pt>
                <c:pt idx="14">
                  <c:v>0.48839859125750978</c:v>
                </c:pt>
                <c:pt idx="15">
                  <c:v>0.47543546225993744</c:v>
                </c:pt>
                <c:pt idx="16">
                  <c:v>0.57586526576019781</c:v>
                </c:pt>
                <c:pt idx="26">
                  <c:v>0.56884064204242424</c:v>
                </c:pt>
                <c:pt idx="28">
                  <c:v>1.1464501751034704</c:v>
                </c:pt>
                <c:pt idx="29">
                  <c:v>0.63176558417319884</c:v>
                </c:pt>
                <c:pt idx="30">
                  <c:v>1.3183589273435712</c:v>
                </c:pt>
                <c:pt idx="32">
                  <c:v>1.5096525096525097</c:v>
                </c:pt>
                <c:pt idx="33">
                  <c:v>1.5088495575221239</c:v>
                </c:pt>
                <c:pt idx="34">
                  <c:v>1.1435768261964734</c:v>
                </c:pt>
                <c:pt idx="35">
                  <c:v>2.1804878048780485</c:v>
                </c:pt>
                <c:pt idx="47">
                  <c:v>0.36</c:v>
                </c:pt>
                <c:pt idx="54">
                  <c:v>0.2842416011741456</c:v>
                </c:pt>
                <c:pt idx="59">
                  <c:v>0.65842167255594808</c:v>
                </c:pt>
                <c:pt idx="61">
                  <c:v>9.2235185100791442E-2</c:v>
                </c:pt>
                <c:pt idx="62">
                  <c:v>0.3043790380473797</c:v>
                </c:pt>
                <c:pt idx="63">
                  <c:v>0.15130142084727324</c:v>
                </c:pt>
                <c:pt idx="64">
                  <c:v>0.92348970053661072</c:v>
                </c:pt>
                <c:pt idx="65">
                  <c:v>0.44377090301003341</c:v>
                </c:pt>
                <c:pt idx="67">
                  <c:v>1.23680649526387</c:v>
                </c:pt>
                <c:pt idx="68">
                  <c:v>1.0228509249183895</c:v>
                </c:pt>
                <c:pt idx="69">
                  <c:v>1.9769053117782913</c:v>
                </c:pt>
                <c:pt idx="71">
                  <c:v>0.133317741506041</c:v>
                </c:pt>
                <c:pt idx="77">
                  <c:v>1.2394557823129251</c:v>
                </c:pt>
                <c:pt idx="78">
                  <c:v>1.1108462455303934</c:v>
                </c:pt>
                <c:pt idx="82">
                  <c:v>0.80137963843958127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B-411C-A81C-B6027DBB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22088"/>
        <c:axId val="-2138928968"/>
      </c:scatterChart>
      <c:valAx>
        <c:axId val="-21389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Root/Shoot Ratio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057622575969902"/>
              <c:y val="0.89676199936043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928968"/>
        <c:crosses val="autoZero"/>
        <c:crossBetween val="midCat"/>
      </c:valAx>
      <c:valAx>
        <c:axId val="-21389289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BGC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92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S1)'!$Y$2</c:f>
              <c:strCache>
                <c:ptCount val="1"/>
                <c:pt idx="0">
                  <c:v>Total N (soil)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S1)'!$Y$4:$Y$86</c:f>
              <c:numCache>
                <c:formatCode>0.00_);[Red]\(0.00\)</c:formatCode>
                <c:ptCount val="83"/>
                <c:pt idx="8">
                  <c:v>2.0299999999999998</c:v>
                </c:pt>
                <c:pt idx="9">
                  <c:v>1.1200000000000001</c:v>
                </c:pt>
                <c:pt idx="10">
                  <c:v>1.33</c:v>
                </c:pt>
                <c:pt idx="11">
                  <c:v>1.33</c:v>
                </c:pt>
                <c:pt idx="61">
                  <c:v>0.21500000000000002</c:v>
                </c:pt>
                <c:pt idx="62">
                  <c:v>0.97</c:v>
                </c:pt>
                <c:pt idx="63">
                  <c:v>0.2</c:v>
                </c:pt>
                <c:pt idx="64">
                  <c:v>0.97</c:v>
                </c:pt>
                <c:pt idx="65">
                  <c:v>0.34200000000000003</c:v>
                </c:pt>
                <c:pt idx="66">
                  <c:v>0.62000000000000011</c:v>
                </c:pt>
                <c:pt idx="71">
                  <c:v>0.47500000000000003</c:v>
                </c:pt>
              </c:numCache>
            </c:numRef>
          </c:xVal>
          <c:yVal>
            <c:numRef>
              <c:f>'Rawdata (Table S1)'!$CK$4:$CK$86</c:f>
              <c:numCache>
                <c:formatCode>0.00_);[Red]\(0.00\)</c:formatCode>
                <c:ptCount val="83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  <c:pt idx="54">
                  <c:v>13.299999999999999</c:v>
                </c:pt>
                <c:pt idx="81">
                  <c:v>4.4800000000000004</c:v>
                </c:pt>
                <c:pt idx="82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B-44F1-93F2-1ECDBCEA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73480"/>
        <c:axId val="2082080760"/>
      </c:scatterChart>
      <c:valAx>
        <c:axId val="20820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Total N in Soil (g kg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303480870865298"/>
              <c:y val="0.892241712235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080760"/>
        <c:crosses val="autoZero"/>
        <c:crossBetween val="midCat"/>
      </c:valAx>
      <c:valAx>
        <c:axId val="2082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HR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0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S1)'!$AV$2:$AV$3</c:f>
              <c:strCache>
                <c:ptCount val="2"/>
                <c:pt idx="0">
                  <c:v>Culm density(2</c:v>
                </c:pt>
                <c:pt idx="1">
                  <c:v>culm ha-1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S1)'!$AV$4:$AV$82</c:f>
              <c:numCache>
                <c:formatCode>0.00_);[Red]\(0.00\)</c:formatCode>
                <c:ptCount val="79"/>
                <c:pt idx="0">
                  <c:v>3430</c:v>
                </c:pt>
                <c:pt idx="1">
                  <c:v>3800</c:v>
                </c:pt>
                <c:pt idx="3">
                  <c:v>3330</c:v>
                </c:pt>
                <c:pt idx="4">
                  <c:v>2566.67</c:v>
                </c:pt>
                <c:pt idx="5">
                  <c:v>2770.33</c:v>
                </c:pt>
                <c:pt idx="6">
                  <c:v>2833.33</c:v>
                </c:pt>
                <c:pt idx="7">
                  <c:v>2629</c:v>
                </c:pt>
                <c:pt idx="12">
                  <c:v>3000</c:v>
                </c:pt>
                <c:pt idx="17">
                  <c:v>2734</c:v>
                </c:pt>
                <c:pt idx="18">
                  <c:v>3129</c:v>
                </c:pt>
                <c:pt idx="19">
                  <c:v>3555</c:v>
                </c:pt>
                <c:pt idx="20">
                  <c:v>3182</c:v>
                </c:pt>
                <c:pt idx="21">
                  <c:v>3272.2222222222222</c:v>
                </c:pt>
                <c:pt idx="26">
                  <c:v>3750</c:v>
                </c:pt>
                <c:pt idx="27">
                  <c:v>2700</c:v>
                </c:pt>
                <c:pt idx="28">
                  <c:v>2660</c:v>
                </c:pt>
                <c:pt idx="29">
                  <c:v>4790</c:v>
                </c:pt>
                <c:pt idx="30">
                  <c:v>2400</c:v>
                </c:pt>
                <c:pt idx="31">
                  <c:v>7351.333333333333</c:v>
                </c:pt>
                <c:pt idx="32">
                  <c:v>12500</c:v>
                </c:pt>
                <c:pt idx="33">
                  <c:v>3240</c:v>
                </c:pt>
                <c:pt idx="34">
                  <c:v>8200</c:v>
                </c:pt>
                <c:pt idx="35">
                  <c:v>8125</c:v>
                </c:pt>
                <c:pt idx="36">
                  <c:v>8588.5</c:v>
                </c:pt>
                <c:pt idx="39">
                  <c:v>5565</c:v>
                </c:pt>
                <c:pt idx="40">
                  <c:v>5230</c:v>
                </c:pt>
                <c:pt idx="41">
                  <c:v>5293.333333333333</c:v>
                </c:pt>
                <c:pt idx="42">
                  <c:v>10200</c:v>
                </c:pt>
                <c:pt idx="43">
                  <c:v>8250</c:v>
                </c:pt>
                <c:pt idx="44">
                  <c:v>3000</c:v>
                </c:pt>
                <c:pt idx="45">
                  <c:v>7318.666666666667</c:v>
                </c:pt>
                <c:pt idx="46">
                  <c:v>5400</c:v>
                </c:pt>
                <c:pt idx="47">
                  <c:v>9184</c:v>
                </c:pt>
                <c:pt idx="48">
                  <c:v>6133.333333333333</c:v>
                </c:pt>
                <c:pt idx="49">
                  <c:v>7200</c:v>
                </c:pt>
                <c:pt idx="50">
                  <c:v>5981.8</c:v>
                </c:pt>
                <c:pt idx="51">
                  <c:v>5181</c:v>
                </c:pt>
                <c:pt idx="52">
                  <c:v>7200</c:v>
                </c:pt>
                <c:pt idx="53">
                  <c:v>8000</c:v>
                </c:pt>
                <c:pt idx="54">
                  <c:v>7100</c:v>
                </c:pt>
                <c:pt idx="55">
                  <c:v>8133</c:v>
                </c:pt>
                <c:pt idx="56">
                  <c:v>7967</c:v>
                </c:pt>
                <c:pt idx="57">
                  <c:v>8133</c:v>
                </c:pt>
                <c:pt idx="58">
                  <c:v>8300</c:v>
                </c:pt>
                <c:pt idx="59">
                  <c:v>9675</c:v>
                </c:pt>
                <c:pt idx="60">
                  <c:v>14867</c:v>
                </c:pt>
                <c:pt idx="61">
                  <c:v>4633</c:v>
                </c:pt>
                <c:pt idx="62">
                  <c:v>6133</c:v>
                </c:pt>
                <c:pt idx="63">
                  <c:v>6833</c:v>
                </c:pt>
                <c:pt idx="64">
                  <c:v>3050</c:v>
                </c:pt>
                <c:pt idx="65">
                  <c:v>7500</c:v>
                </c:pt>
                <c:pt idx="66">
                  <c:v>8344</c:v>
                </c:pt>
                <c:pt idx="67">
                  <c:v>3767</c:v>
                </c:pt>
                <c:pt idx="68">
                  <c:v>5000</c:v>
                </c:pt>
                <c:pt idx="69">
                  <c:v>5167</c:v>
                </c:pt>
                <c:pt idx="70">
                  <c:v>7050</c:v>
                </c:pt>
                <c:pt idx="71">
                  <c:v>7933</c:v>
                </c:pt>
                <c:pt idx="72">
                  <c:v>11467</c:v>
                </c:pt>
                <c:pt idx="73">
                  <c:v>5567</c:v>
                </c:pt>
                <c:pt idx="74">
                  <c:v>10633</c:v>
                </c:pt>
                <c:pt idx="75">
                  <c:v>6996</c:v>
                </c:pt>
                <c:pt idx="76">
                  <c:v>7188</c:v>
                </c:pt>
                <c:pt idx="77">
                  <c:v>5167</c:v>
                </c:pt>
                <c:pt idx="78">
                  <c:v>5733</c:v>
                </c:pt>
              </c:numCache>
            </c:numRef>
          </c:xVal>
          <c:yVal>
            <c:numRef>
              <c:f>'Rawdata (Table S1)'!$BO$4:$BO$82</c:f>
              <c:numCache>
                <c:formatCode>0.00_);[Red]\(0.00\)</c:formatCode>
                <c:ptCount val="79"/>
                <c:pt idx="0">
                  <c:v>35.275750000000002</c:v>
                </c:pt>
                <c:pt idx="1">
                  <c:v>38.702750000000002</c:v>
                </c:pt>
                <c:pt idx="2">
                  <c:v>35.799999999999997</c:v>
                </c:pt>
                <c:pt idx="3">
                  <c:v>43.731499999999997</c:v>
                </c:pt>
                <c:pt idx="4">
                  <c:v>36.363150000000005</c:v>
                </c:pt>
                <c:pt idx="5">
                  <c:v>52.552999999999997</c:v>
                </c:pt>
                <c:pt idx="6">
                  <c:v>40.903100000000002</c:v>
                </c:pt>
                <c:pt idx="7">
                  <c:v>24.491849999999999</c:v>
                </c:pt>
                <c:pt idx="8">
                  <c:v>20.0305</c:v>
                </c:pt>
                <c:pt idx="9">
                  <c:v>17.106999999999999</c:v>
                </c:pt>
                <c:pt idx="10">
                  <c:v>14.288500000000001</c:v>
                </c:pt>
                <c:pt idx="12">
                  <c:v>21.759872780280947</c:v>
                </c:pt>
                <c:pt idx="13">
                  <c:v>52.88</c:v>
                </c:pt>
                <c:pt idx="14">
                  <c:v>48.27</c:v>
                </c:pt>
                <c:pt idx="15">
                  <c:v>22.39</c:v>
                </c:pt>
                <c:pt idx="16">
                  <c:v>32.36</c:v>
                </c:pt>
                <c:pt idx="17">
                  <c:v>23.718</c:v>
                </c:pt>
                <c:pt idx="18">
                  <c:v>18.899999999999999</c:v>
                </c:pt>
                <c:pt idx="19">
                  <c:v>24.75</c:v>
                </c:pt>
                <c:pt idx="20">
                  <c:v>20.76</c:v>
                </c:pt>
                <c:pt idx="21">
                  <c:v>20.353999999999999</c:v>
                </c:pt>
                <c:pt idx="22">
                  <c:v>27</c:v>
                </c:pt>
                <c:pt idx="23">
                  <c:v>33</c:v>
                </c:pt>
                <c:pt idx="24">
                  <c:v>35.1</c:v>
                </c:pt>
                <c:pt idx="25">
                  <c:v>37.700000000000003</c:v>
                </c:pt>
                <c:pt idx="26">
                  <c:v>58.127000000000002</c:v>
                </c:pt>
                <c:pt idx="27">
                  <c:v>26.544499999999999</c:v>
                </c:pt>
                <c:pt idx="28">
                  <c:v>15.704999999999998</c:v>
                </c:pt>
                <c:pt idx="29">
                  <c:v>53.58</c:v>
                </c:pt>
                <c:pt idx="30">
                  <c:v>21.814999999999998</c:v>
                </c:pt>
                <c:pt idx="31">
                  <c:v>87.083333333333329</c:v>
                </c:pt>
                <c:pt idx="32">
                  <c:v>11.654999999999999</c:v>
                </c:pt>
                <c:pt idx="33">
                  <c:v>22.6</c:v>
                </c:pt>
                <c:pt idx="34">
                  <c:v>39.700000000000003</c:v>
                </c:pt>
                <c:pt idx="35">
                  <c:v>20.5</c:v>
                </c:pt>
                <c:pt idx="36">
                  <c:v>92.5</c:v>
                </c:pt>
                <c:pt idx="37">
                  <c:v>84.2</c:v>
                </c:pt>
                <c:pt idx="38">
                  <c:v>92.3</c:v>
                </c:pt>
                <c:pt idx="39">
                  <c:v>66.657499999999999</c:v>
                </c:pt>
                <c:pt idx="40">
                  <c:v>41.41</c:v>
                </c:pt>
                <c:pt idx="41">
                  <c:v>55.196666666666665</c:v>
                </c:pt>
                <c:pt idx="42">
                  <c:v>92.825000000000003</c:v>
                </c:pt>
                <c:pt idx="43">
                  <c:v>110.675</c:v>
                </c:pt>
                <c:pt idx="44">
                  <c:v>40.15</c:v>
                </c:pt>
                <c:pt idx="46">
                  <c:v>62.64</c:v>
                </c:pt>
                <c:pt idx="47">
                  <c:v>68.400000000000006</c:v>
                </c:pt>
                <c:pt idx="48">
                  <c:v>25.5</c:v>
                </c:pt>
                <c:pt idx="49">
                  <c:v>60.75</c:v>
                </c:pt>
                <c:pt idx="52" formatCode="General">
                  <c:v>47.55</c:v>
                </c:pt>
                <c:pt idx="53">
                  <c:v>105.33180000000002</c:v>
                </c:pt>
                <c:pt idx="54">
                  <c:v>65.68180000000001</c:v>
                </c:pt>
                <c:pt idx="55">
                  <c:v>108.60000000000001</c:v>
                </c:pt>
                <c:pt idx="56">
                  <c:v>108.64999999999999</c:v>
                </c:pt>
                <c:pt idx="57">
                  <c:v>109.9</c:v>
                </c:pt>
                <c:pt idx="58">
                  <c:v>112.02500000000001</c:v>
                </c:pt>
                <c:pt idx="59">
                  <c:v>84.9</c:v>
                </c:pt>
                <c:pt idx="60">
                  <c:v>43.930000000000007</c:v>
                </c:pt>
                <c:pt idx="61">
                  <c:v>26.331600000000002</c:v>
                </c:pt>
                <c:pt idx="62">
                  <c:v>34.825000000000003</c:v>
                </c:pt>
                <c:pt idx="63">
                  <c:v>48.900399999999998</c:v>
                </c:pt>
                <c:pt idx="64">
                  <c:v>28.885000000000002</c:v>
                </c:pt>
                <c:pt idx="65">
                  <c:v>35.880000000000003</c:v>
                </c:pt>
                <c:pt idx="66">
                  <c:v>81.133659999999992</c:v>
                </c:pt>
                <c:pt idx="67">
                  <c:v>36.950000000000003</c:v>
                </c:pt>
                <c:pt idx="68">
                  <c:v>45.95</c:v>
                </c:pt>
                <c:pt idx="69">
                  <c:v>21.65</c:v>
                </c:pt>
                <c:pt idx="70">
                  <c:v>39.649852999999993</c:v>
                </c:pt>
                <c:pt idx="71">
                  <c:v>26.253070000000001</c:v>
                </c:pt>
                <c:pt idx="72">
                  <c:v>29.5</c:v>
                </c:pt>
                <c:pt idx="73">
                  <c:v>8</c:v>
                </c:pt>
                <c:pt idx="74">
                  <c:v>28.4</c:v>
                </c:pt>
                <c:pt idx="75">
                  <c:v>43.869530999999995</c:v>
                </c:pt>
                <c:pt idx="76">
                  <c:v>37.198925000000003</c:v>
                </c:pt>
                <c:pt idx="77">
                  <c:v>36.75</c:v>
                </c:pt>
                <c:pt idx="78">
                  <c:v>41.95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C-42C3-983F-FB0CB175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35416"/>
        <c:axId val="-2137227544"/>
      </c:scatterChart>
      <c:valAx>
        <c:axId val="-21372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Culm density (</a:t>
                </a:r>
                <a:r>
                  <a:rPr lang="en-US" altLang="zh-TW" sz="1000" b="0" i="0" baseline="0">
                    <a:effectLst/>
                  </a:rPr>
                  <a:t>Culm</a:t>
                </a:r>
                <a:r>
                  <a:rPr lang="en-GB" altLang="zh-TW" sz="1000" b="0" i="0" baseline="0">
                    <a:effectLst/>
                  </a:rPr>
                  <a:t>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227544"/>
        <c:crosses val="autoZero"/>
        <c:crossBetween val="midCat"/>
      </c:valAx>
      <c:valAx>
        <c:axId val="-21372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AGC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2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S1)'!$AW$2:$AW$3</c:f>
              <c:strCache>
                <c:ptCount val="2"/>
                <c:pt idx="0">
                  <c:v>Culm DBH(3</c:v>
                </c:pt>
                <c:pt idx="1">
                  <c:v>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69176031994401"/>
                  <c:y val="-0.140094933712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S1)'!$AW$4:$AW$82</c:f>
              <c:numCache>
                <c:formatCode>0.00_);[Red]\(0.00\)</c:formatCode>
                <c:ptCount val="79"/>
                <c:pt idx="4">
                  <c:v>12</c:v>
                </c:pt>
                <c:pt idx="5">
                  <c:v>11.5</c:v>
                </c:pt>
                <c:pt idx="6">
                  <c:v>12</c:v>
                </c:pt>
                <c:pt idx="7">
                  <c:v>10</c:v>
                </c:pt>
                <c:pt idx="8">
                  <c:v>8.3000000000000007</c:v>
                </c:pt>
                <c:pt idx="9">
                  <c:v>8.8000000000000007</c:v>
                </c:pt>
                <c:pt idx="10">
                  <c:v>8.1999999999999993</c:v>
                </c:pt>
                <c:pt idx="12">
                  <c:v>9.5</c:v>
                </c:pt>
                <c:pt idx="17">
                  <c:v>11.45</c:v>
                </c:pt>
                <c:pt idx="18">
                  <c:v>9.09</c:v>
                </c:pt>
                <c:pt idx="19">
                  <c:v>9.73</c:v>
                </c:pt>
                <c:pt idx="20">
                  <c:v>9.35</c:v>
                </c:pt>
                <c:pt idx="21">
                  <c:v>9.2111111111111104</c:v>
                </c:pt>
                <c:pt idx="28">
                  <c:v>8.1999999999999993</c:v>
                </c:pt>
                <c:pt idx="29">
                  <c:v>11.2</c:v>
                </c:pt>
                <c:pt idx="30">
                  <c:v>10.1</c:v>
                </c:pt>
                <c:pt idx="31">
                  <c:v>11.088691393851455</c:v>
                </c:pt>
                <c:pt idx="32">
                  <c:v>3.3759999999999999</c:v>
                </c:pt>
                <c:pt idx="33">
                  <c:v>8.1999999999999993</c:v>
                </c:pt>
                <c:pt idx="34">
                  <c:v>7.5</c:v>
                </c:pt>
                <c:pt idx="35">
                  <c:v>5.0999999999999996</c:v>
                </c:pt>
                <c:pt idx="36">
                  <c:v>12</c:v>
                </c:pt>
                <c:pt idx="39">
                  <c:v>13.4</c:v>
                </c:pt>
                <c:pt idx="40">
                  <c:v>10.4</c:v>
                </c:pt>
                <c:pt idx="41">
                  <c:v>12.333333333333334</c:v>
                </c:pt>
                <c:pt idx="42">
                  <c:v>9.3000000000000007</c:v>
                </c:pt>
                <c:pt idx="43">
                  <c:v>11.35</c:v>
                </c:pt>
                <c:pt idx="45">
                  <c:v>10.4</c:v>
                </c:pt>
                <c:pt idx="46">
                  <c:v>8</c:v>
                </c:pt>
                <c:pt idx="47">
                  <c:v>9.6999999999999993</c:v>
                </c:pt>
                <c:pt idx="48">
                  <c:v>8.9333333333333336</c:v>
                </c:pt>
                <c:pt idx="50">
                  <c:v>12.66</c:v>
                </c:pt>
                <c:pt idx="51">
                  <c:v>12.7</c:v>
                </c:pt>
                <c:pt idx="52">
                  <c:v>9.6</c:v>
                </c:pt>
                <c:pt idx="54">
                  <c:v>11.3</c:v>
                </c:pt>
                <c:pt idx="55">
                  <c:v>12.723791958686832</c:v>
                </c:pt>
                <c:pt idx="56">
                  <c:v>12.70419229320949</c:v>
                </c:pt>
                <c:pt idx="57">
                  <c:v>12.700000000000001</c:v>
                </c:pt>
                <c:pt idx="58">
                  <c:v>12.651361445783131</c:v>
                </c:pt>
                <c:pt idx="59">
                  <c:v>10.52</c:v>
                </c:pt>
                <c:pt idx="60">
                  <c:v>5.9</c:v>
                </c:pt>
                <c:pt idx="61">
                  <c:v>10.8</c:v>
                </c:pt>
                <c:pt idx="62">
                  <c:v>8.3000000000000007</c:v>
                </c:pt>
                <c:pt idx="63">
                  <c:v>10.7</c:v>
                </c:pt>
                <c:pt idx="64">
                  <c:v>8.9</c:v>
                </c:pt>
                <c:pt idx="65">
                  <c:v>8.1999999999999993</c:v>
                </c:pt>
                <c:pt idx="66">
                  <c:v>10.6</c:v>
                </c:pt>
                <c:pt idx="67">
                  <c:v>9.9</c:v>
                </c:pt>
                <c:pt idx="68">
                  <c:v>9.6999999999999993</c:v>
                </c:pt>
                <c:pt idx="69">
                  <c:v>7.6</c:v>
                </c:pt>
                <c:pt idx="70">
                  <c:v>8.66</c:v>
                </c:pt>
                <c:pt idx="71">
                  <c:v>6.8</c:v>
                </c:pt>
                <c:pt idx="72">
                  <c:v>5.9</c:v>
                </c:pt>
                <c:pt idx="73">
                  <c:v>4.8</c:v>
                </c:pt>
                <c:pt idx="74">
                  <c:v>5.9</c:v>
                </c:pt>
                <c:pt idx="75">
                  <c:v>8.73</c:v>
                </c:pt>
                <c:pt idx="76">
                  <c:v>8.8699999999999992</c:v>
                </c:pt>
                <c:pt idx="77">
                  <c:v>8.9</c:v>
                </c:pt>
                <c:pt idx="78">
                  <c:v>9.1</c:v>
                </c:pt>
              </c:numCache>
            </c:numRef>
          </c:xVal>
          <c:yVal>
            <c:numRef>
              <c:f>'Rawdata (Table S1)'!$BO$4:$BO$82</c:f>
              <c:numCache>
                <c:formatCode>0.00_);[Red]\(0.00\)</c:formatCode>
                <c:ptCount val="79"/>
                <c:pt idx="0">
                  <c:v>35.275750000000002</c:v>
                </c:pt>
                <c:pt idx="1">
                  <c:v>38.702750000000002</c:v>
                </c:pt>
                <c:pt idx="2">
                  <c:v>35.799999999999997</c:v>
                </c:pt>
                <c:pt idx="3">
                  <c:v>43.731499999999997</c:v>
                </c:pt>
                <c:pt idx="4">
                  <c:v>36.363150000000005</c:v>
                </c:pt>
                <c:pt idx="5">
                  <c:v>52.552999999999997</c:v>
                </c:pt>
                <c:pt idx="6">
                  <c:v>40.903100000000002</c:v>
                </c:pt>
                <c:pt idx="7">
                  <c:v>24.491849999999999</c:v>
                </c:pt>
                <c:pt idx="8">
                  <c:v>20.0305</c:v>
                </c:pt>
                <c:pt idx="9">
                  <c:v>17.106999999999999</c:v>
                </c:pt>
                <c:pt idx="10">
                  <c:v>14.288500000000001</c:v>
                </c:pt>
                <c:pt idx="12">
                  <c:v>21.759872780280947</c:v>
                </c:pt>
                <c:pt idx="13">
                  <c:v>52.88</c:v>
                </c:pt>
                <c:pt idx="14">
                  <c:v>48.27</c:v>
                </c:pt>
                <c:pt idx="15">
                  <c:v>22.39</c:v>
                </c:pt>
                <c:pt idx="16">
                  <c:v>32.36</c:v>
                </c:pt>
                <c:pt idx="17">
                  <c:v>23.718</c:v>
                </c:pt>
                <c:pt idx="18">
                  <c:v>18.899999999999999</c:v>
                </c:pt>
                <c:pt idx="19">
                  <c:v>24.75</c:v>
                </c:pt>
                <c:pt idx="20">
                  <c:v>20.76</c:v>
                </c:pt>
                <c:pt idx="21">
                  <c:v>20.353999999999999</c:v>
                </c:pt>
                <c:pt idx="22">
                  <c:v>27</c:v>
                </c:pt>
                <c:pt idx="23">
                  <c:v>33</c:v>
                </c:pt>
                <c:pt idx="24">
                  <c:v>35.1</c:v>
                </c:pt>
                <c:pt idx="25">
                  <c:v>37.700000000000003</c:v>
                </c:pt>
                <c:pt idx="26">
                  <c:v>58.127000000000002</c:v>
                </c:pt>
                <c:pt idx="27">
                  <c:v>26.544499999999999</c:v>
                </c:pt>
                <c:pt idx="28">
                  <c:v>15.704999999999998</c:v>
                </c:pt>
                <c:pt idx="29">
                  <c:v>53.58</c:v>
                </c:pt>
                <c:pt idx="30">
                  <c:v>21.814999999999998</c:v>
                </c:pt>
                <c:pt idx="31">
                  <c:v>87.083333333333329</c:v>
                </c:pt>
                <c:pt idx="32">
                  <c:v>11.654999999999999</c:v>
                </c:pt>
                <c:pt idx="33">
                  <c:v>22.6</c:v>
                </c:pt>
                <c:pt idx="34">
                  <c:v>39.700000000000003</c:v>
                </c:pt>
                <c:pt idx="35">
                  <c:v>20.5</c:v>
                </c:pt>
                <c:pt idx="36">
                  <c:v>92.5</c:v>
                </c:pt>
                <c:pt idx="37">
                  <c:v>84.2</c:v>
                </c:pt>
                <c:pt idx="38">
                  <c:v>92.3</c:v>
                </c:pt>
                <c:pt idx="39">
                  <c:v>66.657499999999999</c:v>
                </c:pt>
                <c:pt idx="40">
                  <c:v>41.41</c:v>
                </c:pt>
                <c:pt idx="41">
                  <c:v>55.196666666666665</c:v>
                </c:pt>
                <c:pt idx="42">
                  <c:v>92.825000000000003</c:v>
                </c:pt>
                <c:pt idx="43">
                  <c:v>110.675</c:v>
                </c:pt>
                <c:pt idx="44">
                  <c:v>40.15</c:v>
                </c:pt>
                <c:pt idx="46">
                  <c:v>62.64</c:v>
                </c:pt>
                <c:pt idx="47">
                  <c:v>68.400000000000006</c:v>
                </c:pt>
                <c:pt idx="48">
                  <c:v>25.5</c:v>
                </c:pt>
                <c:pt idx="49">
                  <c:v>60.75</c:v>
                </c:pt>
                <c:pt idx="52" formatCode="General">
                  <c:v>47.55</c:v>
                </c:pt>
                <c:pt idx="53">
                  <c:v>105.33180000000002</c:v>
                </c:pt>
                <c:pt idx="54">
                  <c:v>65.68180000000001</c:v>
                </c:pt>
                <c:pt idx="55">
                  <c:v>108.60000000000001</c:v>
                </c:pt>
                <c:pt idx="56">
                  <c:v>108.64999999999999</c:v>
                </c:pt>
                <c:pt idx="57">
                  <c:v>109.9</c:v>
                </c:pt>
                <c:pt idx="58">
                  <c:v>112.02500000000001</c:v>
                </c:pt>
                <c:pt idx="59">
                  <c:v>84.9</c:v>
                </c:pt>
                <c:pt idx="60">
                  <c:v>43.930000000000007</c:v>
                </c:pt>
                <c:pt idx="61">
                  <c:v>26.331600000000002</c:v>
                </c:pt>
                <c:pt idx="62">
                  <c:v>34.825000000000003</c:v>
                </c:pt>
                <c:pt idx="63">
                  <c:v>48.900399999999998</c:v>
                </c:pt>
                <c:pt idx="64">
                  <c:v>28.885000000000002</c:v>
                </c:pt>
                <c:pt idx="65">
                  <c:v>35.880000000000003</c:v>
                </c:pt>
                <c:pt idx="66">
                  <c:v>81.133659999999992</c:v>
                </c:pt>
                <c:pt idx="67">
                  <c:v>36.950000000000003</c:v>
                </c:pt>
                <c:pt idx="68">
                  <c:v>45.95</c:v>
                </c:pt>
                <c:pt idx="69">
                  <c:v>21.65</c:v>
                </c:pt>
                <c:pt idx="70">
                  <c:v>39.649852999999993</c:v>
                </c:pt>
                <c:pt idx="71">
                  <c:v>26.253070000000001</c:v>
                </c:pt>
                <c:pt idx="72">
                  <c:v>29.5</c:v>
                </c:pt>
                <c:pt idx="73">
                  <c:v>8</c:v>
                </c:pt>
                <c:pt idx="74">
                  <c:v>28.4</c:v>
                </c:pt>
                <c:pt idx="75">
                  <c:v>43.869530999999995</c:v>
                </c:pt>
                <c:pt idx="76">
                  <c:v>37.198925000000003</c:v>
                </c:pt>
                <c:pt idx="77">
                  <c:v>36.75</c:v>
                </c:pt>
                <c:pt idx="78">
                  <c:v>41.95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6-45DF-96E9-70A88299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35064"/>
        <c:axId val="2082142792"/>
      </c:scatterChart>
      <c:valAx>
        <c:axId val="208213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Average </a:t>
                </a:r>
                <a:r>
                  <a:rPr lang="en-GB" altLang="zh-TW" sz="1000" b="0" i="0" baseline="0">
                    <a:effectLst/>
                  </a:rPr>
                  <a:t>Culm DBH (</a:t>
                </a:r>
                <a:r>
                  <a:rPr lang="en-US" altLang="zh-TW" sz="1000" b="0" i="0" baseline="0">
                    <a:effectLst/>
                  </a:rPr>
                  <a:t>cm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142792"/>
        <c:crosses val="autoZero"/>
        <c:crossBetween val="midCat"/>
      </c:valAx>
      <c:valAx>
        <c:axId val="2082142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AGC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13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S1)'!$CD$2</c:f>
              <c:strCache>
                <c:ptCount val="1"/>
                <c:pt idx="0">
                  <c:v>ANPP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0815508297702"/>
                  <c:y val="-0.348847271772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xVal>
          <c:yVal>
            <c:numRef>
              <c:f>'Rawdata (Table S1)'!$CC$4:$CC$86</c:f>
              <c:numCache>
                <c:formatCode>0.00_);[Red]\(0.00\)</c:formatCode>
                <c:ptCount val="83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  <c:pt idx="28">
                  <c:v>3.5950000000000002</c:v>
                </c:pt>
                <c:pt idx="29">
                  <c:v>1.5149999999999999</c:v>
                </c:pt>
                <c:pt idx="30">
                  <c:v>2.63</c:v>
                </c:pt>
                <c:pt idx="33">
                  <c:v>2.8</c:v>
                </c:pt>
                <c:pt idx="34">
                  <c:v>4.7</c:v>
                </c:pt>
                <c:pt idx="35">
                  <c:v>10.5</c:v>
                </c:pt>
                <c:pt idx="36">
                  <c:v>2.1</c:v>
                </c:pt>
                <c:pt idx="37">
                  <c:v>3.49</c:v>
                </c:pt>
                <c:pt idx="38">
                  <c:v>3.976</c:v>
                </c:pt>
                <c:pt idx="44">
                  <c:v>3.1054999999999997</c:v>
                </c:pt>
                <c:pt idx="48">
                  <c:v>5.2</c:v>
                </c:pt>
                <c:pt idx="49">
                  <c:v>3.2167499999999993</c:v>
                </c:pt>
                <c:pt idx="53">
                  <c:v>7.35</c:v>
                </c:pt>
                <c:pt idx="54">
                  <c:v>3.3</c:v>
                </c:pt>
                <c:pt idx="60">
                  <c:v>3.7250000000000001</c:v>
                </c:pt>
                <c:pt idx="81">
                  <c:v>1.99</c:v>
                </c:pt>
                <c:pt idx="82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4-4D80-9189-2C2F12B5B51A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S1)'!$CD$4:$CD$31</c:f>
              <c:numCache>
                <c:formatCode>0.00_);[Red]\(0.00\)</c:formatCode>
                <c:ptCount val="28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</c:numCache>
            </c:numRef>
          </c:xVal>
          <c:yVal>
            <c:numRef>
              <c:f>'Rawdata (Table S1)'!$CC$4:$CC$31</c:f>
              <c:numCache>
                <c:formatCode>0.00_);[Red]\(0.00\)</c:formatCode>
                <c:ptCount val="28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4-4D80-9189-2C2F12B5B51A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S1)'!$CD$32:$CD$64</c:f>
              <c:numCache>
                <c:formatCode>0.00_);[Red]\(0.00\)</c:formatCode>
                <c:ptCount val="33"/>
                <c:pt idx="11">
                  <c:v>5.8574999999999999</c:v>
                </c:pt>
                <c:pt idx="12">
                  <c:v>6.07</c:v>
                </c:pt>
                <c:pt idx="13">
                  <c:v>0.54666666666666663</c:v>
                </c:pt>
                <c:pt idx="16">
                  <c:v>8.0299999999999994</c:v>
                </c:pt>
                <c:pt idx="20">
                  <c:v>25.5</c:v>
                </c:pt>
                <c:pt idx="21">
                  <c:v>7.8599999999999994</c:v>
                </c:pt>
                <c:pt idx="25">
                  <c:v>9.11</c:v>
                </c:pt>
                <c:pt idx="26">
                  <c:v>11.8</c:v>
                </c:pt>
                <c:pt idx="29">
                  <c:v>1.2500000000000142</c:v>
                </c:pt>
                <c:pt idx="30">
                  <c:v>2.125</c:v>
                </c:pt>
                <c:pt idx="32">
                  <c:v>9.370000000000001</c:v>
                </c:pt>
              </c:numCache>
            </c:numRef>
          </c:xVal>
          <c:yVal>
            <c:numRef>
              <c:f>'Rawdata (Table S1)'!$CC$32:$CC$64</c:f>
              <c:numCache>
                <c:formatCode>0.00_);[Red]\(0.00\)</c:formatCode>
                <c:ptCount val="33"/>
                <c:pt idx="0">
                  <c:v>3.5950000000000002</c:v>
                </c:pt>
                <c:pt idx="1">
                  <c:v>1.5149999999999999</c:v>
                </c:pt>
                <c:pt idx="2">
                  <c:v>2.63</c:v>
                </c:pt>
                <c:pt idx="5">
                  <c:v>2.8</c:v>
                </c:pt>
                <c:pt idx="6">
                  <c:v>4.7</c:v>
                </c:pt>
                <c:pt idx="7">
                  <c:v>10.5</c:v>
                </c:pt>
                <c:pt idx="8">
                  <c:v>2.1</c:v>
                </c:pt>
                <c:pt idx="9">
                  <c:v>3.49</c:v>
                </c:pt>
                <c:pt idx="10">
                  <c:v>3.976</c:v>
                </c:pt>
                <c:pt idx="16">
                  <c:v>3.1054999999999997</c:v>
                </c:pt>
                <c:pt idx="20">
                  <c:v>5.2</c:v>
                </c:pt>
                <c:pt idx="21">
                  <c:v>3.2167499999999993</c:v>
                </c:pt>
                <c:pt idx="25">
                  <c:v>7.35</c:v>
                </c:pt>
                <c:pt idx="26">
                  <c:v>3.3</c:v>
                </c:pt>
                <c:pt idx="32">
                  <c:v>3.7250000000000001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4-4D80-9189-2C2F12B5B51A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S1)'!$CD$70:$CD$86</c:f>
              <c:numCache>
                <c:formatCode>0.00_);[Red]\(0.00\)</c:formatCode>
                <c:ptCount val="17"/>
                <c:pt idx="1">
                  <c:v>4.1500000000000004</c:v>
                </c:pt>
                <c:pt idx="2">
                  <c:v>5.6</c:v>
                </c:pt>
                <c:pt idx="3">
                  <c:v>3.75</c:v>
                </c:pt>
                <c:pt idx="5">
                  <c:v>4</c:v>
                </c:pt>
                <c:pt idx="6">
                  <c:v>2.9</c:v>
                </c:pt>
                <c:pt idx="7">
                  <c:v>4</c:v>
                </c:pt>
                <c:pt idx="8">
                  <c:v>4.0999999999999996</c:v>
                </c:pt>
                <c:pt idx="11">
                  <c:v>4.6500000000000004</c:v>
                </c:pt>
                <c:pt idx="12">
                  <c:v>3.45</c:v>
                </c:pt>
                <c:pt idx="14">
                  <c:v>2.2166666666666672</c:v>
                </c:pt>
                <c:pt idx="15">
                  <c:v>7.1099999999999994</c:v>
                </c:pt>
                <c:pt idx="16">
                  <c:v>7.76</c:v>
                </c:pt>
              </c:numCache>
            </c:numRef>
          </c:xVal>
          <c:yVal>
            <c:numRef>
              <c:f>'Rawdata (Table S1)'!$CC$70:$CC$86</c:f>
              <c:numCache>
                <c:formatCode>0.00_);[Red]\(0.00\)</c:formatCode>
                <c:ptCount val="17"/>
                <c:pt idx="15">
                  <c:v>1.99</c:v>
                </c:pt>
                <c:pt idx="16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4-4D80-9189-2C2F12B5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18776"/>
        <c:axId val="-2139029304"/>
      </c:scatterChart>
      <c:valAx>
        <c:axId val="-213901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ANPP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48029621793201"/>
              <c:y val="0.8877212915020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9029304"/>
        <c:crosses val="autoZero"/>
        <c:crossBetween val="midCat"/>
      </c:valAx>
      <c:valAx>
        <c:axId val="-21390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Litterfall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901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S1)'!$CK$2</c:f>
              <c:strCache>
                <c:ptCount val="1"/>
                <c:pt idx="0">
                  <c:v>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S1)'!$CK$4:$CK$86</c:f>
              <c:numCache>
                <c:formatCode>0.00_);[Red]\(0.00\)</c:formatCode>
                <c:ptCount val="83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  <c:pt idx="54">
                  <c:v>13.299999999999999</c:v>
                </c:pt>
                <c:pt idx="81">
                  <c:v>4.4800000000000004</c:v>
                </c:pt>
                <c:pt idx="82">
                  <c:v>4.55</c:v>
                </c:pt>
              </c:numCache>
            </c:numRef>
          </c:xVal>
          <c:yVal>
            <c:numRef>
              <c:f>'Rawdata (Table S1)'!$CJ$4:$CJ$86</c:f>
              <c:numCache>
                <c:formatCode>0.00_);[Red]\(0.00\)</c:formatCode>
                <c:ptCount val="83"/>
                <c:pt idx="11">
                  <c:v>9.256636363636364</c:v>
                </c:pt>
                <c:pt idx="54">
                  <c:v>14.263636363636362</c:v>
                </c:pt>
                <c:pt idx="81">
                  <c:v>11.21</c:v>
                </c:pt>
                <c:pt idx="82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B-4D9D-B6A2-5B5D55276972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S1)'!$CK$4:$CK$31</c:f>
              <c:numCache>
                <c:formatCode>0.00_);[Red]\(0.00\)</c:formatCode>
                <c:ptCount val="28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</c:numCache>
            </c:numRef>
          </c:xVal>
          <c:yVal>
            <c:numRef>
              <c:f>'Rawdata (Table S1)'!$CJ$4:$CJ$31</c:f>
              <c:numCache>
                <c:formatCode>0.00_);[Red]\(0.00\)</c:formatCode>
                <c:ptCount val="28"/>
                <c:pt idx="11">
                  <c:v>9.256636363636364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B-4D9D-B6A2-5B5D55276972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S1)'!$CK$32:$CK$64</c:f>
              <c:numCache>
                <c:formatCode>0.00_);[Red]\(0.00\)</c:formatCode>
                <c:ptCount val="33"/>
                <c:pt idx="26">
                  <c:v>13.299999999999999</c:v>
                </c:pt>
              </c:numCache>
            </c:numRef>
          </c:xVal>
          <c:yVal>
            <c:numRef>
              <c:f>'Rawdata (Table S1)'!$CJ$32:$CJ$64</c:f>
              <c:numCache>
                <c:formatCode>0.00_);[Red]\(0.00\)</c:formatCode>
                <c:ptCount val="33"/>
                <c:pt idx="26">
                  <c:v>14.263636363636362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B-4D9D-B6A2-5B5D55276972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S1)'!$CK$70:$CK$86</c:f>
              <c:numCache>
                <c:formatCode>0.00_);[Red]\(0.00\)</c:formatCode>
                <c:ptCount val="17"/>
                <c:pt idx="15">
                  <c:v>4.4800000000000004</c:v>
                </c:pt>
                <c:pt idx="16">
                  <c:v>4.55</c:v>
                </c:pt>
              </c:numCache>
            </c:numRef>
          </c:xVal>
          <c:yVal>
            <c:numRef>
              <c:f>'Rawdata (Table S1)'!$CJ$70:$CJ$86</c:f>
              <c:numCache>
                <c:formatCode>0.00_);[Red]\(0.00\)</c:formatCode>
                <c:ptCount val="17"/>
                <c:pt idx="15">
                  <c:v>11.21</c:v>
                </c:pt>
                <c:pt idx="16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B-4D9D-B6A2-5B5D5527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25352"/>
        <c:axId val="2141836024"/>
      </c:scatterChart>
      <c:valAx>
        <c:axId val="214182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Heterotrophic Respiration, HR (Mg C ha</a:t>
                </a:r>
                <a:r>
                  <a:rPr lang="en-US" altLang="zh-TW" sz="10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 yr</a:t>
                </a:r>
                <a:r>
                  <a:rPr lang="en-US" altLang="zh-TW" sz="10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zh-TW" altLang="zh-TW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6448029621793201"/>
              <c:y val="0.8877212915020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836024"/>
        <c:crosses val="autoZero"/>
        <c:crossBetween val="midCat"/>
      </c:valAx>
      <c:valAx>
        <c:axId val="21418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SR (Mg C ha</a:t>
                </a:r>
                <a:r>
                  <a:rPr lang="en-GB" altLang="zh-TW" sz="1000" b="0" i="0" u="none" strike="noStrike" baseline="30000">
                    <a:solidFill>
                      <a:schemeClr val="tx1"/>
                    </a:solidFill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zh-TW" altLang="zh-TW" sz="1000" b="0" baseline="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82535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S1)'!$BT$2:$BT$3</c:f>
              <c:strCache>
                <c:ptCount val="2"/>
                <c:pt idx="0">
                  <c:v>BGC</c:v>
                </c:pt>
                <c:pt idx="1">
                  <c:v>Mg C ha-1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143213533952"/>
                  <c:y val="-0.104004811898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S1)'!$AY$4:$AY$86</c:f>
              <c:numCache>
                <c:formatCode>0.00_);[Red]\(0.00\)</c:formatCode>
                <c:ptCount val="83"/>
                <c:pt idx="4">
                  <c:v>29.028353818281531</c:v>
                </c:pt>
                <c:pt idx="5">
                  <c:v>28.775114943214181</c:v>
                </c:pt>
                <c:pt idx="6">
                  <c:v>32.044207367504043</c:v>
                </c:pt>
                <c:pt idx="7">
                  <c:v>20.648117715718918</c:v>
                </c:pt>
                <c:pt idx="12">
                  <c:v>21.264655273985909</c:v>
                </c:pt>
                <c:pt idx="17">
                  <c:v>28.151358986776938</c:v>
                </c:pt>
                <c:pt idx="18">
                  <c:v>20.305945253512977</c:v>
                </c:pt>
                <c:pt idx="19">
                  <c:v>26.433530194037907</c:v>
                </c:pt>
                <c:pt idx="20">
                  <c:v>21.848080052984994</c:v>
                </c:pt>
                <c:pt idx="21">
                  <c:v>21.805031242491747</c:v>
                </c:pt>
                <c:pt idx="28">
                  <c:v>14.047505886820614</c:v>
                </c:pt>
                <c:pt idx="29">
                  <c:v>47.191245550339858</c:v>
                </c:pt>
                <c:pt idx="30">
                  <c:v>19.228431995561689</c:v>
                </c:pt>
                <c:pt idx="31">
                  <c:v>70.993173583070003</c:v>
                </c:pt>
                <c:pt idx="32">
                  <c:v>11.189347722437693</c:v>
                </c:pt>
                <c:pt idx="33">
                  <c:v>17.110495892217592</c:v>
                </c:pt>
                <c:pt idx="34">
                  <c:v>36.226490286707303</c:v>
                </c:pt>
                <c:pt idx="35">
                  <c:v>16.597917561848696</c:v>
                </c:pt>
                <c:pt idx="36">
                  <c:v>97.133646619281379</c:v>
                </c:pt>
                <c:pt idx="39">
                  <c:v>79.900000000000006</c:v>
                </c:pt>
                <c:pt idx="40">
                  <c:v>45.7</c:v>
                </c:pt>
                <c:pt idx="41">
                  <c:v>65.333333333333329</c:v>
                </c:pt>
                <c:pt idx="42">
                  <c:v>74.5</c:v>
                </c:pt>
                <c:pt idx="43">
                  <c:v>86.2</c:v>
                </c:pt>
                <c:pt idx="45">
                  <c:v>60.666666666666664</c:v>
                </c:pt>
                <c:pt idx="46">
                  <c:v>27.143360527015815</c:v>
                </c:pt>
                <c:pt idx="47">
                  <c:v>69.7</c:v>
                </c:pt>
                <c:pt idx="48">
                  <c:v>38.442668646540483</c:v>
                </c:pt>
                <c:pt idx="50">
                  <c:v>66.08</c:v>
                </c:pt>
                <c:pt idx="51">
                  <c:v>57.6</c:v>
                </c:pt>
                <c:pt idx="52">
                  <c:v>53.9</c:v>
                </c:pt>
                <c:pt idx="54">
                  <c:v>71.204118953796325</c:v>
                </c:pt>
                <c:pt idx="55">
                  <c:v>103.41267510803563</c:v>
                </c:pt>
                <c:pt idx="56">
                  <c:v>100.99010318518286</c:v>
                </c:pt>
                <c:pt idx="57">
                  <c:v>103.02629818749874</c:v>
                </c:pt>
                <c:pt idx="58">
                  <c:v>104.33799836625894</c:v>
                </c:pt>
                <c:pt idx="59">
                  <c:v>88.3</c:v>
                </c:pt>
                <c:pt idx="60">
                  <c:v>46.4</c:v>
                </c:pt>
                <c:pt idx="61">
                  <c:v>42.442376396061697</c:v>
                </c:pt>
                <c:pt idx="62">
                  <c:v>33.183258542906927</c:v>
                </c:pt>
                <c:pt idx="63">
                  <c:v>61.442497072514541</c:v>
                </c:pt>
                <c:pt idx="64">
                  <c:v>18.974473499427123</c:v>
                </c:pt>
                <c:pt idx="65">
                  <c:v>40.5</c:v>
                </c:pt>
                <c:pt idx="66">
                  <c:v>73.633578526263037</c:v>
                </c:pt>
                <c:pt idx="67">
                  <c:v>28.99718843375976</c:v>
                </c:pt>
                <c:pt idx="68">
                  <c:v>36.94905659703295</c:v>
                </c:pt>
                <c:pt idx="69">
                  <c:v>23.439887744146176</c:v>
                </c:pt>
                <c:pt idx="70">
                  <c:v>41.525491584537221</c:v>
                </c:pt>
                <c:pt idx="71">
                  <c:v>28.810126226192569</c:v>
                </c:pt>
                <c:pt idx="72">
                  <c:v>31.350445534820999</c:v>
                </c:pt>
                <c:pt idx="73">
                  <c:v>10.073805870259802</c:v>
                </c:pt>
                <c:pt idx="74">
                  <c:v>29.070313715161038</c:v>
                </c:pt>
                <c:pt idx="75">
                  <c:v>41.876287192360493</c:v>
                </c:pt>
                <c:pt idx="76">
                  <c:v>44.41658755718521</c:v>
                </c:pt>
                <c:pt idx="77">
                  <c:v>32.144624449685232</c:v>
                </c:pt>
                <c:pt idx="78">
                  <c:v>37.286756601543445</c:v>
                </c:pt>
                <c:pt idx="79">
                  <c:v>17.871167365236797</c:v>
                </c:pt>
                <c:pt idx="80">
                  <c:v>31.044963348371233</c:v>
                </c:pt>
                <c:pt idx="81">
                  <c:v>21.912156369446688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D16-9FBD-B39E7ED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3912"/>
        <c:axId val="2141711688"/>
      </c:scatterChart>
      <c:valAx>
        <c:axId val="21417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Basal area (b.a.) (m</a:t>
                </a:r>
                <a:r>
                  <a:rPr lang="en-US" altLang="zh-TW" sz="1000" b="0" i="0" baseline="30000">
                    <a:effectLst/>
                  </a:rPr>
                  <a:t>2</a:t>
                </a:r>
                <a:r>
                  <a:rPr lang="en-US" altLang="zh-TW" sz="1000" b="0" i="0" baseline="0">
                    <a:effectLst/>
                  </a:rPr>
                  <a:t>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11688"/>
        <c:crosses val="autoZero"/>
        <c:crossBetween val="midCat"/>
      </c:valAx>
      <c:valAx>
        <c:axId val="21417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BGC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S1)'!$BT$2:$BT$3</c:f>
              <c:strCache>
                <c:ptCount val="2"/>
                <c:pt idx="0">
                  <c:v>BGC</c:v>
                </c:pt>
                <c:pt idx="1">
                  <c:v>Mg C ha-1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143213533952"/>
                  <c:y val="-0.104004811898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S1)'!$AV$4:$AV$86</c:f>
              <c:numCache>
                <c:formatCode>0.00_);[Red]\(0.00\)</c:formatCode>
                <c:ptCount val="83"/>
                <c:pt idx="0">
                  <c:v>3430</c:v>
                </c:pt>
                <c:pt idx="1">
                  <c:v>3800</c:v>
                </c:pt>
                <c:pt idx="3">
                  <c:v>3330</c:v>
                </c:pt>
                <c:pt idx="4">
                  <c:v>2566.67</c:v>
                </c:pt>
                <c:pt idx="5">
                  <c:v>2770.33</c:v>
                </c:pt>
                <c:pt idx="6">
                  <c:v>2833.33</c:v>
                </c:pt>
                <c:pt idx="7">
                  <c:v>2629</c:v>
                </c:pt>
                <c:pt idx="12">
                  <c:v>3000</c:v>
                </c:pt>
                <c:pt idx="17">
                  <c:v>2734</c:v>
                </c:pt>
                <c:pt idx="18">
                  <c:v>3129</c:v>
                </c:pt>
                <c:pt idx="19">
                  <c:v>3555</c:v>
                </c:pt>
                <c:pt idx="20">
                  <c:v>3182</c:v>
                </c:pt>
                <c:pt idx="21">
                  <c:v>3272.2222222222222</c:v>
                </c:pt>
                <c:pt idx="26">
                  <c:v>3750</c:v>
                </c:pt>
                <c:pt idx="27">
                  <c:v>2700</c:v>
                </c:pt>
                <c:pt idx="28">
                  <c:v>2660</c:v>
                </c:pt>
                <c:pt idx="29">
                  <c:v>4790</c:v>
                </c:pt>
                <c:pt idx="30">
                  <c:v>2400</c:v>
                </c:pt>
                <c:pt idx="31">
                  <c:v>7351.333333333333</c:v>
                </c:pt>
                <c:pt idx="32">
                  <c:v>12500</c:v>
                </c:pt>
                <c:pt idx="33">
                  <c:v>3240</c:v>
                </c:pt>
                <c:pt idx="34">
                  <c:v>8200</c:v>
                </c:pt>
                <c:pt idx="35">
                  <c:v>8125</c:v>
                </c:pt>
                <c:pt idx="36">
                  <c:v>8588.5</c:v>
                </c:pt>
                <c:pt idx="39">
                  <c:v>5565</c:v>
                </c:pt>
                <c:pt idx="40">
                  <c:v>5230</c:v>
                </c:pt>
                <c:pt idx="41">
                  <c:v>5293.333333333333</c:v>
                </c:pt>
                <c:pt idx="42">
                  <c:v>10200</c:v>
                </c:pt>
                <c:pt idx="43">
                  <c:v>8250</c:v>
                </c:pt>
                <c:pt idx="44">
                  <c:v>3000</c:v>
                </c:pt>
                <c:pt idx="45">
                  <c:v>7318.666666666667</c:v>
                </c:pt>
                <c:pt idx="46">
                  <c:v>5400</c:v>
                </c:pt>
                <c:pt idx="47">
                  <c:v>9184</c:v>
                </c:pt>
                <c:pt idx="48">
                  <c:v>6133.333333333333</c:v>
                </c:pt>
                <c:pt idx="49">
                  <c:v>7200</c:v>
                </c:pt>
                <c:pt idx="50">
                  <c:v>5981.8</c:v>
                </c:pt>
                <c:pt idx="51">
                  <c:v>5181</c:v>
                </c:pt>
                <c:pt idx="52">
                  <c:v>7200</c:v>
                </c:pt>
                <c:pt idx="53">
                  <c:v>8000</c:v>
                </c:pt>
                <c:pt idx="54">
                  <c:v>7100</c:v>
                </c:pt>
                <c:pt idx="55">
                  <c:v>8133</c:v>
                </c:pt>
                <c:pt idx="56">
                  <c:v>7967</c:v>
                </c:pt>
                <c:pt idx="57">
                  <c:v>8133</c:v>
                </c:pt>
                <c:pt idx="58">
                  <c:v>8300</c:v>
                </c:pt>
                <c:pt idx="59">
                  <c:v>9675</c:v>
                </c:pt>
                <c:pt idx="60">
                  <c:v>14867</c:v>
                </c:pt>
                <c:pt idx="61">
                  <c:v>4633</c:v>
                </c:pt>
                <c:pt idx="62">
                  <c:v>6133</c:v>
                </c:pt>
                <c:pt idx="63">
                  <c:v>6833</c:v>
                </c:pt>
                <c:pt idx="64">
                  <c:v>3050</c:v>
                </c:pt>
                <c:pt idx="65">
                  <c:v>7500</c:v>
                </c:pt>
                <c:pt idx="66">
                  <c:v>8344</c:v>
                </c:pt>
                <c:pt idx="67">
                  <c:v>3767</c:v>
                </c:pt>
                <c:pt idx="68">
                  <c:v>5000</c:v>
                </c:pt>
                <c:pt idx="69">
                  <c:v>5167</c:v>
                </c:pt>
                <c:pt idx="70">
                  <c:v>7050</c:v>
                </c:pt>
                <c:pt idx="71">
                  <c:v>7933</c:v>
                </c:pt>
                <c:pt idx="72">
                  <c:v>11467</c:v>
                </c:pt>
                <c:pt idx="73">
                  <c:v>5567</c:v>
                </c:pt>
                <c:pt idx="74">
                  <c:v>10633</c:v>
                </c:pt>
                <c:pt idx="75">
                  <c:v>6996</c:v>
                </c:pt>
                <c:pt idx="76">
                  <c:v>7188</c:v>
                </c:pt>
                <c:pt idx="77">
                  <c:v>5167</c:v>
                </c:pt>
                <c:pt idx="78">
                  <c:v>5733</c:v>
                </c:pt>
                <c:pt idx="79">
                  <c:v>5733</c:v>
                </c:pt>
                <c:pt idx="80">
                  <c:v>13067</c:v>
                </c:pt>
                <c:pt idx="81">
                  <c:v>3954</c:v>
                </c:pt>
                <c:pt idx="82">
                  <c:v>6000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B-4A11-9C71-9522E7DD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3912"/>
        <c:axId val="2141711688"/>
      </c:scatterChart>
      <c:valAx>
        <c:axId val="21417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Culm density (</a:t>
                </a:r>
                <a:r>
                  <a:rPr lang="en-US" altLang="zh-TW" sz="1000" b="0" i="0" baseline="0">
                    <a:effectLst/>
                  </a:rPr>
                  <a:t>Culm</a:t>
                </a:r>
                <a:r>
                  <a:rPr lang="en-GB" altLang="zh-TW" sz="1000" b="0" i="0" baseline="0">
                    <a:effectLst/>
                  </a:rPr>
                  <a:t>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11688"/>
        <c:crosses val="autoZero"/>
        <c:crossBetween val="midCat"/>
      </c:valAx>
      <c:valAx>
        <c:axId val="21417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BGC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S1)'!$BT$2:$BT$3</c:f>
              <c:strCache>
                <c:ptCount val="2"/>
                <c:pt idx="0">
                  <c:v>BGC</c:v>
                </c:pt>
                <c:pt idx="1">
                  <c:v>Mg C ha-1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799246799564624"/>
                  <c:y val="-0.27091301792378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S1)'!$AW$4:$AW$86</c:f>
              <c:numCache>
                <c:formatCode>0.00_);[Red]\(0.00\)</c:formatCode>
                <c:ptCount val="83"/>
                <c:pt idx="4">
                  <c:v>12</c:v>
                </c:pt>
                <c:pt idx="5">
                  <c:v>11.5</c:v>
                </c:pt>
                <c:pt idx="6">
                  <c:v>12</c:v>
                </c:pt>
                <c:pt idx="7">
                  <c:v>10</c:v>
                </c:pt>
                <c:pt idx="8">
                  <c:v>8.3000000000000007</c:v>
                </c:pt>
                <c:pt idx="9">
                  <c:v>8.8000000000000007</c:v>
                </c:pt>
                <c:pt idx="10">
                  <c:v>8.1999999999999993</c:v>
                </c:pt>
                <c:pt idx="12">
                  <c:v>9.5</c:v>
                </c:pt>
                <c:pt idx="17">
                  <c:v>11.45</c:v>
                </c:pt>
                <c:pt idx="18">
                  <c:v>9.09</c:v>
                </c:pt>
                <c:pt idx="19">
                  <c:v>9.73</c:v>
                </c:pt>
                <c:pt idx="20">
                  <c:v>9.35</c:v>
                </c:pt>
                <c:pt idx="21">
                  <c:v>9.2111111111111104</c:v>
                </c:pt>
                <c:pt idx="28">
                  <c:v>8.1999999999999993</c:v>
                </c:pt>
                <c:pt idx="29">
                  <c:v>11.2</c:v>
                </c:pt>
                <c:pt idx="30">
                  <c:v>10.1</c:v>
                </c:pt>
                <c:pt idx="31">
                  <c:v>11.088691393851455</c:v>
                </c:pt>
                <c:pt idx="32">
                  <c:v>3.3759999999999999</c:v>
                </c:pt>
                <c:pt idx="33">
                  <c:v>8.1999999999999993</c:v>
                </c:pt>
                <c:pt idx="34">
                  <c:v>7.5</c:v>
                </c:pt>
                <c:pt idx="35">
                  <c:v>5.0999999999999996</c:v>
                </c:pt>
                <c:pt idx="36">
                  <c:v>12</c:v>
                </c:pt>
                <c:pt idx="39">
                  <c:v>13.4</c:v>
                </c:pt>
                <c:pt idx="40">
                  <c:v>10.4</c:v>
                </c:pt>
                <c:pt idx="41">
                  <c:v>12.333333333333334</c:v>
                </c:pt>
                <c:pt idx="42">
                  <c:v>9.3000000000000007</c:v>
                </c:pt>
                <c:pt idx="43">
                  <c:v>11.35</c:v>
                </c:pt>
                <c:pt idx="45">
                  <c:v>10.4</c:v>
                </c:pt>
                <c:pt idx="46">
                  <c:v>8</c:v>
                </c:pt>
                <c:pt idx="47">
                  <c:v>9.6999999999999993</c:v>
                </c:pt>
                <c:pt idx="48">
                  <c:v>8.9333333333333336</c:v>
                </c:pt>
                <c:pt idx="50">
                  <c:v>12.66</c:v>
                </c:pt>
                <c:pt idx="51">
                  <c:v>12.7</c:v>
                </c:pt>
                <c:pt idx="52">
                  <c:v>9.6</c:v>
                </c:pt>
                <c:pt idx="54">
                  <c:v>11.3</c:v>
                </c:pt>
                <c:pt idx="55">
                  <c:v>12.723791958686832</c:v>
                </c:pt>
                <c:pt idx="56">
                  <c:v>12.70419229320949</c:v>
                </c:pt>
                <c:pt idx="57">
                  <c:v>12.700000000000001</c:v>
                </c:pt>
                <c:pt idx="58">
                  <c:v>12.651361445783131</c:v>
                </c:pt>
                <c:pt idx="59">
                  <c:v>10.52</c:v>
                </c:pt>
                <c:pt idx="60">
                  <c:v>5.9</c:v>
                </c:pt>
                <c:pt idx="61">
                  <c:v>10.8</c:v>
                </c:pt>
                <c:pt idx="62">
                  <c:v>8.3000000000000007</c:v>
                </c:pt>
                <c:pt idx="63">
                  <c:v>10.7</c:v>
                </c:pt>
                <c:pt idx="64">
                  <c:v>8.9</c:v>
                </c:pt>
                <c:pt idx="65">
                  <c:v>8.1999999999999993</c:v>
                </c:pt>
                <c:pt idx="66">
                  <c:v>10.6</c:v>
                </c:pt>
                <c:pt idx="67">
                  <c:v>9.9</c:v>
                </c:pt>
                <c:pt idx="68">
                  <c:v>9.6999999999999993</c:v>
                </c:pt>
                <c:pt idx="69">
                  <c:v>7.6</c:v>
                </c:pt>
                <c:pt idx="70">
                  <c:v>8.66</c:v>
                </c:pt>
                <c:pt idx="71">
                  <c:v>6.8</c:v>
                </c:pt>
                <c:pt idx="72">
                  <c:v>5.9</c:v>
                </c:pt>
                <c:pt idx="73">
                  <c:v>4.8</c:v>
                </c:pt>
                <c:pt idx="74">
                  <c:v>5.9</c:v>
                </c:pt>
                <c:pt idx="75">
                  <c:v>8.73</c:v>
                </c:pt>
                <c:pt idx="76">
                  <c:v>8.8699999999999992</c:v>
                </c:pt>
                <c:pt idx="77">
                  <c:v>8.9</c:v>
                </c:pt>
                <c:pt idx="78">
                  <c:v>9.1</c:v>
                </c:pt>
                <c:pt idx="79">
                  <c:v>6.3</c:v>
                </c:pt>
                <c:pt idx="80">
                  <c:v>5.5</c:v>
                </c:pt>
                <c:pt idx="81">
                  <c:v>8.4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4-4814-90FE-8280CEF8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3912"/>
        <c:axId val="2141711688"/>
      </c:scatterChart>
      <c:valAx>
        <c:axId val="21417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Average </a:t>
                </a:r>
                <a:r>
                  <a:rPr lang="en-GB" altLang="zh-TW" sz="1000" b="0" i="0" baseline="0">
                    <a:effectLst/>
                  </a:rPr>
                  <a:t>Culm DBH (</a:t>
                </a:r>
                <a:r>
                  <a:rPr lang="en-US" altLang="zh-TW" sz="1000" b="0" i="0" baseline="0">
                    <a:effectLst/>
                  </a:rPr>
                  <a:t>cm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11688"/>
        <c:crosses val="autoZero"/>
        <c:crossBetween val="midCat"/>
      </c:valAx>
      <c:valAx>
        <c:axId val="21417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BGC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S1)'!$BT$2:$BT$3</c:f>
              <c:strCache>
                <c:ptCount val="2"/>
                <c:pt idx="0">
                  <c:v>BGC</c:v>
                </c:pt>
                <c:pt idx="1">
                  <c:v>Mg C ha-1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S1)'!$AX$4:$AX$86</c:f>
              <c:numCache>
                <c:formatCode>0.00_);[Red]\(0.00\)</c:formatCode>
                <c:ptCount val="83"/>
                <c:pt idx="8">
                  <c:v>13.1</c:v>
                </c:pt>
                <c:pt idx="9">
                  <c:v>12.3</c:v>
                </c:pt>
                <c:pt idx="10">
                  <c:v>11.1</c:v>
                </c:pt>
                <c:pt idx="31">
                  <c:v>15.621379341616034</c:v>
                </c:pt>
                <c:pt idx="39">
                  <c:v>18</c:v>
                </c:pt>
                <c:pt idx="40">
                  <c:v>13.5</c:v>
                </c:pt>
                <c:pt idx="41">
                  <c:v>16.933333333333334</c:v>
                </c:pt>
                <c:pt idx="46">
                  <c:v>12.1</c:v>
                </c:pt>
                <c:pt idx="48">
                  <c:v>12.833333333333334</c:v>
                </c:pt>
                <c:pt idx="52">
                  <c:v>13.6</c:v>
                </c:pt>
                <c:pt idx="55">
                  <c:v>18.436493298905692</c:v>
                </c:pt>
                <c:pt idx="56">
                  <c:v>18.404192293209491</c:v>
                </c:pt>
                <c:pt idx="57">
                  <c:v>18.404094430099594</c:v>
                </c:pt>
                <c:pt idx="58">
                  <c:v>18.451361445783132</c:v>
                </c:pt>
                <c:pt idx="60">
                  <c:v>9.5</c:v>
                </c:pt>
                <c:pt idx="62">
                  <c:v>12</c:v>
                </c:pt>
                <c:pt idx="64">
                  <c:v>13.2</c:v>
                </c:pt>
                <c:pt idx="65">
                  <c:v>11.9</c:v>
                </c:pt>
                <c:pt idx="66">
                  <c:v>21.4</c:v>
                </c:pt>
                <c:pt idx="67">
                  <c:v>13.4</c:v>
                </c:pt>
                <c:pt idx="68">
                  <c:v>13.6</c:v>
                </c:pt>
                <c:pt idx="69">
                  <c:v>12.3</c:v>
                </c:pt>
                <c:pt idx="71">
                  <c:v>10.3</c:v>
                </c:pt>
                <c:pt idx="72">
                  <c:v>9.5</c:v>
                </c:pt>
                <c:pt idx="73">
                  <c:v>8</c:v>
                </c:pt>
                <c:pt idx="74">
                  <c:v>9.5</c:v>
                </c:pt>
                <c:pt idx="77">
                  <c:v>12.6</c:v>
                </c:pt>
                <c:pt idx="78">
                  <c:v>13.2</c:v>
                </c:pt>
                <c:pt idx="81">
                  <c:v>12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F-45F7-82DE-1B63F096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3912"/>
        <c:axId val="2141711688"/>
      </c:scatterChart>
      <c:valAx>
        <c:axId val="21417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Average </a:t>
                </a:r>
                <a:r>
                  <a:rPr lang="en-GB" altLang="zh-TW" sz="1000" b="0" i="0" baseline="0">
                    <a:effectLst/>
                  </a:rPr>
                  <a:t>Culm DBH (</a:t>
                </a:r>
                <a:r>
                  <a:rPr lang="en-US" altLang="zh-TW" sz="1000" b="0" i="0" baseline="0">
                    <a:effectLst/>
                  </a:rPr>
                  <a:t>cm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11688"/>
        <c:crosses val="autoZero"/>
        <c:crossBetween val="midCat"/>
      </c:valAx>
      <c:valAx>
        <c:axId val="21417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BGC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7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S1)'!$AX$2:$AX$3</c:f>
              <c:strCache>
                <c:ptCount val="2"/>
                <c:pt idx="0">
                  <c:v>Culm height(3</c:v>
                </c:pt>
                <c:pt idx="1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S1)'!$AX$4:$AX$82</c:f>
              <c:numCache>
                <c:formatCode>0.00_);[Red]\(0.00\)</c:formatCode>
                <c:ptCount val="79"/>
                <c:pt idx="8">
                  <c:v>13.1</c:v>
                </c:pt>
                <c:pt idx="9">
                  <c:v>12.3</c:v>
                </c:pt>
                <c:pt idx="10">
                  <c:v>11.1</c:v>
                </c:pt>
                <c:pt idx="31">
                  <c:v>15.621379341616034</c:v>
                </c:pt>
                <c:pt idx="39">
                  <c:v>18</c:v>
                </c:pt>
                <c:pt idx="40">
                  <c:v>13.5</c:v>
                </c:pt>
                <c:pt idx="41">
                  <c:v>16.933333333333334</c:v>
                </c:pt>
                <c:pt idx="46">
                  <c:v>12.1</c:v>
                </c:pt>
                <c:pt idx="48">
                  <c:v>12.833333333333334</c:v>
                </c:pt>
                <c:pt idx="52">
                  <c:v>13.6</c:v>
                </c:pt>
                <c:pt idx="55">
                  <c:v>18.436493298905692</c:v>
                </c:pt>
                <c:pt idx="56">
                  <c:v>18.404192293209491</c:v>
                </c:pt>
                <c:pt idx="57">
                  <c:v>18.404094430099594</c:v>
                </c:pt>
                <c:pt idx="58">
                  <c:v>18.451361445783132</c:v>
                </c:pt>
                <c:pt idx="60">
                  <c:v>9.5</c:v>
                </c:pt>
                <c:pt idx="62">
                  <c:v>12</c:v>
                </c:pt>
                <c:pt idx="64">
                  <c:v>13.2</c:v>
                </c:pt>
                <c:pt idx="65">
                  <c:v>11.9</c:v>
                </c:pt>
                <c:pt idx="66">
                  <c:v>21.4</c:v>
                </c:pt>
                <c:pt idx="67">
                  <c:v>13.4</c:v>
                </c:pt>
                <c:pt idx="68">
                  <c:v>13.6</c:v>
                </c:pt>
                <c:pt idx="69">
                  <c:v>12.3</c:v>
                </c:pt>
                <c:pt idx="71">
                  <c:v>10.3</c:v>
                </c:pt>
                <c:pt idx="72">
                  <c:v>9.5</c:v>
                </c:pt>
                <c:pt idx="73">
                  <c:v>8</c:v>
                </c:pt>
                <c:pt idx="74">
                  <c:v>9.5</c:v>
                </c:pt>
                <c:pt idx="77">
                  <c:v>12.6</c:v>
                </c:pt>
                <c:pt idx="78">
                  <c:v>13.2</c:v>
                </c:pt>
              </c:numCache>
            </c:numRef>
          </c:xVal>
          <c:yVal>
            <c:numRef>
              <c:f>'Rawdata (Table S1)'!$BO$4:$BO$82</c:f>
              <c:numCache>
                <c:formatCode>0.00_);[Red]\(0.00\)</c:formatCode>
                <c:ptCount val="79"/>
                <c:pt idx="0">
                  <c:v>35.275750000000002</c:v>
                </c:pt>
                <c:pt idx="1">
                  <c:v>38.702750000000002</c:v>
                </c:pt>
                <c:pt idx="2">
                  <c:v>35.799999999999997</c:v>
                </c:pt>
                <c:pt idx="3">
                  <c:v>43.731499999999997</c:v>
                </c:pt>
                <c:pt idx="4">
                  <c:v>36.363150000000005</c:v>
                </c:pt>
                <c:pt idx="5">
                  <c:v>52.552999999999997</c:v>
                </c:pt>
                <c:pt idx="6">
                  <c:v>40.903100000000002</c:v>
                </c:pt>
                <c:pt idx="7">
                  <c:v>24.491849999999999</c:v>
                </c:pt>
                <c:pt idx="8">
                  <c:v>20.0305</c:v>
                </c:pt>
                <c:pt idx="9">
                  <c:v>17.106999999999999</c:v>
                </c:pt>
                <c:pt idx="10">
                  <c:v>14.288500000000001</c:v>
                </c:pt>
                <c:pt idx="12">
                  <c:v>21.759872780280947</c:v>
                </c:pt>
                <c:pt idx="13">
                  <c:v>52.88</c:v>
                </c:pt>
                <c:pt idx="14">
                  <c:v>48.27</c:v>
                </c:pt>
                <c:pt idx="15">
                  <c:v>22.39</c:v>
                </c:pt>
                <c:pt idx="16">
                  <c:v>32.36</c:v>
                </c:pt>
                <c:pt idx="17">
                  <c:v>23.718</c:v>
                </c:pt>
                <c:pt idx="18">
                  <c:v>18.899999999999999</c:v>
                </c:pt>
                <c:pt idx="19">
                  <c:v>24.75</c:v>
                </c:pt>
                <c:pt idx="20">
                  <c:v>20.76</c:v>
                </c:pt>
                <c:pt idx="21">
                  <c:v>20.353999999999999</c:v>
                </c:pt>
                <c:pt idx="22">
                  <c:v>27</c:v>
                </c:pt>
                <c:pt idx="23">
                  <c:v>33</c:v>
                </c:pt>
                <c:pt idx="24">
                  <c:v>35.1</c:v>
                </c:pt>
                <c:pt idx="25">
                  <c:v>37.700000000000003</c:v>
                </c:pt>
                <c:pt idx="26">
                  <c:v>58.127000000000002</c:v>
                </c:pt>
                <c:pt idx="27">
                  <c:v>26.544499999999999</c:v>
                </c:pt>
                <c:pt idx="28">
                  <c:v>15.704999999999998</c:v>
                </c:pt>
                <c:pt idx="29">
                  <c:v>53.58</c:v>
                </c:pt>
                <c:pt idx="30">
                  <c:v>21.814999999999998</c:v>
                </c:pt>
                <c:pt idx="31">
                  <c:v>87.083333333333329</c:v>
                </c:pt>
                <c:pt idx="32">
                  <c:v>11.654999999999999</c:v>
                </c:pt>
                <c:pt idx="33">
                  <c:v>22.6</c:v>
                </c:pt>
                <c:pt idx="34">
                  <c:v>39.700000000000003</c:v>
                </c:pt>
                <c:pt idx="35">
                  <c:v>20.5</c:v>
                </c:pt>
                <c:pt idx="36">
                  <c:v>92.5</c:v>
                </c:pt>
                <c:pt idx="37">
                  <c:v>84.2</c:v>
                </c:pt>
                <c:pt idx="38">
                  <c:v>92.3</c:v>
                </c:pt>
                <c:pt idx="39">
                  <c:v>66.657499999999999</c:v>
                </c:pt>
                <c:pt idx="40">
                  <c:v>41.41</c:v>
                </c:pt>
                <c:pt idx="41">
                  <c:v>55.196666666666665</c:v>
                </c:pt>
                <c:pt idx="42">
                  <c:v>92.825000000000003</c:v>
                </c:pt>
                <c:pt idx="43">
                  <c:v>110.675</c:v>
                </c:pt>
                <c:pt idx="44">
                  <c:v>40.15</c:v>
                </c:pt>
                <c:pt idx="46">
                  <c:v>62.64</c:v>
                </c:pt>
                <c:pt idx="47">
                  <c:v>68.400000000000006</c:v>
                </c:pt>
                <c:pt idx="48">
                  <c:v>25.5</c:v>
                </c:pt>
                <c:pt idx="49">
                  <c:v>60.75</c:v>
                </c:pt>
                <c:pt idx="52" formatCode="General">
                  <c:v>47.55</c:v>
                </c:pt>
                <c:pt idx="53">
                  <c:v>105.33180000000002</c:v>
                </c:pt>
                <c:pt idx="54">
                  <c:v>65.68180000000001</c:v>
                </c:pt>
                <c:pt idx="55">
                  <c:v>108.60000000000001</c:v>
                </c:pt>
                <c:pt idx="56">
                  <c:v>108.64999999999999</c:v>
                </c:pt>
                <c:pt idx="57">
                  <c:v>109.9</c:v>
                </c:pt>
                <c:pt idx="58">
                  <c:v>112.02500000000001</c:v>
                </c:pt>
                <c:pt idx="59">
                  <c:v>84.9</c:v>
                </c:pt>
                <c:pt idx="60">
                  <c:v>43.930000000000007</c:v>
                </c:pt>
                <c:pt idx="61">
                  <c:v>26.331600000000002</c:v>
                </c:pt>
                <c:pt idx="62">
                  <c:v>34.825000000000003</c:v>
                </c:pt>
                <c:pt idx="63">
                  <c:v>48.900399999999998</c:v>
                </c:pt>
                <c:pt idx="64">
                  <c:v>28.885000000000002</c:v>
                </c:pt>
                <c:pt idx="65">
                  <c:v>35.880000000000003</c:v>
                </c:pt>
                <c:pt idx="66">
                  <c:v>81.133659999999992</c:v>
                </c:pt>
                <c:pt idx="67">
                  <c:v>36.950000000000003</c:v>
                </c:pt>
                <c:pt idx="68">
                  <c:v>45.95</c:v>
                </c:pt>
                <c:pt idx="69">
                  <c:v>21.65</c:v>
                </c:pt>
                <c:pt idx="70">
                  <c:v>39.649852999999993</c:v>
                </c:pt>
                <c:pt idx="71">
                  <c:v>26.253070000000001</c:v>
                </c:pt>
                <c:pt idx="72">
                  <c:v>29.5</c:v>
                </c:pt>
                <c:pt idx="73">
                  <c:v>8</c:v>
                </c:pt>
                <c:pt idx="74">
                  <c:v>28.4</c:v>
                </c:pt>
                <c:pt idx="75">
                  <c:v>43.869530999999995</c:v>
                </c:pt>
                <c:pt idx="76">
                  <c:v>37.198925000000003</c:v>
                </c:pt>
                <c:pt idx="77">
                  <c:v>36.75</c:v>
                </c:pt>
                <c:pt idx="78">
                  <c:v>41.95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7-448F-8A13-A472F9C6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35416"/>
        <c:axId val="-2137227544"/>
      </c:scatterChart>
      <c:valAx>
        <c:axId val="-21372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average Culm hight (</a:t>
                </a:r>
                <a:r>
                  <a:rPr lang="en-US" altLang="zh-TW" sz="1000" b="0" i="0" baseline="0">
                    <a:effectLst/>
                  </a:rPr>
                  <a:t>m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227544"/>
        <c:crosses val="autoZero"/>
        <c:crossBetween val="midCat"/>
      </c:valAx>
      <c:valAx>
        <c:axId val="-21372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baseline="0">
                    <a:effectLst/>
                  </a:rPr>
                  <a:t>AGC (Mg C ha</a:t>
                </a:r>
                <a:r>
                  <a:rPr lang="en-GB" altLang="zh-TW" sz="1000" b="0" i="0" baseline="30000">
                    <a:effectLst/>
                  </a:rPr>
                  <a:t>-1</a:t>
                </a:r>
                <a:r>
                  <a:rPr lang="en-GB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ja-JP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2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1"/>
                </a:solidFill>
              </a:rPr>
              <a:t>BNPP~LNP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'Rawdata (Table S1)'!$CH$4:$CH$38</c:f>
              <c:strCache>
                <c:ptCount val="35"/>
                <c:pt idx="0">
                  <c:v>1.63 </c:v>
                </c:pt>
                <c:pt idx="1">
                  <c:v>1.58 </c:v>
                </c:pt>
                <c:pt idx="2">
                  <c:v>8.96 </c:v>
                </c:pt>
                <c:pt idx="3">
                  <c:v>1.71 </c:v>
                </c:pt>
                <c:pt idx="5">
                  <c:v>6.54 </c:v>
                </c:pt>
                <c:pt idx="8">
                  <c:v>1.92 </c:v>
                </c:pt>
                <c:pt idx="9">
                  <c:v>1.23 </c:v>
                </c:pt>
                <c:pt idx="10">
                  <c:v>2.01 </c:v>
                </c:pt>
                <c:pt idx="11">
                  <c:v>0.96 </c:v>
                </c:pt>
                <c:pt idx="22">
                  <c:v>3.11 </c:v>
                </c:pt>
                <c:pt idx="23">
                  <c:v>4.02 </c:v>
                </c:pt>
                <c:pt idx="24">
                  <c:v>4.34 </c:v>
                </c:pt>
                <c:pt idx="25">
                  <c:v>4.33 </c:v>
                </c:pt>
                <c:pt idx="26">
                  <c:v>5.54 </c:v>
                </c:pt>
                <c:pt idx="27">
                  <c:v>2.86 </c:v>
                </c:pt>
                <c:pt idx="28">
                  <c:v>3.60 </c:v>
                </c:pt>
                <c:pt idx="29">
                  <c:v>1.52 </c:v>
                </c:pt>
                <c:pt idx="30">
                  <c:v>2.63 </c:v>
                </c:pt>
                <c:pt idx="33">
                  <c:v>2.80 </c:v>
                </c:pt>
                <c:pt idx="34">
                  <c:v>4.70 </c:v>
                </c:pt>
              </c:strCache>
            </c:strRef>
          </c:tx>
          <c:spPr>
            <a:ln w="19050">
              <a:noFill/>
            </a:ln>
          </c:spPr>
          <c:xVal>
            <c:numRef>
              <c:f>'Rawdata (Table S1)'!$BZ$39:$BZ$86</c:f>
              <c:numCache>
                <c:formatCode>0.00_);[Red]\(0.00\)</c:formatCode>
                <c:ptCount val="48"/>
                <c:pt idx="9">
                  <c:v>2.2800000000000002</c:v>
                </c:pt>
                <c:pt idx="13">
                  <c:v>1.55</c:v>
                </c:pt>
                <c:pt idx="14">
                  <c:v>2.84</c:v>
                </c:pt>
                <c:pt idx="18">
                  <c:v>3.7600000000000002</c:v>
                </c:pt>
                <c:pt idx="19">
                  <c:v>3.05</c:v>
                </c:pt>
                <c:pt idx="22">
                  <c:v>0</c:v>
                </c:pt>
                <c:pt idx="23">
                  <c:v>9.9999999999999645E-2</c:v>
                </c:pt>
                <c:pt idx="25">
                  <c:v>2.835</c:v>
                </c:pt>
                <c:pt idx="30">
                  <c:v>0.68300000000000005</c:v>
                </c:pt>
                <c:pt idx="32">
                  <c:v>0.15</c:v>
                </c:pt>
                <c:pt idx="33">
                  <c:v>0.2</c:v>
                </c:pt>
                <c:pt idx="34">
                  <c:v>0.1</c:v>
                </c:pt>
                <c:pt idx="42">
                  <c:v>0.15</c:v>
                </c:pt>
                <c:pt idx="43">
                  <c:v>0.1</c:v>
                </c:pt>
                <c:pt idx="46">
                  <c:v>0.38</c:v>
                </c:pt>
                <c:pt idx="47">
                  <c:v>0.41</c:v>
                </c:pt>
              </c:numCache>
            </c:numRef>
          </c:xVal>
          <c:yVal>
            <c:numRef>
              <c:f>'Rawdata (Table S1)'!$CH$39:$CH$86</c:f>
              <c:numCache>
                <c:formatCode>0.00_);[Red]\(0.00\)</c:formatCode>
                <c:ptCount val="48"/>
                <c:pt idx="13">
                  <c:v>3.3333333333333339</c:v>
                </c:pt>
                <c:pt idx="19">
                  <c:v>11</c:v>
                </c:pt>
                <c:pt idx="30">
                  <c:v>1.6465000000000001</c:v>
                </c:pt>
                <c:pt idx="46">
                  <c:v>1.3900000000000001</c:v>
                </c:pt>
                <c:pt idx="47">
                  <c:v>1.1099999999999999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7-4E0B-B339-371B23CC7227}"/>
            </c:ext>
          </c:extLst>
        </c:ser>
        <c:ser>
          <c:idx val="0"/>
          <c:order val="1"/>
          <c:tx>
            <c:strRef>
              <c:f>'Rawdata (Table S1)'!$CH$4:$CH$38</c:f>
              <c:strCache>
                <c:ptCount val="35"/>
                <c:pt idx="0">
                  <c:v>1.63 </c:v>
                </c:pt>
                <c:pt idx="1">
                  <c:v>1.58 </c:v>
                </c:pt>
                <c:pt idx="2">
                  <c:v>8.96 </c:v>
                </c:pt>
                <c:pt idx="3">
                  <c:v>1.71 </c:v>
                </c:pt>
                <c:pt idx="5">
                  <c:v>6.54 </c:v>
                </c:pt>
                <c:pt idx="8">
                  <c:v>1.92 </c:v>
                </c:pt>
                <c:pt idx="9">
                  <c:v>1.23 </c:v>
                </c:pt>
                <c:pt idx="10">
                  <c:v>2.01 </c:v>
                </c:pt>
                <c:pt idx="11">
                  <c:v>0.96 </c:v>
                </c:pt>
                <c:pt idx="22">
                  <c:v>3.11 </c:v>
                </c:pt>
                <c:pt idx="23">
                  <c:v>4.02 </c:v>
                </c:pt>
                <c:pt idx="24">
                  <c:v>4.34 </c:v>
                </c:pt>
                <c:pt idx="25">
                  <c:v>4.33 </c:v>
                </c:pt>
                <c:pt idx="26">
                  <c:v>5.54 </c:v>
                </c:pt>
                <c:pt idx="27">
                  <c:v>2.86 </c:v>
                </c:pt>
                <c:pt idx="28">
                  <c:v>3.60 </c:v>
                </c:pt>
                <c:pt idx="29">
                  <c:v>1.52 </c:v>
                </c:pt>
                <c:pt idx="30">
                  <c:v>2.63 </c:v>
                </c:pt>
                <c:pt idx="33">
                  <c:v>2.80 </c:v>
                </c:pt>
                <c:pt idx="34">
                  <c:v>4.70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6187423447069115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S1)'!$BZ$39:$BZ$86</c:f>
              <c:numCache>
                <c:formatCode>0.00_);[Red]\(0.00\)</c:formatCode>
                <c:ptCount val="48"/>
                <c:pt idx="9">
                  <c:v>2.2800000000000002</c:v>
                </c:pt>
                <c:pt idx="13">
                  <c:v>1.55</c:v>
                </c:pt>
                <c:pt idx="14">
                  <c:v>2.84</c:v>
                </c:pt>
                <c:pt idx="18">
                  <c:v>3.7600000000000002</c:v>
                </c:pt>
                <c:pt idx="19">
                  <c:v>3.05</c:v>
                </c:pt>
                <c:pt idx="22">
                  <c:v>0</c:v>
                </c:pt>
                <c:pt idx="23">
                  <c:v>9.9999999999999645E-2</c:v>
                </c:pt>
                <c:pt idx="25">
                  <c:v>2.835</c:v>
                </c:pt>
                <c:pt idx="30">
                  <c:v>0.68300000000000005</c:v>
                </c:pt>
                <c:pt idx="32">
                  <c:v>0.15</c:v>
                </c:pt>
                <c:pt idx="33">
                  <c:v>0.2</c:v>
                </c:pt>
                <c:pt idx="34">
                  <c:v>0.1</c:v>
                </c:pt>
                <c:pt idx="42">
                  <c:v>0.15</c:v>
                </c:pt>
                <c:pt idx="43">
                  <c:v>0.1</c:v>
                </c:pt>
                <c:pt idx="46">
                  <c:v>0.38</c:v>
                </c:pt>
                <c:pt idx="47">
                  <c:v>0.41</c:v>
                </c:pt>
              </c:numCache>
            </c:numRef>
          </c:xVal>
          <c:yVal>
            <c:numRef>
              <c:f>'Rawdata (Table S1)'!$CH$39:$CH$86</c:f>
              <c:numCache>
                <c:formatCode>0.00_);[Red]\(0.00\)</c:formatCode>
                <c:ptCount val="48"/>
                <c:pt idx="13">
                  <c:v>3.3333333333333339</c:v>
                </c:pt>
                <c:pt idx="19">
                  <c:v>11</c:v>
                </c:pt>
                <c:pt idx="30">
                  <c:v>1.6465000000000001</c:v>
                </c:pt>
                <c:pt idx="46">
                  <c:v>1.3900000000000001</c:v>
                </c:pt>
                <c:pt idx="47">
                  <c:v>1.1099999999999999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7-4E0B-B339-371B23CC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37199"/>
        <c:axId val="1425044271"/>
      </c:scatterChart>
      <c:valAx>
        <c:axId val="14250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</a:rPr>
                  <a:t>LNP (Mg C ha</a:t>
                </a:r>
                <a:r>
                  <a:rPr lang="en-US" altLang="zh-TW" sz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altLang="zh-TW" sz="1200">
                    <a:solidFill>
                      <a:schemeClr val="tx1"/>
                    </a:solidFill>
                  </a:rPr>
                  <a:t> yr</a:t>
                </a:r>
                <a:r>
                  <a:rPr lang="en-US" altLang="zh-TW" sz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altLang="zh-TW" sz="1200" baseline="0">
                    <a:solidFill>
                      <a:schemeClr val="tx1"/>
                    </a:solidFill>
                  </a:rPr>
                  <a:t>)</a:t>
                </a:r>
                <a:endParaRPr lang="zh-TW" altLang="en-US" sz="1200" baseline="30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44271"/>
        <c:crosses val="autoZero"/>
        <c:crossBetween val="midCat"/>
      </c:valAx>
      <c:valAx>
        <c:axId val="14250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</a:rPr>
                  <a:t>BNPP </a:t>
                </a:r>
                <a:r>
                  <a:rPr lang="en-US" altLang="zh-TW" sz="1200" b="0" i="0" baseline="0">
                    <a:solidFill>
                      <a:schemeClr val="tx1"/>
                    </a:solidFill>
                    <a:effectLst/>
                  </a:rPr>
                  <a:t>(Mg C ha</a:t>
                </a:r>
                <a:r>
                  <a:rPr lang="en-US" altLang="zh-TW" sz="12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200" b="0" i="0" baseline="0">
                    <a:solidFill>
                      <a:schemeClr val="tx1"/>
                    </a:solidFill>
                    <a:effectLst/>
                  </a:rPr>
                  <a:t> yr</a:t>
                </a:r>
                <a:r>
                  <a:rPr lang="en-US" altLang="zh-TW" sz="12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2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zh-TW" altLang="zh-TW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037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Litterfall~LNP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S1)'!$CC$4:$CC$38</c:f>
              <c:strCache>
                <c:ptCount val="35"/>
                <c:pt idx="0">
                  <c:v>1.63 </c:v>
                </c:pt>
                <c:pt idx="1">
                  <c:v>1.58 </c:v>
                </c:pt>
                <c:pt idx="2">
                  <c:v>0.90 </c:v>
                </c:pt>
                <c:pt idx="3">
                  <c:v>1.71 </c:v>
                </c:pt>
                <c:pt idx="8">
                  <c:v>1.92 </c:v>
                </c:pt>
                <c:pt idx="9">
                  <c:v>1.23 </c:v>
                </c:pt>
                <c:pt idx="10">
                  <c:v>2.01 </c:v>
                </c:pt>
                <c:pt idx="11">
                  <c:v>1.11 </c:v>
                </c:pt>
                <c:pt idx="28">
                  <c:v>3.60 </c:v>
                </c:pt>
                <c:pt idx="29">
                  <c:v>1.52 </c:v>
                </c:pt>
                <c:pt idx="30">
                  <c:v>2.63 </c:v>
                </c:pt>
                <c:pt idx="33">
                  <c:v>2.80 </c:v>
                </c:pt>
                <c:pt idx="34">
                  <c:v>4.70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798031496062994"/>
                  <c:y val="-0.23970034995625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S1)'!$BZ$39:$BZ$86</c:f>
              <c:numCache>
                <c:formatCode>0.00_);[Red]\(0.00\)</c:formatCode>
                <c:ptCount val="48"/>
                <c:pt idx="9">
                  <c:v>2.2800000000000002</c:v>
                </c:pt>
                <c:pt idx="13">
                  <c:v>1.55</c:v>
                </c:pt>
                <c:pt idx="14">
                  <c:v>2.84</c:v>
                </c:pt>
                <c:pt idx="18">
                  <c:v>3.7600000000000002</c:v>
                </c:pt>
                <c:pt idx="19">
                  <c:v>3.05</c:v>
                </c:pt>
                <c:pt idx="22">
                  <c:v>0</c:v>
                </c:pt>
                <c:pt idx="23">
                  <c:v>9.9999999999999645E-2</c:v>
                </c:pt>
                <c:pt idx="25">
                  <c:v>2.835</c:v>
                </c:pt>
                <c:pt idx="30">
                  <c:v>0.68300000000000005</c:v>
                </c:pt>
                <c:pt idx="32">
                  <c:v>0.15</c:v>
                </c:pt>
                <c:pt idx="33">
                  <c:v>0.2</c:v>
                </c:pt>
                <c:pt idx="34">
                  <c:v>0.1</c:v>
                </c:pt>
                <c:pt idx="42">
                  <c:v>0.15</c:v>
                </c:pt>
                <c:pt idx="43">
                  <c:v>0.1</c:v>
                </c:pt>
                <c:pt idx="46">
                  <c:v>0.38</c:v>
                </c:pt>
                <c:pt idx="47">
                  <c:v>0.41</c:v>
                </c:pt>
              </c:numCache>
            </c:numRef>
          </c:xVal>
          <c:yVal>
            <c:numRef>
              <c:f>'Rawdata (Table S1)'!$CC$39:$CC$86</c:f>
              <c:numCache>
                <c:formatCode>0.00_);[Red]\(0.00\)</c:formatCode>
                <c:ptCount val="48"/>
                <c:pt idx="0">
                  <c:v>10.5</c:v>
                </c:pt>
                <c:pt idx="1">
                  <c:v>2.1</c:v>
                </c:pt>
                <c:pt idx="2">
                  <c:v>3.49</c:v>
                </c:pt>
                <c:pt idx="3">
                  <c:v>3.976</c:v>
                </c:pt>
                <c:pt idx="9">
                  <c:v>3.1054999999999997</c:v>
                </c:pt>
                <c:pt idx="13">
                  <c:v>5.2</c:v>
                </c:pt>
                <c:pt idx="14">
                  <c:v>3.2167499999999993</c:v>
                </c:pt>
                <c:pt idx="18">
                  <c:v>7.35</c:v>
                </c:pt>
                <c:pt idx="19">
                  <c:v>3.3</c:v>
                </c:pt>
                <c:pt idx="25">
                  <c:v>3.7250000000000001</c:v>
                </c:pt>
                <c:pt idx="46">
                  <c:v>1.99</c:v>
                </c:pt>
                <c:pt idx="47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2-4159-9842-9E1E2529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73375"/>
        <c:axId val="1619367551"/>
      </c:scatterChart>
      <c:valAx>
        <c:axId val="16193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 (Mg C ha</a:t>
                </a:r>
                <a:r>
                  <a:rPr lang="en-US" baseline="30000"/>
                  <a:t>-1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367551"/>
        <c:crosses val="autoZero"/>
        <c:crossBetween val="midCat"/>
      </c:valAx>
      <c:valAx>
        <c:axId val="16193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Litterfall (Mg C ha</a:t>
                </a:r>
                <a:r>
                  <a:rPr lang="en-US" baseline="30000"/>
                  <a:t>-1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373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S1)'!$CH$2</c:f>
              <c:strCache>
                <c:ptCount val="1"/>
                <c:pt idx="0">
                  <c:v>BNPP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193853721040774"/>
                  <c:y val="-0.36070773314944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S1)'!$BZ$4:$BZ$86</c:f>
              <c:numCache>
                <c:formatCode>0.00_);[Red]\(0.00\)</c:formatCode>
                <c:ptCount val="83"/>
                <c:pt idx="5">
                  <c:v>2.9430000000000001</c:v>
                </c:pt>
                <c:pt idx="44">
                  <c:v>2.2800000000000002</c:v>
                </c:pt>
                <c:pt idx="48">
                  <c:v>1.55</c:v>
                </c:pt>
                <c:pt idx="49">
                  <c:v>2.84</c:v>
                </c:pt>
                <c:pt idx="53">
                  <c:v>3.7600000000000002</c:v>
                </c:pt>
                <c:pt idx="54">
                  <c:v>3.05</c:v>
                </c:pt>
                <c:pt idx="57">
                  <c:v>0</c:v>
                </c:pt>
                <c:pt idx="58">
                  <c:v>9.9999999999999645E-2</c:v>
                </c:pt>
                <c:pt idx="60">
                  <c:v>2.835</c:v>
                </c:pt>
                <c:pt idx="65">
                  <c:v>0.68300000000000005</c:v>
                </c:pt>
                <c:pt idx="67">
                  <c:v>0.15</c:v>
                </c:pt>
                <c:pt idx="68">
                  <c:v>0.2</c:v>
                </c:pt>
                <c:pt idx="69">
                  <c:v>0.1</c:v>
                </c:pt>
                <c:pt idx="77">
                  <c:v>0.15</c:v>
                </c:pt>
                <c:pt idx="78">
                  <c:v>0.1</c:v>
                </c:pt>
                <c:pt idx="81">
                  <c:v>0.38</c:v>
                </c:pt>
                <c:pt idx="82">
                  <c:v>0.41</c:v>
                </c:pt>
              </c:numCache>
            </c:numRef>
          </c:xVal>
          <c:yVal>
            <c:numRef>
              <c:f>'Rawdata (Table S1)'!$CC$4:$CC$86</c:f>
              <c:numCache>
                <c:formatCode>0.00_);[Red]\(0.00\)</c:formatCode>
                <c:ptCount val="83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  <c:pt idx="28">
                  <c:v>3.5950000000000002</c:v>
                </c:pt>
                <c:pt idx="29">
                  <c:v>1.5149999999999999</c:v>
                </c:pt>
                <c:pt idx="30">
                  <c:v>2.63</c:v>
                </c:pt>
                <c:pt idx="33">
                  <c:v>2.8</c:v>
                </c:pt>
                <c:pt idx="34">
                  <c:v>4.7</c:v>
                </c:pt>
                <c:pt idx="35">
                  <c:v>10.5</c:v>
                </c:pt>
                <c:pt idx="36">
                  <c:v>2.1</c:v>
                </c:pt>
                <c:pt idx="37">
                  <c:v>3.49</c:v>
                </c:pt>
                <c:pt idx="38">
                  <c:v>3.976</c:v>
                </c:pt>
                <c:pt idx="44">
                  <c:v>3.1054999999999997</c:v>
                </c:pt>
                <c:pt idx="48">
                  <c:v>5.2</c:v>
                </c:pt>
                <c:pt idx="49">
                  <c:v>3.2167499999999993</c:v>
                </c:pt>
                <c:pt idx="53">
                  <c:v>7.35</c:v>
                </c:pt>
                <c:pt idx="54">
                  <c:v>3.3</c:v>
                </c:pt>
                <c:pt idx="60">
                  <c:v>3.7250000000000001</c:v>
                </c:pt>
                <c:pt idx="81">
                  <c:v>1.99</c:v>
                </c:pt>
                <c:pt idx="82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4AA2-AC2E-1EE4CE171C8F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S1)'!$BZ$4:$BZ$31</c:f>
              <c:numCache>
                <c:formatCode>0.00_);[Red]\(0.00\)</c:formatCode>
                <c:ptCount val="28"/>
                <c:pt idx="5">
                  <c:v>2.9430000000000001</c:v>
                </c:pt>
              </c:numCache>
            </c:numRef>
          </c:xVal>
          <c:yVal>
            <c:numRef>
              <c:f>'Rawdata (Table S1)'!$CC$4:$CC$31</c:f>
              <c:numCache>
                <c:formatCode>0.00_);[Red]\(0.00\)</c:formatCode>
                <c:ptCount val="28"/>
                <c:pt idx="0">
                  <c:v>1.63</c:v>
                </c:pt>
                <c:pt idx="1">
                  <c:v>1.58</c:v>
                </c:pt>
                <c:pt idx="2">
                  <c:v>0.8982</c:v>
                </c:pt>
                <c:pt idx="3">
                  <c:v>1.71</c:v>
                </c:pt>
                <c:pt idx="8">
                  <c:v>1.9245000000000001</c:v>
                </c:pt>
                <c:pt idx="9">
                  <c:v>1.2304999999999999</c:v>
                </c:pt>
                <c:pt idx="10">
                  <c:v>2.0089999999999999</c:v>
                </c:pt>
                <c:pt idx="11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7-4AA2-AC2E-1EE4CE171C8F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S1)'!$BZ$32:$BZ$64</c:f>
              <c:numCache>
                <c:formatCode>0.00_);[Red]\(0.00\)</c:formatCode>
                <c:ptCount val="33"/>
                <c:pt idx="16">
                  <c:v>2.2800000000000002</c:v>
                </c:pt>
                <c:pt idx="20">
                  <c:v>1.55</c:v>
                </c:pt>
                <c:pt idx="21">
                  <c:v>2.84</c:v>
                </c:pt>
                <c:pt idx="25">
                  <c:v>3.7600000000000002</c:v>
                </c:pt>
                <c:pt idx="26">
                  <c:v>3.05</c:v>
                </c:pt>
                <c:pt idx="29">
                  <c:v>0</c:v>
                </c:pt>
                <c:pt idx="30">
                  <c:v>9.9999999999999645E-2</c:v>
                </c:pt>
                <c:pt idx="32">
                  <c:v>2.835</c:v>
                </c:pt>
              </c:numCache>
            </c:numRef>
          </c:xVal>
          <c:yVal>
            <c:numRef>
              <c:f>'Rawdata (Table S1)'!$CC$32:$CC$64</c:f>
              <c:numCache>
                <c:formatCode>0.00_);[Red]\(0.00\)</c:formatCode>
                <c:ptCount val="33"/>
                <c:pt idx="0">
                  <c:v>3.5950000000000002</c:v>
                </c:pt>
                <c:pt idx="1">
                  <c:v>1.5149999999999999</c:v>
                </c:pt>
                <c:pt idx="2">
                  <c:v>2.63</c:v>
                </c:pt>
                <c:pt idx="5">
                  <c:v>2.8</c:v>
                </c:pt>
                <c:pt idx="6">
                  <c:v>4.7</c:v>
                </c:pt>
                <c:pt idx="7">
                  <c:v>10.5</c:v>
                </c:pt>
                <c:pt idx="8">
                  <c:v>2.1</c:v>
                </c:pt>
                <c:pt idx="9">
                  <c:v>3.49</c:v>
                </c:pt>
                <c:pt idx="10">
                  <c:v>3.976</c:v>
                </c:pt>
                <c:pt idx="16">
                  <c:v>3.1054999999999997</c:v>
                </c:pt>
                <c:pt idx="20">
                  <c:v>5.2</c:v>
                </c:pt>
                <c:pt idx="21">
                  <c:v>3.2167499999999993</c:v>
                </c:pt>
                <c:pt idx="25">
                  <c:v>7.35</c:v>
                </c:pt>
                <c:pt idx="26">
                  <c:v>3.3</c:v>
                </c:pt>
                <c:pt idx="32">
                  <c:v>3.7250000000000001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7-4AA2-AC2E-1EE4CE171C8F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S1)'!$BZ$70:$BZ$86</c:f>
              <c:numCache>
                <c:formatCode>0.00_);[Red]\(0.00\)</c:formatCode>
                <c:ptCount val="17"/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  <c:pt idx="11">
                  <c:v>0.15</c:v>
                </c:pt>
                <c:pt idx="12">
                  <c:v>0.1</c:v>
                </c:pt>
                <c:pt idx="15">
                  <c:v>0.38</c:v>
                </c:pt>
                <c:pt idx="16">
                  <c:v>0.41</c:v>
                </c:pt>
              </c:numCache>
            </c:numRef>
          </c:xVal>
          <c:yVal>
            <c:numRef>
              <c:f>'Rawdata (Table S1)'!$CC$70:$CC$86</c:f>
              <c:numCache>
                <c:formatCode>0.00_);[Red]\(0.00\)</c:formatCode>
                <c:ptCount val="17"/>
                <c:pt idx="15">
                  <c:v>1.99</c:v>
                </c:pt>
                <c:pt idx="16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7-4AA2-AC2E-1EE4CE171C8F}"/>
            </c:ext>
          </c:extLst>
        </c:ser>
        <c:ser>
          <c:idx val="4"/>
          <c:order val="4"/>
          <c:tx>
            <c:v>Korea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S1)'!$BZ$65:$BZ$67</c:f>
              <c:numCache>
                <c:formatCode>0.00_);[Red]\(0.00\)</c:formatCode>
                <c:ptCount val="3"/>
              </c:numCache>
            </c:numRef>
          </c:xVal>
          <c:yVal>
            <c:numRef>
              <c:f>'Rawdata (Table S1)'!$CC$65:$CC$67</c:f>
              <c:numCache>
                <c:formatCode>0.00_);[Red]\(0.00\)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57-4AA2-AC2E-1EE4CE17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8296"/>
        <c:axId val="-2137498280"/>
      </c:scatterChart>
      <c:valAx>
        <c:axId val="-21375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LNP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498280"/>
        <c:crosses val="autoZero"/>
        <c:crossBetween val="midCat"/>
        <c:majorUnit val="1"/>
        <c:minorUnit val="0.5"/>
      </c:valAx>
      <c:valAx>
        <c:axId val="-21374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Litterfall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5082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S1)'!$BP$2</c:f>
              <c:strCache>
                <c:ptCount val="1"/>
                <c:pt idx="0">
                  <c:v>Root_Shoot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3608737296463534"/>
                  <c:y val="-3.240740740740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y = 28.298x + 1</a:t>
                    </a:r>
                    <a:br>
                      <a:rPr lang="en-US" altLang="zh-TW" baseline="0"/>
                    </a:br>
                    <a:r>
                      <a:rPr lang="en-US" altLang="zh-TW" baseline="0"/>
                      <a:t>R² = 0.3634</a:t>
                    </a:r>
                  </a:p>
                  <a:p>
                    <a:pPr>
                      <a:defRPr lang="ja-JP"/>
                    </a:pPr>
                    <a:r>
                      <a:rPr lang="en-US" altLang="zh-TW" baseline="0"/>
                      <a:t>p&lt;0.0001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S1)'!$BP$4:$BP$86</c:f>
              <c:numCache>
                <c:formatCode>0.00_);[Red]\(0.00\)</c:formatCode>
                <c:ptCount val="83"/>
                <c:pt idx="0">
                  <c:v>0.34228187919463082</c:v>
                </c:pt>
                <c:pt idx="1">
                  <c:v>0.34228187919463088</c:v>
                </c:pt>
                <c:pt idx="2">
                  <c:v>0.85474860335195546</c:v>
                </c:pt>
                <c:pt idx="3">
                  <c:v>0.34228187919463093</c:v>
                </c:pt>
                <c:pt idx="4">
                  <c:v>0.25643267978709211</c:v>
                </c:pt>
                <c:pt idx="5">
                  <c:v>0.36447015393983223</c:v>
                </c:pt>
                <c:pt idx="6">
                  <c:v>0.23887798235341573</c:v>
                </c:pt>
                <c:pt idx="7">
                  <c:v>0.23912648493274294</c:v>
                </c:pt>
                <c:pt idx="10">
                  <c:v>0.27361164572908281</c:v>
                </c:pt>
                <c:pt idx="13">
                  <c:v>0.63350983358547652</c:v>
                </c:pt>
                <c:pt idx="14">
                  <c:v>0.48839859125750978</c:v>
                </c:pt>
                <c:pt idx="15">
                  <c:v>0.47543546225993744</c:v>
                </c:pt>
                <c:pt idx="16">
                  <c:v>0.57586526576019781</c:v>
                </c:pt>
                <c:pt idx="26">
                  <c:v>0.56884064204242424</c:v>
                </c:pt>
                <c:pt idx="28">
                  <c:v>1.1464501751034704</c:v>
                </c:pt>
                <c:pt idx="29">
                  <c:v>0.63176558417319884</c:v>
                </c:pt>
                <c:pt idx="30">
                  <c:v>1.3183589273435712</c:v>
                </c:pt>
                <c:pt idx="32">
                  <c:v>1.5096525096525097</c:v>
                </c:pt>
                <c:pt idx="33">
                  <c:v>1.5088495575221239</c:v>
                </c:pt>
                <c:pt idx="34">
                  <c:v>1.1435768261964734</c:v>
                </c:pt>
                <c:pt idx="35">
                  <c:v>2.1804878048780485</c:v>
                </c:pt>
                <c:pt idx="47">
                  <c:v>0.36</c:v>
                </c:pt>
                <c:pt idx="54">
                  <c:v>0.2842416011741456</c:v>
                </c:pt>
                <c:pt idx="59">
                  <c:v>0.65842167255594808</c:v>
                </c:pt>
                <c:pt idx="61">
                  <c:v>9.2235185100791442E-2</c:v>
                </c:pt>
                <c:pt idx="62">
                  <c:v>0.3043790380473797</c:v>
                </c:pt>
                <c:pt idx="63">
                  <c:v>0.15130142084727324</c:v>
                </c:pt>
                <c:pt idx="64">
                  <c:v>0.92348970053661072</c:v>
                </c:pt>
                <c:pt idx="65">
                  <c:v>0.44377090301003341</c:v>
                </c:pt>
                <c:pt idx="67">
                  <c:v>1.23680649526387</c:v>
                </c:pt>
                <c:pt idx="68">
                  <c:v>1.0228509249183895</c:v>
                </c:pt>
                <c:pt idx="69">
                  <c:v>1.9769053117782913</c:v>
                </c:pt>
                <c:pt idx="71">
                  <c:v>0.133317741506041</c:v>
                </c:pt>
                <c:pt idx="77">
                  <c:v>1.2394557823129251</c:v>
                </c:pt>
                <c:pt idx="78">
                  <c:v>1.1108462455303934</c:v>
                </c:pt>
                <c:pt idx="82">
                  <c:v>0.80137963843958127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3-401E-B076-0FBF7D19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6856"/>
        <c:axId val="-2138114168"/>
      </c:scatterChart>
      <c:valAx>
        <c:axId val="-21381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Root shoot Ratio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4168"/>
        <c:crosses val="autoZero"/>
        <c:crossBetween val="midCat"/>
      </c:valAx>
      <c:valAx>
        <c:axId val="-2138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B</a:t>
                </a:r>
                <a:r>
                  <a:rPr lang="en-GB" altLang="zh-TW" sz="1000" b="0" i="0" u="none" strike="noStrike" baseline="0">
                    <a:effectLst/>
                  </a:rPr>
                  <a:t>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S1)'!$P$2</c:f>
              <c:strCache>
                <c:ptCount val="1"/>
                <c:pt idx="0">
                  <c:v>Annual rainfall4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92688236245349"/>
                  <c:y val="-1.85185185185185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y = 28.298x + 1</a:t>
                    </a:r>
                    <a:br>
                      <a:rPr lang="en-US" altLang="zh-TW" baseline="0"/>
                    </a:br>
                    <a:r>
                      <a:rPr lang="en-US" altLang="zh-TW" baseline="0"/>
                      <a:t>R² = 0.3634</a:t>
                    </a:r>
                  </a:p>
                  <a:p>
                    <a:pPr>
                      <a:defRPr lang="ja-JP"/>
                    </a:pPr>
                    <a:r>
                      <a:rPr lang="en-US" altLang="zh-TW" baseline="0"/>
                      <a:t>p&lt;0.05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S1)'!$P$4:$P$86</c:f>
              <c:numCache>
                <c:formatCode>0.00_);[Red]\(0.00\)</c:formatCode>
                <c:ptCount val="83"/>
                <c:pt idx="0">
                  <c:v>1700</c:v>
                </c:pt>
                <c:pt idx="1">
                  <c:v>1700</c:v>
                </c:pt>
                <c:pt idx="2">
                  <c:v>2678.8</c:v>
                </c:pt>
                <c:pt idx="3">
                  <c:v>1700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1429.5</c:v>
                </c:pt>
                <c:pt idx="9">
                  <c:v>1429.5</c:v>
                </c:pt>
                <c:pt idx="10">
                  <c:v>1429.5</c:v>
                </c:pt>
                <c:pt idx="11">
                  <c:v>1300</c:v>
                </c:pt>
                <c:pt idx="12">
                  <c:v>1590.9</c:v>
                </c:pt>
                <c:pt idx="13">
                  <c:v>1446.6</c:v>
                </c:pt>
                <c:pt idx="14">
                  <c:v>1410</c:v>
                </c:pt>
                <c:pt idx="15">
                  <c:v>1177</c:v>
                </c:pt>
                <c:pt idx="16">
                  <c:v>2000</c:v>
                </c:pt>
                <c:pt idx="17">
                  <c:v>1550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1424</c:v>
                </c:pt>
                <c:pt idx="22">
                  <c:v>1420</c:v>
                </c:pt>
                <c:pt idx="23">
                  <c:v>1420</c:v>
                </c:pt>
                <c:pt idx="24">
                  <c:v>1420</c:v>
                </c:pt>
                <c:pt idx="25">
                  <c:v>1420</c:v>
                </c:pt>
                <c:pt idx="26">
                  <c:v>1800</c:v>
                </c:pt>
                <c:pt idx="27">
                  <c:v>1800</c:v>
                </c:pt>
                <c:pt idx="28">
                  <c:v>1451.4</c:v>
                </c:pt>
                <c:pt idx="29">
                  <c:v>1451.4</c:v>
                </c:pt>
                <c:pt idx="30">
                  <c:v>1451.4</c:v>
                </c:pt>
                <c:pt idx="31">
                  <c:v>1556.5</c:v>
                </c:pt>
                <c:pt idx="32">
                  <c:v>3244</c:v>
                </c:pt>
                <c:pt idx="33">
                  <c:v>1759.125</c:v>
                </c:pt>
                <c:pt idx="34">
                  <c:v>1759.125</c:v>
                </c:pt>
                <c:pt idx="35">
                  <c:v>3462.5</c:v>
                </c:pt>
                <c:pt idx="36">
                  <c:v>2719</c:v>
                </c:pt>
                <c:pt idx="37">
                  <c:v>1086.5</c:v>
                </c:pt>
                <c:pt idx="38">
                  <c:v>1086.5</c:v>
                </c:pt>
                <c:pt idx="39">
                  <c:v>1831.5</c:v>
                </c:pt>
                <c:pt idx="40">
                  <c:v>1818.5</c:v>
                </c:pt>
                <c:pt idx="41">
                  <c:v>2057.3000000000002</c:v>
                </c:pt>
                <c:pt idx="42">
                  <c:v>1833</c:v>
                </c:pt>
                <c:pt idx="43">
                  <c:v>1833</c:v>
                </c:pt>
                <c:pt idx="44">
                  <c:v>1487.6</c:v>
                </c:pt>
                <c:pt idx="45">
                  <c:v>1380.5</c:v>
                </c:pt>
                <c:pt idx="46">
                  <c:v>1457.5</c:v>
                </c:pt>
                <c:pt idx="47">
                  <c:v>1407.5</c:v>
                </c:pt>
                <c:pt idx="48">
                  <c:v>1600</c:v>
                </c:pt>
                <c:pt idx="49">
                  <c:v>1487.6</c:v>
                </c:pt>
                <c:pt idx="50">
                  <c:v>1380.5</c:v>
                </c:pt>
                <c:pt idx="51">
                  <c:v>1380.5</c:v>
                </c:pt>
                <c:pt idx="52">
                  <c:v>1928</c:v>
                </c:pt>
                <c:pt idx="53">
                  <c:v>1487.6</c:v>
                </c:pt>
                <c:pt idx="54">
                  <c:v>1581</c:v>
                </c:pt>
                <c:pt idx="55">
                  <c:v>953</c:v>
                </c:pt>
                <c:pt idx="56">
                  <c:v>1568</c:v>
                </c:pt>
                <c:pt idx="57">
                  <c:v>1234</c:v>
                </c:pt>
                <c:pt idx="58">
                  <c:v>1606</c:v>
                </c:pt>
                <c:pt idx="59">
                  <c:v>1459</c:v>
                </c:pt>
                <c:pt idx="60">
                  <c:v>2075</c:v>
                </c:pt>
                <c:pt idx="61">
                  <c:v>1512</c:v>
                </c:pt>
                <c:pt idx="62">
                  <c:v>1503</c:v>
                </c:pt>
                <c:pt idx="63">
                  <c:v>1512</c:v>
                </c:pt>
                <c:pt idx="64">
                  <c:v>1503</c:v>
                </c:pt>
                <c:pt idx="66">
                  <c:v>4618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2200</c:v>
                </c:pt>
                <c:pt idx="71">
                  <c:v>3389</c:v>
                </c:pt>
                <c:pt idx="72">
                  <c:v>3389</c:v>
                </c:pt>
                <c:pt idx="73">
                  <c:v>3389</c:v>
                </c:pt>
                <c:pt idx="74">
                  <c:v>3389</c:v>
                </c:pt>
                <c:pt idx="75">
                  <c:v>2200</c:v>
                </c:pt>
                <c:pt idx="76">
                  <c:v>2200</c:v>
                </c:pt>
                <c:pt idx="77">
                  <c:v>2600</c:v>
                </c:pt>
                <c:pt idx="78">
                  <c:v>2600</c:v>
                </c:pt>
                <c:pt idx="79">
                  <c:v>1558</c:v>
                </c:pt>
                <c:pt idx="80">
                  <c:v>1558</c:v>
                </c:pt>
                <c:pt idx="81">
                  <c:v>3030</c:v>
                </c:pt>
                <c:pt idx="82">
                  <c:v>2407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A-4965-8E31-B5131B2A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6856"/>
        <c:axId val="-2138114168"/>
      </c:scatterChart>
      <c:valAx>
        <c:axId val="-21381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Annual rainfall (mm)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4168"/>
        <c:crosses val="autoZero"/>
        <c:crossBetween val="midCat"/>
      </c:valAx>
      <c:valAx>
        <c:axId val="-2138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B</a:t>
                </a:r>
                <a:r>
                  <a:rPr lang="en-GB" altLang="zh-TW" sz="1000" b="0" i="0" u="none" strike="noStrike" baseline="0">
                    <a:effectLst/>
                  </a:rPr>
                  <a:t>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S1)'!$BZ$2</c:f>
              <c:strCache>
                <c:ptCount val="1"/>
                <c:pt idx="0">
                  <c:v>LNP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81541466084515E-2"/>
                  <c:y val="-0.52922827354913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y = -8.5695x + 42.423</a:t>
                    </a:r>
                    <a:br>
                      <a:rPr lang="en-US" altLang="zh-TW" baseline="0"/>
                    </a:br>
                    <a:r>
                      <a:rPr lang="en-US" altLang="zh-TW" baseline="0"/>
                      <a:t>R² = 0.6067</a:t>
                    </a:r>
                  </a:p>
                  <a:p>
                    <a:pPr>
                      <a:defRPr/>
                    </a:pPr>
                    <a:r>
                      <a:rPr lang="en-US" altLang="zh-TW" baseline="0"/>
                      <a:t>p&lt;0.05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S1)'!$BZ$4:$BZ$86</c:f>
              <c:numCache>
                <c:formatCode>0.00_);[Red]\(0.00\)</c:formatCode>
                <c:ptCount val="83"/>
                <c:pt idx="5">
                  <c:v>2.9430000000000001</c:v>
                </c:pt>
                <c:pt idx="44">
                  <c:v>2.2800000000000002</c:v>
                </c:pt>
                <c:pt idx="48">
                  <c:v>1.55</c:v>
                </c:pt>
                <c:pt idx="49">
                  <c:v>2.84</c:v>
                </c:pt>
                <c:pt idx="53">
                  <c:v>3.7600000000000002</c:v>
                </c:pt>
                <c:pt idx="54">
                  <c:v>3.05</c:v>
                </c:pt>
                <c:pt idx="57">
                  <c:v>0</c:v>
                </c:pt>
                <c:pt idx="58">
                  <c:v>9.9999999999999645E-2</c:v>
                </c:pt>
                <c:pt idx="60">
                  <c:v>2.835</c:v>
                </c:pt>
                <c:pt idx="65">
                  <c:v>0.68300000000000005</c:v>
                </c:pt>
                <c:pt idx="67">
                  <c:v>0.15</c:v>
                </c:pt>
                <c:pt idx="68">
                  <c:v>0.2</c:v>
                </c:pt>
                <c:pt idx="69">
                  <c:v>0.1</c:v>
                </c:pt>
                <c:pt idx="77">
                  <c:v>0.15</c:v>
                </c:pt>
                <c:pt idx="78">
                  <c:v>0.1</c:v>
                </c:pt>
                <c:pt idx="81">
                  <c:v>0.38</c:v>
                </c:pt>
                <c:pt idx="82">
                  <c:v>0.41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1-47F1-8176-EFF88A25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6856"/>
        <c:axId val="-2138114168"/>
      </c:scatterChart>
      <c:valAx>
        <c:axId val="-21381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LNP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4168"/>
        <c:crosses val="autoZero"/>
        <c:crossBetween val="midCat"/>
      </c:valAx>
      <c:valAx>
        <c:axId val="-2138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B</a:t>
                </a:r>
                <a:r>
                  <a:rPr lang="en-GB" altLang="zh-TW" sz="1000" b="0" i="0" u="none" strike="noStrike" baseline="0">
                    <a:effectLst/>
                  </a:rPr>
                  <a:t>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81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S1)'!$A$32</c:f>
              <c:strCache>
                <c:ptCount val="1"/>
                <c:pt idx="0">
                  <c:v>Japan</c:v>
                </c:pt>
              </c:strCache>
            </c:strRef>
          </c:tx>
          <c:spPr>
            <a:ln w="31750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'Rawdata (Table S1)'!$N$32:$N$63</c:f>
              <c:numCache>
                <c:formatCode>0.00_);[Red]\(0.00\)</c:formatCode>
                <c:ptCount val="32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16.087499999999999</c:v>
                </c:pt>
                <c:pt idx="4">
                  <c:v>11.3</c:v>
                </c:pt>
                <c:pt idx="5">
                  <c:v>16.177083333333332</c:v>
                </c:pt>
                <c:pt idx="6">
                  <c:v>16.177083333333332</c:v>
                </c:pt>
                <c:pt idx="7">
                  <c:v>13.062499999999995</c:v>
                </c:pt>
                <c:pt idx="8">
                  <c:v>17.5</c:v>
                </c:pt>
                <c:pt idx="9">
                  <c:v>16.75</c:v>
                </c:pt>
                <c:pt idx="10">
                  <c:v>16.75</c:v>
                </c:pt>
                <c:pt idx="11">
                  <c:v>16.258333333333336</c:v>
                </c:pt>
                <c:pt idx="12">
                  <c:v>18.108333333333331</c:v>
                </c:pt>
                <c:pt idx="13">
                  <c:v>17.633333333333333</c:v>
                </c:pt>
                <c:pt idx="14">
                  <c:v>15.9</c:v>
                </c:pt>
                <c:pt idx="15">
                  <c:v>15.9</c:v>
                </c:pt>
                <c:pt idx="16">
                  <c:v>15.375</c:v>
                </c:pt>
                <c:pt idx="17">
                  <c:v>15.304169999999999</c:v>
                </c:pt>
                <c:pt idx="18">
                  <c:v>16.100000000000001</c:v>
                </c:pt>
                <c:pt idx="19">
                  <c:v>16.91</c:v>
                </c:pt>
                <c:pt idx="20">
                  <c:v>15</c:v>
                </c:pt>
                <c:pt idx="21">
                  <c:v>15.375</c:v>
                </c:pt>
                <c:pt idx="22">
                  <c:v>15.304169999999999</c:v>
                </c:pt>
                <c:pt idx="23">
                  <c:v>15.304169999999999</c:v>
                </c:pt>
                <c:pt idx="24">
                  <c:v>15.39167</c:v>
                </c:pt>
                <c:pt idx="25">
                  <c:v>15.375</c:v>
                </c:pt>
                <c:pt idx="26">
                  <c:v>15.3</c:v>
                </c:pt>
                <c:pt idx="27">
                  <c:v>16.058330000000002</c:v>
                </c:pt>
                <c:pt idx="28">
                  <c:v>16.175000000000001</c:v>
                </c:pt>
                <c:pt idx="29">
                  <c:v>16.516670000000001</c:v>
                </c:pt>
                <c:pt idx="30">
                  <c:v>16.033329999999999</c:v>
                </c:pt>
                <c:pt idx="31">
                  <c:v>15.3</c:v>
                </c:pt>
              </c:numCache>
            </c:numRef>
          </c:xVal>
          <c:yVal>
            <c:numRef>
              <c:f>'Rawdata (Table S1)'!$BO$32:$BO$63</c:f>
              <c:numCache>
                <c:formatCode>0.00_);[Red]\(0.00\)</c:formatCode>
                <c:ptCount val="32"/>
                <c:pt idx="0">
                  <c:v>15.704999999999998</c:v>
                </c:pt>
                <c:pt idx="1">
                  <c:v>53.58</c:v>
                </c:pt>
                <c:pt idx="2">
                  <c:v>21.814999999999998</c:v>
                </c:pt>
                <c:pt idx="3">
                  <c:v>87.083333333333329</c:v>
                </c:pt>
                <c:pt idx="4">
                  <c:v>11.654999999999999</c:v>
                </c:pt>
                <c:pt idx="5">
                  <c:v>22.6</c:v>
                </c:pt>
                <c:pt idx="6">
                  <c:v>39.700000000000003</c:v>
                </c:pt>
                <c:pt idx="7">
                  <c:v>20.5</c:v>
                </c:pt>
                <c:pt idx="8">
                  <c:v>92.5</c:v>
                </c:pt>
                <c:pt idx="9">
                  <c:v>84.2</c:v>
                </c:pt>
                <c:pt idx="10">
                  <c:v>92.3</c:v>
                </c:pt>
                <c:pt idx="11">
                  <c:v>66.657499999999999</c:v>
                </c:pt>
                <c:pt idx="12">
                  <c:v>41.41</c:v>
                </c:pt>
                <c:pt idx="13">
                  <c:v>55.196666666666665</c:v>
                </c:pt>
                <c:pt idx="14">
                  <c:v>92.825000000000003</c:v>
                </c:pt>
                <c:pt idx="15">
                  <c:v>110.675</c:v>
                </c:pt>
                <c:pt idx="16">
                  <c:v>40.15</c:v>
                </c:pt>
                <c:pt idx="18">
                  <c:v>62.64</c:v>
                </c:pt>
                <c:pt idx="19">
                  <c:v>68.400000000000006</c:v>
                </c:pt>
                <c:pt idx="20">
                  <c:v>25.5</c:v>
                </c:pt>
                <c:pt idx="21">
                  <c:v>60.75</c:v>
                </c:pt>
                <c:pt idx="24" formatCode="General">
                  <c:v>47.55</c:v>
                </c:pt>
                <c:pt idx="25">
                  <c:v>105.33180000000002</c:v>
                </c:pt>
                <c:pt idx="26">
                  <c:v>65.68180000000001</c:v>
                </c:pt>
                <c:pt idx="27">
                  <c:v>108.60000000000001</c:v>
                </c:pt>
                <c:pt idx="28">
                  <c:v>108.64999999999999</c:v>
                </c:pt>
                <c:pt idx="29">
                  <c:v>109.9</c:v>
                </c:pt>
                <c:pt idx="30">
                  <c:v>112.02500000000001</c:v>
                </c:pt>
                <c:pt idx="31">
                  <c:v>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3-4B22-9894-95A93033B5A4}"/>
            </c:ext>
          </c:extLst>
        </c:ser>
        <c:ser>
          <c:idx val="1"/>
          <c:order val="1"/>
          <c:tx>
            <c:strRef>
              <c:f>'Rawdata (Table S1)'!$A$70</c:f>
              <c:strCache>
                <c:ptCount val="1"/>
                <c:pt idx="0">
                  <c:v>Taiwan</c:v>
                </c:pt>
              </c:strCache>
            </c:strRef>
          </c:tx>
          <c:spPr>
            <a:ln w="317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8419746871460399"/>
                  <c:y val="-0.19490824699544099"/>
                </c:manualLayout>
              </c:layout>
              <c:numFmt formatCode="General" sourceLinked="0"/>
            </c:trendlineLbl>
          </c:trendline>
          <c:xVal>
            <c:numRef>
              <c:f>'Rawdata (Table S1)'!$N$70:$N$86</c:f>
              <c:numCache>
                <c:formatCode>0.00_);[Red]\(0.00\)</c:formatCode>
                <c:ptCount val="17"/>
                <c:pt idx="0">
                  <c:v>15.3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16.5</c:v>
                </c:pt>
                <c:pt idx="5">
                  <c:v>20.3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16.5</c:v>
                </c:pt>
                <c:pt idx="10">
                  <c:v>16.5</c:v>
                </c:pt>
                <c:pt idx="11">
                  <c:v>23</c:v>
                </c:pt>
                <c:pt idx="12">
                  <c:v>23</c:v>
                </c:pt>
                <c:pt idx="13">
                  <c:v>15.3</c:v>
                </c:pt>
                <c:pt idx="14">
                  <c:v>15.3</c:v>
                </c:pt>
                <c:pt idx="15">
                  <c:v>17.2</c:v>
                </c:pt>
                <c:pt idx="16">
                  <c:v>18.600000000000001</c:v>
                </c:pt>
              </c:numCache>
            </c:numRef>
          </c:xVal>
          <c:yVal>
            <c:numRef>
              <c:f>'Rawdata (Table S1)'!$BO$70:$BO$86</c:f>
              <c:numCache>
                <c:formatCode>0.00_);[Red]\(0.00\)</c:formatCode>
                <c:ptCount val="17"/>
                <c:pt idx="0">
                  <c:v>81.133659999999992</c:v>
                </c:pt>
                <c:pt idx="1">
                  <c:v>36.950000000000003</c:v>
                </c:pt>
                <c:pt idx="2">
                  <c:v>45.95</c:v>
                </c:pt>
                <c:pt idx="3">
                  <c:v>21.65</c:v>
                </c:pt>
                <c:pt idx="4">
                  <c:v>39.649852999999993</c:v>
                </c:pt>
                <c:pt idx="5">
                  <c:v>26.253070000000001</c:v>
                </c:pt>
                <c:pt idx="6">
                  <c:v>29.5</c:v>
                </c:pt>
                <c:pt idx="7">
                  <c:v>8</c:v>
                </c:pt>
                <c:pt idx="8">
                  <c:v>28.4</c:v>
                </c:pt>
                <c:pt idx="9">
                  <c:v>43.869530999999995</c:v>
                </c:pt>
                <c:pt idx="10">
                  <c:v>37.198925000000003</c:v>
                </c:pt>
                <c:pt idx="11">
                  <c:v>36.75</c:v>
                </c:pt>
                <c:pt idx="12">
                  <c:v>41.95</c:v>
                </c:pt>
                <c:pt idx="13">
                  <c:v>38.4</c:v>
                </c:pt>
                <c:pt idx="14">
                  <c:v>60.4</c:v>
                </c:pt>
                <c:pt idx="15">
                  <c:v>27.259999999999998</c:v>
                </c:pt>
                <c:pt idx="16">
                  <c:v>42.04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3-4B22-9894-95A93033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87384"/>
        <c:axId val="-2138081848"/>
      </c:scatterChart>
      <c:valAx>
        <c:axId val="-2138087384"/>
        <c:scaling>
          <c:orientation val="minMax"/>
          <c:max val="30"/>
          <c:min val="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zh-TW"/>
                  <a:t>Annual mean temperature (</a:t>
                </a:r>
                <a:r>
                  <a:rPr lang="it-IT" altLang="zh-TW"/>
                  <a:t>°C)</a:t>
                </a:r>
                <a:endParaRPr lang="zh-TW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2138081848"/>
        <c:crosses val="autoZero"/>
        <c:crossBetween val="midCat"/>
        <c:majorUnit val="5"/>
        <c:minorUnit val="1"/>
      </c:valAx>
      <c:valAx>
        <c:axId val="-2138081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zh-TW"/>
                  <a:t>Aboveground biomass (Mg C ha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2138087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'Rawdata (Table S1)'!$A$32</c:f>
              <c:strCache>
                <c:ptCount val="1"/>
                <c:pt idx="0">
                  <c:v>Japan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453630796150499"/>
                  <c:y val="0.1236362642169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'Rawdata (Table S1)'!$N$32:$N$63</c:f>
              <c:numCache>
                <c:formatCode>0.00_);[Red]\(0.00\)</c:formatCode>
                <c:ptCount val="32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16.087499999999999</c:v>
                </c:pt>
                <c:pt idx="4">
                  <c:v>11.3</c:v>
                </c:pt>
                <c:pt idx="5">
                  <c:v>16.177083333333332</c:v>
                </c:pt>
                <c:pt idx="6">
                  <c:v>16.177083333333332</c:v>
                </c:pt>
                <c:pt idx="7">
                  <c:v>13.062499999999995</c:v>
                </c:pt>
                <c:pt idx="8">
                  <c:v>17.5</c:v>
                </c:pt>
                <c:pt idx="9">
                  <c:v>16.75</c:v>
                </c:pt>
                <c:pt idx="10">
                  <c:v>16.75</c:v>
                </c:pt>
                <c:pt idx="11">
                  <c:v>16.258333333333336</c:v>
                </c:pt>
                <c:pt idx="12">
                  <c:v>18.108333333333331</c:v>
                </c:pt>
                <c:pt idx="13">
                  <c:v>17.633333333333333</c:v>
                </c:pt>
                <c:pt idx="14">
                  <c:v>15.9</c:v>
                </c:pt>
                <c:pt idx="15">
                  <c:v>15.9</c:v>
                </c:pt>
                <c:pt idx="16">
                  <c:v>15.375</c:v>
                </c:pt>
                <c:pt idx="17">
                  <c:v>15.304169999999999</c:v>
                </c:pt>
                <c:pt idx="18">
                  <c:v>16.100000000000001</c:v>
                </c:pt>
                <c:pt idx="19">
                  <c:v>16.91</c:v>
                </c:pt>
                <c:pt idx="20">
                  <c:v>15</c:v>
                </c:pt>
                <c:pt idx="21">
                  <c:v>15.375</c:v>
                </c:pt>
                <c:pt idx="22">
                  <c:v>15.304169999999999</c:v>
                </c:pt>
                <c:pt idx="23">
                  <c:v>15.304169999999999</c:v>
                </c:pt>
                <c:pt idx="24">
                  <c:v>15.39167</c:v>
                </c:pt>
                <c:pt idx="25">
                  <c:v>15.375</c:v>
                </c:pt>
                <c:pt idx="26">
                  <c:v>15.3</c:v>
                </c:pt>
                <c:pt idx="27">
                  <c:v>16.058330000000002</c:v>
                </c:pt>
                <c:pt idx="28">
                  <c:v>16.175000000000001</c:v>
                </c:pt>
                <c:pt idx="29">
                  <c:v>16.516670000000001</c:v>
                </c:pt>
                <c:pt idx="30">
                  <c:v>16.033329999999999</c:v>
                </c:pt>
                <c:pt idx="31">
                  <c:v>15.3</c:v>
                </c:pt>
              </c:numCache>
            </c:numRef>
          </c:xVal>
          <c:yVal>
            <c:numRef>
              <c:f>'Rawdata (Table S1)'!$BO$32:$BO$63</c:f>
              <c:numCache>
                <c:formatCode>0.00_);[Red]\(0.00\)</c:formatCode>
                <c:ptCount val="32"/>
                <c:pt idx="0">
                  <c:v>15.704999999999998</c:v>
                </c:pt>
                <c:pt idx="1">
                  <c:v>53.58</c:v>
                </c:pt>
                <c:pt idx="2">
                  <c:v>21.814999999999998</c:v>
                </c:pt>
                <c:pt idx="3">
                  <c:v>87.083333333333329</c:v>
                </c:pt>
                <c:pt idx="4">
                  <c:v>11.654999999999999</c:v>
                </c:pt>
                <c:pt idx="5">
                  <c:v>22.6</c:v>
                </c:pt>
                <c:pt idx="6">
                  <c:v>39.700000000000003</c:v>
                </c:pt>
                <c:pt idx="7">
                  <c:v>20.5</c:v>
                </c:pt>
                <c:pt idx="8">
                  <c:v>92.5</c:v>
                </c:pt>
                <c:pt idx="9">
                  <c:v>84.2</c:v>
                </c:pt>
                <c:pt idx="10">
                  <c:v>92.3</c:v>
                </c:pt>
                <c:pt idx="11">
                  <c:v>66.657499999999999</c:v>
                </c:pt>
                <c:pt idx="12">
                  <c:v>41.41</c:v>
                </c:pt>
                <c:pt idx="13">
                  <c:v>55.196666666666665</c:v>
                </c:pt>
                <c:pt idx="14">
                  <c:v>92.825000000000003</c:v>
                </c:pt>
                <c:pt idx="15">
                  <c:v>110.675</c:v>
                </c:pt>
                <c:pt idx="16">
                  <c:v>40.15</c:v>
                </c:pt>
                <c:pt idx="18">
                  <c:v>62.64</c:v>
                </c:pt>
                <c:pt idx="19">
                  <c:v>68.400000000000006</c:v>
                </c:pt>
                <c:pt idx="20">
                  <c:v>25.5</c:v>
                </c:pt>
                <c:pt idx="21">
                  <c:v>60.75</c:v>
                </c:pt>
                <c:pt idx="24" formatCode="General">
                  <c:v>47.55</c:v>
                </c:pt>
                <c:pt idx="25">
                  <c:v>105.33180000000002</c:v>
                </c:pt>
                <c:pt idx="26">
                  <c:v>65.68180000000001</c:v>
                </c:pt>
                <c:pt idx="27">
                  <c:v>108.60000000000001</c:v>
                </c:pt>
                <c:pt idx="28">
                  <c:v>108.64999999999999</c:v>
                </c:pt>
                <c:pt idx="29">
                  <c:v>109.9</c:v>
                </c:pt>
                <c:pt idx="30">
                  <c:v>112.02500000000001</c:v>
                </c:pt>
                <c:pt idx="31">
                  <c:v>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E-4CE0-839D-A6039EF454FD}"/>
            </c:ext>
          </c:extLst>
        </c:ser>
        <c:ser>
          <c:idx val="0"/>
          <c:order val="1"/>
          <c:tx>
            <c:strRef>
              <c:f>'Rawdata (Table S1)'!$A$4</c:f>
              <c:strCache>
                <c:ptCount val="1"/>
                <c:pt idx="0">
                  <c:v>China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339660861894306E-2"/>
                  <c:y val="-5.0971902196435999E-2"/>
                </c:manualLayout>
              </c:layout>
              <c:numFmt formatCode="General" sourceLinked="0"/>
            </c:trendlineLbl>
          </c:trendline>
          <c:xVal>
            <c:numRef>
              <c:f>'Rawdata (Table S1)'!$N$4:$N$27</c:f>
              <c:numCache>
                <c:formatCode>0.00_);[Red]\(0.00\)</c:formatCode>
                <c:ptCount val="24"/>
                <c:pt idx="0">
                  <c:v>19.3</c:v>
                </c:pt>
                <c:pt idx="1">
                  <c:v>19.3</c:v>
                </c:pt>
                <c:pt idx="2">
                  <c:v>12.8</c:v>
                </c:pt>
                <c:pt idx="3">
                  <c:v>19.3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16.5</c:v>
                </c:pt>
                <c:pt idx="12">
                  <c:v>16.75</c:v>
                </c:pt>
                <c:pt idx="13">
                  <c:v>16.809999999999999</c:v>
                </c:pt>
                <c:pt idx="14">
                  <c:v>15.2</c:v>
                </c:pt>
                <c:pt idx="15">
                  <c:v>18.649999999999999</c:v>
                </c:pt>
                <c:pt idx="16">
                  <c:v>23</c:v>
                </c:pt>
                <c:pt idx="17">
                  <c:v>16.600000000000001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15.9</c:v>
                </c:pt>
                <c:pt idx="22">
                  <c:v>15.6</c:v>
                </c:pt>
                <c:pt idx="23">
                  <c:v>15.6</c:v>
                </c:pt>
              </c:numCache>
            </c:numRef>
          </c:xVal>
          <c:yVal>
            <c:numRef>
              <c:f>'Rawdata (Table S1)'!$BO$4:$BO$27</c:f>
              <c:numCache>
                <c:formatCode>0.00_);[Red]\(0.00\)</c:formatCode>
                <c:ptCount val="24"/>
                <c:pt idx="0">
                  <c:v>35.275750000000002</c:v>
                </c:pt>
                <c:pt idx="1">
                  <c:v>38.702750000000002</c:v>
                </c:pt>
                <c:pt idx="2">
                  <c:v>35.799999999999997</c:v>
                </c:pt>
                <c:pt idx="3">
                  <c:v>43.731499999999997</c:v>
                </c:pt>
                <c:pt idx="4">
                  <c:v>36.363150000000005</c:v>
                </c:pt>
                <c:pt idx="5">
                  <c:v>52.552999999999997</c:v>
                </c:pt>
                <c:pt idx="6">
                  <c:v>40.903100000000002</c:v>
                </c:pt>
                <c:pt idx="7">
                  <c:v>24.491849999999999</c:v>
                </c:pt>
                <c:pt idx="8">
                  <c:v>20.0305</c:v>
                </c:pt>
                <c:pt idx="9">
                  <c:v>17.106999999999999</c:v>
                </c:pt>
                <c:pt idx="10">
                  <c:v>14.288500000000001</c:v>
                </c:pt>
                <c:pt idx="12">
                  <c:v>21.759872780280947</c:v>
                </c:pt>
                <c:pt idx="13">
                  <c:v>52.88</c:v>
                </c:pt>
                <c:pt idx="14">
                  <c:v>48.27</c:v>
                </c:pt>
                <c:pt idx="15">
                  <c:v>22.39</c:v>
                </c:pt>
                <c:pt idx="16">
                  <c:v>32.36</c:v>
                </c:pt>
                <c:pt idx="17">
                  <c:v>23.718</c:v>
                </c:pt>
                <c:pt idx="18">
                  <c:v>18.899999999999999</c:v>
                </c:pt>
                <c:pt idx="19">
                  <c:v>24.75</c:v>
                </c:pt>
                <c:pt idx="20">
                  <c:v>20.76</c:v>
                </c:pt>
                <c:pt idx="21">
                  <c:v>20.353999999999999</c:v>
                </c:pt>
                <c:pt idx="22">
                  <c:v>27</c:v>
                </c:pt>
                <c:pt idx="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E-4CE0-839D-A6039EF454FD}"/>
            </c:ext>
          </c:extLst>
        </c:ser>
        <c:ser>
          <c:idx val="3"/>
          <c:order val="2"/>
          <c:tx>
            <c:strRef>
              <c:f>'Rawdata (Table S1)'!$A$65</c:f>
              <c:strCache>
                <c:ptCount val="1"/>
                <c:pt idx="0">
                  <c:v>Korea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146106736657895E-2"/>
                  <c:y val="0.1430584718576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'Rawdata (Table S1)'!$N$65:$N$67</c:f>
              <c:numCache>
                <c:formatCode>0.00_);[Red]\(0.00\)</c:formatCode>
                <c:ptCount val="3"/>
                <c:pt idx="0">
                  <c:v>13.1</c:v>
                </c:pt>
                <c:pt idx="1">
                  <c:v>13.15</c:v>
                </c:pt>
                <c:pt idx="2">
                  <c:v>13.1</c:v>
                </c:pt>
              </c:numCache>
            </c:numRef>
          </c:xVal>
          <c:yVal>
            <c:numRef>
              <c:f>'Rawdata (Table S1)'!$BO$65:$BO$67</c:f>
              <c:numCache>
                <c:formatCode>0.00_);[Red]\(0.00\)</c:formatCode>
                <c:ptCount val="3"/>
                <c:pt idx="0">
                  <c:v>26.331600000000002</c:v>
                </c:pt>
                <c:pt idx="1">
                  <c:v>34.825000000000003</c:v>
                </c:pt>
                <c:pt idx="2">
                  <c:v>48.900399999999998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E-4CE0-839D-A6039EF454FD}"/>
            </c:ext>
          </c:extLst>
        </c:ser>
        <c:ser>
          <c:idx val="1"/>
          <c:order val="3"/>
          <c:tx>
            <c:strRef>
              <c:f>'Rawdata (Table S1)'!$A$70</c:f>
              <c:strCache>
                <c:ptCount val="1"/>
                <c:pt idx="0">
                  <c:v>Taiwan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586075080864"/>
                  <c:y val="4.7021632822213E-2"/>
                </c:manualLayout>
              </c:layout>
              <c:numFmt formatCode="General" sourceLinked="0"/>
            </c:trendlineLbl>
          </c:trendline>
          <c:xVal>
            <c:numRef>
              <c:f>'Rawdata (Table S1)'!$N$70:$N$86</c:f>
              <c:numCache>
                <c:formatCode>0.00_);[Red]\(0.00\)</c:formatCode>
                <c:ptCount val="17"/>
                <c:pt idx="0">
                  <c:v>15.3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16.5</c:v>
                </c:pt>
                <c:pt idx="5">
                  <c:v>20.3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16.5</c:v>
                </c:pt>
                <c:pt idx="10">
                  <c:v>16.5</c:v>
                </c:pt>
                <c:pt idx="11">
                  <c:v>23</c:v>
                </c:pt>
                <c:pt idx="12">
                  <c:v>23</c:v>
                </c:pt>
                <c:pt idx="13">
                  <c:v>15.3</c:v>
                </c:pt>
                <c:pt idx="14">
                  <c:v>15.3</c:v>
                </c:pt>
                <c:pt idx="15">
                  <c:v>17.2</c:v>
                </c:pt>
                <c:pt idx="16">
                  <c:v>18.600000000000001</c:v>
                </c:pt>
              </c:numCache>
            </c:numRef>
          </c:xVal>
          <c:yVal>
            <c:numRef>
              <c:f>'Rawdata (Table S1)'!$BO$70:$BO$86</c:f>
              <c:numCache>
                <c:formatCode>0.00_);[Red]\(0.00\)</c:formatCode>
                <c:ptCount val="17"/>
                <c:pt idx="0">
                  <c:v>81.133659999999992</c:v>
                </c:pt>
                <c:pt idx="1">
                  <c:v>36.950000000000003</c:v>
                </c:pt>
                <c:pt idx="2">
                  <c:v>45.95</c:v>
                </c:pt>
                <c:pt idx="3">
                  <c:v>21.65</c:v>
                </c:pt>
                <c:pt idx="4">
                  <c:v>39.649852999999993</c:v>
                </c:pt>
                <c:pt idx="5">
                  <c:v>26.253070000000001</c:v>
                </c:pt>
                <c:pt idx="6">
                  <c:v>29.5</c:v>
                </c:pt>
                <c:pt idx="7">
                  <c:v>8</c:v>
                </c:pt>
                <c:pt idx="8">
                  <c:v>28.4</c:v>
                </c:pt>
                <c:pt idx="9">
                  <c:v>43.869530999999995</c:v>
                </c:pt>
                <c:pt idx="10">
                  <c:v>37.198925000000003</c:v>
                </c:pt>
                <c:pt idx="11">
                  <c:v>36.75</c:v>
                </c:pt>
                <c:pt idx="12">
                  <c:v>41.95</c:v>
                </c:pt>
                <c:pt idx="13">
                  <c:v>38.4</c:v>
                </c:pt>
                <c:pt idx="14">
                  <c:v>60.4</c:v>
                </c:pt>
                <c:pt idx="15">
                  <c:v>27.259999999999998</c:v>
                </c:pt>
                <c:pt idx="16">
                  <c:v>42.04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E-4CE0-839D-A6039EF4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81032"/>
        <c:axId val="2141786744"/>
      </c:scatterChart>
      <c:valAx>
        <c:axId val="2141781032"/>
        <c:scaling>
          <c:orientation val="minMax"/>
          <c:max val="30"/>
          <c:min val="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zh-TW"/>
                  <a:t>Annual mean temperature (</a:t>
                </a:r>
                <a:r>
                  <a:rPr lang="it-IT" altLang="zh-TW"/>
                  <a:t>°C)</a:t>
                </a:r>
                <a:endParaRPr lang="zh-TW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41786744"/>
        <c:crosses val="autoZero"/>
        <c:crossBetween val="midCat"/>
        <c:majorUnit val="5"/>
        <c:minorUnit val="1"/>
      </c:valAx>
      <c:valAx>
        <c:axId val="2141786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zh-TW"/>
                  <a:t>Aboveground biomass (Mg C ha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4178103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S1)'!$CK$2</c:f>
              <c:strCache>
                <c:ptCount val="1"/>
                <c:pt idx="0">
                  <c:v>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S1)'!$CK$4:$CK$86</c:f>
              <c:numCache>
                <c:formatCode>0.00_);[Red]\(0.00\)</c:formatCode>
                <c:ptCount val="83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  <c:pt idx="54">
                  <c:v>13.299999999999999</c:v>
                </c:pt>
                <c:pt idx="81">
                  <c:v>4.4800000000000004</c:v>
                </c:pt>
                <c:pt idx="82">
                  <c:v>4.55</c:v>
                </c:pt>
              </c:numCache>
            </c:numRef>
          </c:xVal>
          <c:y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C-481B-A1C2-6F929B274E6F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S1)'!$CK$4:$CK$31</c:f>
              <c:numCache>
                <c:formatCode>0.00_);[Red]\(0.00\)</c:formatCode>
                <c:ptCount val="28"/>
                <c:pt idx="11">
                  <c:v>5.5063636363636368</c:v>
                </c:pt>
                <c:pt idx="22">
                  <c:v>0.51</c:v>
                </c:pt>
                <c:pt idx="23">
                  <c:v>1.0900000000000001</c:v>
                </c:pt>
                <c:pt idx="24">
                  <c:v>1.37</c:v>
                </c:pt>
                <c:pt idx="25">
                  <c:v>1.29</c:v>
                </c:pt>
              </c:numCache>
            </c:numRef>
          </c:xVal>
          <c:yVal>
            <c:numRef>
              <c:f>'Rawdata (Table S1)'!$CD$4:$CD$31</c:f>
              <c:numCache>
                <c:formatCode>0.00_);[Red]\(0.00\)</c:formatCode>
                <c:ptCount val="28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C-481B-A1C2-6F929B274E6F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S1)'!$CK$32:$CK$64</c:f>
              <c:numCache>
                <c:formatCode>0.00_);[Red]\(0.00\)</c:formatCode>
                <c:ptCount val="33"/>
                <c:pt idx="26">
                  <c:v>13.299999999999999</c:v>
                </c:pt>
              </c:numCache>
            </c:numRef>
          </c:xVal>
          <c:yVal>
            <c:numRef>
              <c:f>'Rawdata (Table S1)'!$CD$32:$CD$64</c:f>
              <c:numCache>
                <c:formatCode>0.00_);[Red]\(0.00\)</c:formatCode>
                <c:ptCount val="33"/>
                <c:pt idx="11">
                  <c:v>5.8574999999999999</c:v>
                </c:pt>
                <c:pt idx="12">
                  <c:v>6.07</c:v>
                </c:pt>
                <c:pt idx="13">
                  <c:v>0.54666666666666663</c:v>
                </c:pt>
                <c:pt idx="16">
                  <c:v>8.0299999999999994</c:v>
                </c:pt>
                <c:pt idx="20">
                  <c:v>25.5</c:v>
                </c:pt>
                <c:pt idx="21">
                  <c:v>7.8599999999999994</c:v>
                </c:pt>
                <c:pt idx="25">
                  <c:v>9.11</c:v>
                </c:pt>
                <c:pt idx="26">
                  <c:v>11.8</c:v>
                </c:pt>
                <c:pt idx="29">
                  <c:v>1.2500000000000142</c:v>
                </c:pt>
                <c:pt idx="30">
                  <c:v>2.125</c:v>
                </c:pt>
                <c:pt idx="32">
                  <c:v>9.370000000000001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C-481B-A1C2-6F929B274E6F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S1)'!$CK$70:$CK$86</c:f>
              <c:numCache>
                <c:formatCode>0.00_);[Red]\(0.00\)</c:formatCode>
                <c:ptCount val="17"/>
                <c:pt idx="15">
                  <c:v>4.4800000000000004</c:v>
                </c:pt>
                <c:pt idx="16">
                  <c:v>4.55</c:v>
                </c:pt>
              </c:numCache>
            </c:numRef>
          </c:xVal>
          <c:yVal>
            <c:numRef>
              <c:f>'Rawdata (Table S1)'!$CD$70:$CD$86</c:f>
              <c:numCache>
                <c:formatCode>0.00_);[Red]\(0.00\)</c:formatCode>
                <c:ptCount val="17"/>
                <c:pt idx="1">
                  <c:v>4.1500000000000004</c:v>
                </c:pt>
                <c:pt idx="2">
                  <c:v>5.6</c:v>
                </c:pt>
                <c:pt idx="3">
                  <c:v>3.75</c:v>
                </c:pt>
                <c:pt idx="5">
                  <c:v>4</c:v>
                </c:pt>
                <c:pt idx="6">
                  <c:v>2.9</c:v>
                </c:pt>
                <c:pt idx="7">
                  <c:v>4</c:v>
                </c:pt>
                <c:pt idx="8">
                  <c:v>4.0999999999999996</c:v>
                </c:pt>
                <c:pt idx="11">
                  <c:v>4.6500000000000004</c:v>
                </c:pt>
                <c:pt idx="12">
                  <c:v>3.45</c:v>
                </c:pt>
                <c:pt idx="14">
                  <c:v>2.2166666666666672</c:v>
                </c:pt>
                <c:pt idx="15">
                  <c:v>7.1099999999999994</c:v>
                </c:pt>
                <c:pt idx="16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C-481B-A1C2-6F929B27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25352"/>
        <c:axId val="2141836024"/>
      </c:scatterChart>
      <c:valAx>
        <c:axId val="214182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Heterotrophic Respiration, HR (Mg C ha</a:t>
                </a:r>
                <a:r>
                  <a:rPr lang="en-US" altLang="zh-TW" sz="10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 yr</a:t>
                </a:r>
                <a:r>
                  <a:rPr lang="en-US" altLang="zh-TW" sz="10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altLang="zh-TW" sz="10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zh-TW" altLang="zh-TW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6448029621793201"/>
              <c:y val="0.8877212915020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836024"/>
        <c:crosses val="autoZero"/>
        <c:crossBetween val="midCat"/>
      </c:valAx>
      <c:valAx>
        <c:axId val="21418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ANPP (Mg C ha</a:t>
                </a:r>
                <a:r>
                  <a:rPr lang="en-GB" altLang="zh-TW" sz="1000" b="0" i="0" u="none" strike="noStrike" baseline="30000">
                    <a:solidFill>
                      <a:schemeClr val="tx1"/>
                    </a:solidFill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zh-TW" altLang="zh-TW" sz="1000" b="0" baseline="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82535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S1)'!$CH$2</c:f>
              <c:strCache>
                <c:ptCount val="1"/>
                <c:pt idx="0">
                  <c:v>BNPP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18788104242876"/>
                  <c:y val="-4.7487579476167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S1)'!$BZ$4:$BZ$86</c:f>
              <c:numCache>
                <c:formatCode>0.00_);[Red]\(0.00\)</c:formatCode>
                <c:ptCount val="83"/>
                <c:pt idx="5">
                  <c:v>2.9430000000000001</c:v>
                </c:pt>
                <c:pt idx="44">
                  <c:v>2.2800000000000002</c:v>
                </c:pt>
                <c:pt idx="48">
                  <c:v>1.55</c:v>
                </c:pt>
                <c:pt idx="49">
                  <c:v>2.84</c:v>
                </c:pt>
                <c:pt idx="53">
                  <c:v>3.7600000000000002</c:v>
                </c:pt>
                <c:pt idx="54">
                  <c:v>3.05</c:v>
                </c:pt>
                <c:pt idx="57">
                  <c:v>0</c:v>
                </c:pt>
                <c:pt idx="58">
                  <c:v>9.9999999999999645E-2</c:v>
                </c:pt>
                <c:pt idx="60">
                  <c:v>2.835</c:v>
                </c:pt>
                <c:pt idx="65">
                  <c:v>0.68300000000000005</c:v>
                </c:pt>
                <c:pt idx="67">
                  <c:v>0.15</c:v>
                </c:pt>
                <c:pt idx="68">
                  <c:v>0.2</c:v>
                </c:pt>
                <c:pt idx="69">
                  <c:v>0.1</c:v>
                </c:pt>
                <c:pt idx="77">
                  <c:v>0.15</c:v>
                </c:pt>
                <c:pt idx="78">
                  <c:v>0.1</c:v>
                </c:pt>
                <c:pt idx="81">
                  <c:v>0.38</c:v>
                </c:pt>
                <c:pt idx="82">
                  <c:v>0.41</c:v>
                </c:pt>
              </c:numCache>
            </c:numRef>
          </c:xVal>
          <c:yVal>
            <c:numRef>
              <c:f>'Rawdata (Table S1)'!$CH$4:$CH$86</c:f>
              <c:numCache>
                <c:formatCode>0.00_);[Red]\(0.00\)</c:formatCode>
                <c:ptCount val="83"/>
                <c:pt idx="5">
                  <c:v>6.53803</c:v>
                </c:pt>
                <c:pt idx="11">
                  <c:v>0.96</c:v>
                </c:pt>
                <c:pt idx="22">
                  <c:v>3.11</c:v>
                </c:pt>
                <c:pt idx="23">
                  <c:v>4.0199999999999996</c:v>
                </c:pt>
                <c:pt idx="24">
                  <c:v>4.34</c:v>
                </c:pt>
                <c:pt idx="25">
                  <c:v>4.33</c:v>
                </c:pt>
                <c:pt idx="48">
                  <c:v>3.3333333333333339</c:v>
                </c:pt>
                <c:pt idx="54">
                  <c:v>11</c:v>
                </c:pt>
                <c:pt idx="65">
                  <c:v>1.6465000000000001</c:v>
                </c:pt>
                <c:pt idx="81">
                  <c:v>1.3900000000000001</c:v>
                </c:pt>
                <c:pt idx="82">
                  <c:v>1.1099999999999999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7B7-8815-11D010C3E147}"/>
            </c:ext>
          </c:extLst>
        </c:ser>
        <c:ser>
          <c:idx val="1"/>
          <c:order val="1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S1)'!$BZ$4:$BZ$31</c:f>
              <c:numCache>
                <c:formatCode>0.00_);[Red]\(0.00\)</c:formatCode>
                <c:ptCount val="28"/>
                <c:pt idx="5">
                  <c:v>2.9430000000000001</c:v>
                </c:pt>
              </c:numCache>
            </c:numRef>
          </c:xVal>
          <c:yVal>
            <c:numRef>
              <c:f>'Rawdata (Table S1)'!$CH$4:$CH$31</c:f>
              <c:numCache>
                <c:formatCode>0.00_);[Red]\(0.00\)</c:formatCode>
                <c:ptCount val="28"/>
                <c:pt idx="5">
                  <c:v>6.53803</c:v>
                </c:pt>
                <c:pt idx="11">
                  <c:v>0.96</c:v>
                </c:pt>
                <c:pt idx="22">
                  <c:v>3.11</c:v>
                </c:pt>
                <c:pt idx="23">
                  <c:v>4.0199999999999996</c:v>
                </c:pt>
                <c:pt idx="24">
                  <c:v>4.34</c:v>
                </c:pt>
                <c:pt idx="25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9-47B7-8815-11D010C3E147}"/>
            </c:ext>
          </c:extLst>
        </c:ser>
        <c:ser>
          <c:idx val="2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S1)'!$BZ$32:$BZ$64</c:f>
              <c:numCache>
                <c:formatCode>0.00_);[Red]\(0.00\)</c:formatCode>
                <c:ptCount val="33"/>
                <c:pt idx="16">
                  <c:v>2.2800000000000002</c:v>
                </c:pt>
                <c:pt idx="20">
                  <c:v>1.55</c:v>
                </c:pt>
                <c:pt idx="21">
                  <c:v>2.84</c:v>
                </c:pt>
                <c:pt idx="25">
                  <c:v>3.7600000000000002</c:v>
                </c:pt>
                <c:pt idx="26">
                  <c:v>3.05</c:v>
                </c:pt>
                <c:pt idx="29">
                  <c:v>0</c:v>
                </c:pt>
                <c:pt idx="30">
                  <c:v>9.9999999999999645E-2</c:v>
                </c:pt>
                <c:pt idx="32">
                  <c:v>2.835</c:v>
                </c:pt>
              </c:numCache>
            </c:numRef>
          </c:xVal>
          <c:yVal>
            <c:numRef>
              <c:f>'Rawdata (Table S1)'!$CH$32:$CH$64</c:f>
              <c:numCache>
                <c:formatCode>0.00_);[Red]\(0.00\)</c:formatCode>
                <c:ptCount val="33"/>
                <c:pt idx="20">
                  <c:v>3.3333333333333339</c:v>
                </c:pt>
                <c:pt idx="2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9-47B7-8815-11D010C3E147}"/>
            </c:ext>
          </c:extLst>
        </c:ser>
        <c:ser>
          <c:idx val="3"/>
          <c:order val="3"/>
          <c:tx>
            <c:v>Taiwan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S1)'!$BZ$70:$BZ$86</c:f>
              <c:numCache>
                <c:formatCode>0.00_);[Red]\(0.00\)</c:formatCode>
                <c:ptCount val="17"/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  <c:pt idx="11">
                  <c:v>0.15</c:v>
                </c:pt>
                <c:pt idx="12">
                  <c:v>0.1</c:v>
                </c:pt>
                <c:pt idx="15">
                  <c:v>0.38</c:v>
                </c:pt>
                <c:pt idx="16">
                  <c:v>0.41</c:v>
                </c:pt>
              </c:numCache>
            </c:numRef>
          </c:xVal>
          <c:yVal>
            <c:numRef>
              <c:f>'Rawdata (Table S1)'!$CH$70:$CH$86</c:f>
              <c:numCache>
                <c:formatCode>0.00_);[Red]\(0.00\)</c:formatCode>
                <c:ptCount val="17"/>
                <c:pt idx="15">
                  <c:v>1.3900000000000001</c:v>
                </c:pt>
                <c:pt idx="16">
                  <c:v>1.1099999999999999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9-47B7-8815-11D010C3E147}"/>
            </c:ext>
          </c:extLst>
        </c:ser>
        <c:ser>
          <c:idx val="4"/>
          <c:order val="4"/>
          <c:tx>
            <c:v>Korea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'Rawdata (Table S1)'!$BZ$65:$BZ$67</c:f>
              <c:numCache>
                <c:formatCode>0.00_);[Red]\(0.00\)</c:formatCode>
                <c:ptCount val="3"/>
              </c:numCache>
            </c:numRef>
          </c:xVal>
          <c:yVal>
            <c:numRef>
              <c:f>'Rawdata (Table S1)'!$CH$65:$CH$67</c:f>
              <c:numCache>
                <c:formatCode>0.00_);[Red]\(0.00\)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9-47B7-8815-11D010C3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8296"/>
        <c:axId val="-2137498280"/>
      </c:scatterChart>
      <c:valAx>
        <c:axId val="-21375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LNP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498280"/>
        <c:crosses val="autoZero"/>
        <c:crossBetween val="midCat"/>
        <c:majorUnit val="1"/>
        <c:minorUnit val="0.5"/>
      </c:valAx>
      <c:valAx>
        <c:axId val="-21374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BNPP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5082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S1)'!$CJ$2</c:f>
              <c:strCache>
                <c:ptCount val="1"/>
                <c:pt idx="0">
                  <c:v>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269829001542899E-2"/>
                  <c:y val="-0.37372382649699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S1)'!$CJ$4:$CJ$86</c:f>
              <c:numCache>
                <c:formatCode>0.00_);[Red]\(0.00\)</c:formatCode>
                <c:ptCount val="83"/>
                <c:pt idx="11">
                  <c:v>9.256636363636364</c:v>
                </c:pt>
                <c:pt idx="54">
                  <c:v>14.263636363636362</c:v>
                </c:pt>
                <c:pt idx="81">
                  <c:v>11.21</c:v>
                </c:pt>
                <c:pt idx="82">
                  <c:v>11.41</c:v>
                </c:pt>
              </c:numCache>
            </c:numRef>
          </c:xVal>
          <c:yVal>
            <c:numRef>
              <c:f>'Rawdata (Table S1)'!$CD$4:$CD$86</c:f>
              <c:numCache>
                <c:formatCode>0.00_);[Red]\(0.00\)</c:formatCode>
                <c:ptCount val="83"/>
                <c:pt idx="2">
                  <c:v>8.9622499999999992</c:v>
                </c:pt>
                <c:pt idx="5">
                  <c:v>23.355025000000001</c:v>
                </c:pt>
                <c:pt idx="11">
                  <c:v>9.3999999999999986</c:v>
                </c:pt>
                <c:pt idx="22">
                  <c:v>4.17</c:v>
                </c:pt>
                <c:pt idx="23">
                  <c:v>5.08</c:v>
                </c:pt>
                <c:pt idx="24">
                  <c:v>5.46</c:v>
                </c:pt>
                <c:pt idx="25">
                  <c:v>5.76</c:v>
                </c:pt>
                <c:pt idx="26">
                  <c:v>5.5383499999999994</c:v>
                </c:pt>
                <c:pt idx="27">
                  <c:v>2.8555625</c:v>
                </c:pt>
                <c:pt idx="39">
                  <c:v>5.8574999999999999</c:v>
                </c:pt>
                <c:pt idx="40">
                  <c:v>6.07</c:v>
                </c:pt>
                <c:pt idx="41">
                  <c:v>0.54666666666666663</c:v>
                </c:pt>
                <c:pt idx="44">
                  <c:v>8.0299999999999994</c:v>
                </c:pt>
                <c:pt idx="48">
                  <c:v>25.5</c:v>
                </c:pt>
                <c:pt idx="49">
                  <c:v>7.8599999999999994</c:v>
                </c:pt>
                <c:pt idx="53">
                  <c:v>9.11</c:v>
                </c:pt>
                <c:pt idx="54">
                  <c:v>11.8</c:v>
                </c:pt>
                <c:pt idx="57">
                  <c:v>1.2500000000000142</c:v>
                </c:pt>
                <c:pt idx="58">
                  <c:v>2.125</c:v>
                </c:pt>
                <c:pt idx="60">
                  <c:v>9.370000000000001</c:v>
                </c:pt>
                <c:pt idx="65">
                  <c:v>4.0854999999999997</c:v>
                </c:pt>
                <c:pt idx="67">
                  <c:v>4.1500000000000004</c:v>
                </c:pt>
                <c:pt idx="68">
                  <c:v>5.6</c:v>
                </c:pt>
                <c:pt idx="69">
                  <c:v>3.75</c:v>
                </c:pt>
                <c:pt idx="71">
                  <c:v>4</c:v>
                </c:pt>
                <c:pt idx="72">
                  <c:v>2.9</c:v>
                </c:pt>
                <c:pt idx="73">
                  <c:v>4</c:v>
                </c:pt>
                <c:pt idx="74">
                  <c:v>4.0999999999999996</c:v>
                </c:pt>
                <c:pt idx="77">
                  <c:v>4.6500000000000004</c:v>
                </c:pt>
                <c:pt idx="78">
                  <c:v>3.45</c:v>
                </c:pt>
                <c:pt idx="80">
                  <c:v>2.2166666666666672</c:v>
                </c:pt>
                <c:pt idx="81">
                  <c:v>7.1099999999999994</c:v>
                </c:pt>
                <c:pt idx="8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47E0-BD1C-1C3BBE4F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55944"/>
        <c:axId val="-2137448200"/>
      </c:scatterChart>
      <c:valAx>
        <c:axId val="-21374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Soil Respiration, SR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303480870865298"/>
              <c:y val="0.892241712235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448200"/>
        <c:crosses val="autoZero"/>
        <c:crossBetween val="midCat"/>
      </c:valAx>
      <c:valAx>
        <c:axId val="-21374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ANPP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4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S1)'!$CJ$2</c:f>
              <c:strCache>
                <c:ptCount val="1"/>
                <c:pt idx="0">
                  <c:v>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9483383218536597E-2"/>
                  <c:y val="-5.6922439518884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S1)'!$CJ$4:$CJ$86</c:f>
              <c:numCache>
                <c:formatCode>0.00_);[Red]\(0.00\)</c:formatCode>
                <c:ptCount val="83"/>
                <c:pt idx="11">
                  <c:v>9.256636363636364</c:v>
                </c:pt>
                <c:pt idx="54">
                  <c:v>14.263636363636362</c:v>
                </c:pt>
                <c:pt idx="81">
                  <c:v>11.21</c:v>
                </c:pt>
                <c:pt idx="82">
                  <c:v>11.41</c:v>
                </c:pt>
              </c:numCache>
            </c:numRef>
          </c:xVal>
          <c:yVal>
            <c:numRef>
              <c:f>'Rawdata (Table S1)'!$CH$4:$CH$86</c:f>
              <c:numCache>
                <c:formatCode>0.00_);[Red]\(0.00\)</c:formatCode>
                <c:ptCount val="83"/>
                <c:pt idx="5">
                  <c:v>6.53803</c:v>
                </c:pt>
                <c:pt idx="11">
                  <c:v>0.96</c:v>
                </c:pt>
                <c:pt idx="22">
                  <c:v>3.11</c:v>
                </c:pt>
                <c:pt idx="23">
                  <c:v>4.0199999999999996</c:v>
                </c:pt>
                <c:pt idx="24">
                  <c:v>4.34</c:v>
                </c:pt>
                <c:pt idx="25">
                  <c:v>4.33</c:v>
                </c:pt>
                <c:pt idx="48">
                  <c:v>3.3333333333333339</c:v>
                </c:pt>
                <c:pt idx="54">
                  <c:v>11</c:v>
                </c:pt>
                <c:pt idx="65">
                  <c:v>1.6465000000000001</c:v>
                </c:pt>
                <c:pt idx="81">
                  <c:v>1.3900000000000001</c:v>
                </c:pt>
                <c:pt idx="82">
                  <c:v>1.1099999999999999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A-4FC1-86A9-AFD465F2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8888"/>
        <c:axId val="-2137391160"/>
      </c:scatterChart>
      <c:valAx>
        <c:axId val="-21373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SR (Mg C ha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 yr</a:t>
                </a:r>
                <a:r>
                  <a:rPr lang="en-US" altLang="zh-TW" sz="1000" b="0" i="0" baseline="30000">
                    <a:effectLst/>
                  </a:rPr>
                  <a:t>-1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89712566417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91160"/>
        <c:crosses val="autoZero"/>
        <c:crossBetween val="midCat"/>
      </c:valAx>
      <c:valAx>
        <c:axId val="-21373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BNPP (Mg C ha</a:t>
                </a:r>
                <a:r>
                  <a:rPr lang="en-GB" altLang="zh-TW" sz="1000" b="0" i="0" u="none" strike="noStrike" baseline="30000">
                    <a:effectLst/>
                  </a:rPr>
                  <a:t>-1 </a:t>
                </a:r>
                <a:r>
                  <a:rPr lang="en-GB" altLang="zh-TW" sz="1000" b="0" i="0" u="none" strike="noStrike" baseline="0">
                    <a:effectLst/>
                  </a:rPr>
                  <a:t>yr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39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'Rawdata (Table S1)'!$AX$2</c:f>
              <c:strCache>
                <c:ptCount val="1"/>
                <c:pt idx="0">
                  <c:v>Culm height(3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93265644261"/>
                  <c:y val="-2.1158416542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'Rawdata (Table S1)'!$AX$4:$AX$86</c:f>
              <c:numCache>
                <c:formatCode>0.00_);[Red]\(0.00\)</c:formatCode>
                <c:ptCount val="83"/>
                <c:pt idx="8">
                  <c:v>13.1</c:v>
                </c:pt>
                <c:pt idx="9">
                  <c:v>12.3</c:v>
                </c:pt>
                <c:pt idx="10">
                  <c:v>11.1</c:v>
                </c:pt>
                <c:pt idx="31">
                  <c:v>15.621379341616034</c:v>
                </c:pt>
                <c:pt idx="39">
                  <c:v>18</c:v>
                </c:pt>
                <c:pt idx="40">
                  <c:v>13.5</c:v>
                </c:pt>
                <c:pt idx="41">
                  <c:v>16.933333333333334</c:v>
                </c:pt>
                <c:pt idx="46">
                  <c:v>12.1</c:v>
                </c:pt>
                <c:pt idx="48">
                  <c:v>12.833333333333334</c:v>
                </c:pt>
                <c:pt idx="52">
                  <c:v>13.6</c:v>
                </c:pt>
                <c:pt idx="55">
                  <c:v>18.436493298905692</c:v>
                </c:pt>
                <c:pt idx="56">
                  <c:v>18.404192293209491</c:v>
                </c:pt>
                <c:pt idx="57">
                  <c:v>18.404094430099594</c:v>
                </c:pt>
                <c:pt idx="58">
                  <c:v>18.451361445783132</c:v>
                </c:pt>
                <c:pt idx="60">
                  <c:v>9.5</c:v>
                </c:pt>
                <c:pt idx="62">
                  <c:v>12</c:v>
                </c:pt>
                <c:pt idx="64">
                  <c:v>13.2</c:v>
                </c:pt>
                <c:pt idx="65">
                  <c:v>11.9</c:v>
                </c:pt>
                <c:pt idx="66">
                  <c:v>21.4</c:v>
                </c:pt>
                <c:pt idx="67">
                  <c:v>13.4</c:v>
                </c:pt>
                <c:pt idx="68">
                  <c:v>13.6</c:v>
                </c:pt>
                <c:pt idx="69">
                  <c:v>12.3</c:v>
                </c:pt>
                <c:pt idx="71">
                  <c:v>10.3</c:v>
                </c:pt>
                <c:pt idx="72">
                  <c:v>9.5</c:v>
                </c:pt>
                <c:pt idx="73">
                  <c:v>8</c:v>
                </c:pt>
                <c:pt idx="74">
                  <c:v>9.5</c:v>
                </c:pt>
                <c:pt idx="77">
                  <c:v>12.6</c:v>
                </c:pt>
                <c:pt idx="78">
                  <c:v>13.2</c:v>
                </c:pt>
                <c:pt idx="81">
                  <c:v>12</c:v>
                </c:pt>
              </c:numCache>
            </c:numRef>
          </c:xVal>
          <c:yVal>
            <c:numRef>
              <c:f>'Rawdata (Table S1)'!$BT$4:$BT$86</c:f>
              <c:numCache>
                <c:formatCode>0.00_);[Red]\(0.00\)</c:formatCode>
                <c:ptCount val="83"/>
                <c:pt idx="0">
                  <c:v>12.074249999999999</c:v>
                </c:pt>
                <c:pt idx="1">
                  <c:v>13.247250000000001</c:v>
                </c:pt>
                <c:pt idx="2">
                  <c:v>30.6</c:v>
                </c:pt>
                <c:pt idx="3">
                  <c:v>14.968500000000001</c:v>
                </c:pt>
                <c:pt idx="4">
                  <c:v>9.3247</c:v>
                </c:pt>
                <c:pt idx="5">
                  <c:v>19.154000000000003</c:v>
                </c:pt>
                <c:pt idx="6">
                  <c:v>9.7708499999999994</c:v>
                </c:pt>
                <c:pt idx="7">
                  <c:v>5.8566500000000001</c:v>
                </c:pt>
                <c:pt idx="10">
                  <c:v>3.9095</c:v>
                </c:pt>
                <c:pt idx="13">
                  <c:v>33.5</c:v>
                </c:pt>
                <c:pt idx="14">
                  <c:v>23.574999999999999</c:v>
                </c:pt>
                <c:pt idx="15">
                  <c:v>10.645</c:v>
                </c:pt>
                <c:pt idx="16">
                  <c:v>18.635000000000002</c:v>
                </c:pt>
                <c:pt idx="22">
                  <c:v>19</c:v>
                </c:pt>
                <c:pt idx="23">
                  <c:v>24</c:v>
                </c:pt>
                <c:pt idx="24">
                  <c:v>26.1</c:v>
                </c:pt>
                <c:pt idx="25">
                  <c:v>26</c:v>
                </c:pt>
                <c:pt idx="26">
                  <c:v>33.064999999999998</c:v>
                </c:pt>
                <c:pt idx="27">
                  <c:v>33.515499999999996</c:v>
                </c:pt>
                <c:pt idx="28">
                  <c:v>18.004999999999999</c:v>
                </c:pt>
                <c:pt idx="29">
                  <c:v>33.849999999999994</c:v>
                </c:pt>
                <c:pt idx="30">
                  <c:v>28.76</c:v>
                </c:pt>
                <c:pt idx="32">
                  <c:v>17.594999999999999</c:v>
                </c:pt>
                <c:pt idx="33">
                  <c:v>34.1</c:v>
                </c:pt>
                <c:pt idx="34">
                  <c:v>45.4</c:v>
                </c:pt>
                <c:pt idx="35">
                  <c:v>44.699999999999996</c:v>
                </c:pt>
                <c:pt idx="47">
                  <c:v>24.6</c:v>
                </c:pt>
                <c:pt idx="54">
                  <c:v>18.669499999999999</c:v>
                </c:pt>
                <c:pt idx="59">
                  <c:v>55.9</c:v>
                </c:pt>
                <c:pt idx="61">
                  <c:v>2.4287000000000001</c:v>
                </c:pt>
                <c:pt idx="62">
                  <c:v>10.6</c:v>
                </c:pt>
                <c:pt idx="63">
                  <c:v>7.3986999999999998</c:v>
                </c:pt>
                <c:pt idx="64">
                  <c:v>26.675000000000001</c:v>
                </c:pt>
                <c:pt idx="65">
                  <c:v>15.922499999999999</c:v>
                </c:pt>
                <c:pt idx="67">
                  <c:v>45.7</c:v>
                </c:pt>
                <c:pt idx="68">
                  <c:v>47</c:v>
                </c:pt>
                <c:pt idx="69">
                  <c:v>42.800000000000004</c:v>
                </c:pt>
                <c:pt idx="71">
                  <c:v>3.5</c:v>
                </c:pt>
                <c:pt idx="77">
                  <c:v>45.55</c:v>
                </c:pt>
                <c:pt idx="78">
                  <c:v>46.6</c:v>
                </c:pt>
                <c:pt idx="82">
                  <c:v>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C-4B39-AE23-DC18E6A2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80536"/>
        <c:axId val="2081987432"/>
      </c:scatterChart>
      <c:valAx>
        <c:axId val="208198053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Average Culm High (m)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683598994220401"/>
              <c:y val="0.8967621329694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987432"/>
        <c:crosses val="autoZero"/>
        <c:crossBetween val="midCat"/>
      </c:valAx>
      <c:valAx>
        <c:axId val="208198743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 sz="1000" b="0" i="0" u="none" strike="noStrike" baseline="0">
                    <a:effectLst/>
                  </a:rPr>
                  <a:t>BGC (Mg C ha</a:t>
                </a:r>
                <a:r>
                  <a:rPr lang="en-GB" altLang="zh-TW" sz="1000" b="0" i="0" u="none" strike="noStrike" baseline="30000">
                    <a:effectLst/>
                  </a:rPr>
                  <a:t>-1</a:t>
                </a:r>
                <a:r>
                  <a:rPr lang="en-GB" altLang="zh-TW" sz="1000" b="0" i="0" u="none" strike="noStrike" baseline="0">
                    <a:effectLst/>
                  </a:rPr>
                  <a:t>)</a:t>
                </a:r>
                <a:endParaRPr lang="zh-TW" altLang="zh-TW" sz="1000" b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98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4762</xdr:rowOff>
    </xdr:from>
    <xdr:to>
      <xdr:col>4</xdr:col>
      <xdr:colOff>0</xdr:colOff>
      <xdr:row>114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4</xdr:col>
      <xdr:colOff>0</xdr:colOff>
      <xdr:row>127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412750</xdr:colOff>
      <xdr:row>86</xdr:row>
      <xdr:rowOff>6350</xdr:rowOff>
    </xdr:from>
    <xdr:to>
      <xdr:col>104</xdr:col>
      <xdr:colOff>247650</xdr:colOff>
      <xdr:row>100</xdr:row>
      <xdr:rowOff>88900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9525</xdr:colOff>
      <xdr:row>86</xdr:row>
      <xdr:rowOff>9525</xdr:rowOff>
    </xdr:from>
    <xdr:to>
      <xdr:col>97</xdr:col>
      <xdr:colOff>409575</xdr:colOff>
      <xdr:row>100</xdr:row>
      <xdr:rowOff>92075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0</xdr:colOff>
      <xdr:row>89</xdr:row>
      <xdr:rowOff>0</xdr:rowOff>
    </xdr:from>
    <xdr:to>
      <xdr:col>88</xdr:col>
      <xdr:colOff>76200</xdr:colOff>
      <xdr:row>102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0</xdr:colOff>
      <xdr:row>103</xdr:row>
      <xdr:rowOff>0</xdr:rowOff>
    </xdr:from>
    <xdr:to>
      <xdr:col>88</xdr:col>
      <xdr:colOff>76200</xdr:colOff>
      <xdr:row>116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631760</xdr:colOff>
      <xdr:row>92</xdr:row>
      <xdr:rowOff>38878</xdr:rowOff>
    </xdr:from>
    <xdr:to>
      <xdr:col>80</xdr:col>
      <xdr:colOff>27603</xdr:colOff>
      <xdr:row>105</xdr:row>
      <xdr:rowOff>57928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73</xdr:col>
      <xdr:colOff>0</xdr:colOff>
      <xdr:row>103</xdr:row>
      <xdr:rowOff>0</xdr:rowOff>
    </xdr:from>
    <xdr:to>
      <xdr:col>80</xdr:col>
      <xdr:colOff>76200</xdr:colOff>
      <xdr:row>116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660918</xdr:colOff>
      <xdr:row>124</xdr:row>
      <xdr:rowOff>204107</xdr:rowOff>
    </xdr:from>
    <xdr:to>
      <xdr:col>72</xdr:col>
      <xdr:colOff>110422</xdr:colOff>
      <xdr:row>138</xdr:row>
      <xdr:rowOff>9331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0</xdr:colOff>
      <xdr:row>117</xdr:row>
      <xdr:rowOff>0</xdr:rowOff>
    </xdr:from>
    <xdr:to>
      <xdr:col>88</xdr:col>
      <xdr:colOff>76200</xdr:colOff>
      <xdr:row>130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117</xdr:row>
      <xdr:rowOff>0</xdr:rowOff>
    </xdr:from>
    <xdr:to>
      <xdr:col>80</xdr:col>
      <xdr:colOff>76200</xdr:colOff>
      <xdr:row>130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73</xdr:col>
      <xdr:colOff>0</xdr:colOff>
      <xdr:row>131</xdr:row>
      <xdr:rowOff>0</xdr:rowOff>
    </xdr:from>
    <xdr:to>
      <xdr:col>80</xdr:col>
      <xdr:colOff>76200</xdr:colOff>
      <xdr:row>144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0</xdr:colOff>
      <xdr:row>145</xdr:row>
      <xdr:rowOff>0</xdr:rowOff>
    </xdr:from>
    <xdr:to>
      <xdr:col>80</xdr:col>
      <xdr:colOff>76200</xdr:colOff>
      <xdr:row>158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660918</xdr:colOff>
      <xdr:row>138</xdr:row>
      <xdr:rowOff>1</xdr:rowOff>
    </xdr:from>
    <xdr:to>
      <xdr:col>72</xdr:col>
      <xdr:colOff>110422</xdr:colOff>
      <xdr:row>151</xdr:row>
      <xdr:rowOff>19052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0</xdr:colOff>
      <xdr:row>159</xdr:row>
      <xdr:rowOff>0</xdr:rowOff>
    </xdr:from>
    <xdr:to>
      <xdr:col>80</xdr:col>
      <xdr:colOff>76200</xdr:colOff>
      <xdr:row>172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4</xdr:col>
      <xdr:colOff>0</xdr:colOff>
      <xdr:row>140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4</xdr:col>
      <xdr:colOff>0</xdr:colOff>
      <xdr:row>153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0</xdr:colOff>
      <xdr:row>130</xdr:row>
      <xdr:rowOff>0</xdr:rowOff>
    </xdr:from>
    <xdr:to>
      <xdr:col>88</xdr:col>
      <xdr:colOff>76200</xdr:colOff>
      <xdr:row>143</xdr:row>
      <xdr:rowOff>19050</xdr:rowOff>
    </xdr:to>
    <xdr:graphicFrame macro="">
      <xdr:nvGraphicFramePr>
        <xdr:cNvPr id="19" name="圖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81</xdr:col>
      <xdr:colOff>0</xdr:colOff>
      <xdr:row>144</xdr:row>
      <xdr:rowOff>0</xdr:rowOff>
    </xdr:from>
    <xdr:to>
      <xdr:col>88</xdr:col>
      <xdr:colOff>76200</xdr:colOff>
      <xdr:row>157</xdr:row>
      <xdr:rowOff>19050</xdr:rowOff>
    </xdr:to>
    <xdr:graphicFrame macro="">
      <xdr:nvGraphicFramePr>
        <xdr:cNvPr id="20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4</xdr:col>
      <xdr:colOff>0</xdr:colOff>
      <xdr:row>166</xdr:row>
      <xdr:rowOff>19050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4</xdr:col>
      <xdr:colOff>0</xdr:colOff>
      <xdr:row>179</xdr:row>
      <xdr:rowOff>19050</xdr:rowOff>
    </xdr:to>
    <xdr:graphicFrame macro="">
      <xdr:nvGraphicFramePr>
        <xdr:cNvPr id="22" name="圖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4</xdr:col>
      <xdr:colOff>0</xdr:colOff>
      <xdr:row>192</xdr:row>
      <xdr:rowOff>19050</xdr:rowOff>
    </xdr:to>
    <xdr:graphicFrame macro="">
      <xdr:nvGraphicFramePr>
        <xdr:cNvPr id="2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4</xdr:col>
      <xdr:colOff>0</xdr:colOff>
      <xdr:row>205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347954</xdr:colOff>
      <xdr:row>69</xdr:row>
      <xdr:rowOff>57150</xdr:rowOff>
    </xdr:from>
    <xdr:to>
      <xdr:col>85</xdr:col>
      <xdr:colOff>157454</xdr:colOff>
      <xdr:row>82</xdr:row>
      <xdr:rowOff>20605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72</xdr:col>
      <xdr:colOff>12634</xdr:colOff>
      <xdr:row>69</xdr:row>
      <xdr:rowOff>57151</xdr:rowOff>
    </xdr:from>
    <xdr:to>
      <xdr:col>78</xdr:col>
      <xdr:colOff>502491</xdr:colOff>
      <xdr:row>82</xdr:row>
      <xdr:rowOff>20606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88</xdr:col>
      <xdr:colOff>0</xdr:colOff>
      <xdr:row>103</xdr:row>
      <xdr:rowOff>0</xdr:rowOff>
    </xdr:from>
    <xdr:to>
      <xdr:col>93</xdr:col>
      <xdr:colOff>231710</xdr:colOff>
      <xdr:row>116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65</xdr:col>
      <xdr:colOff>9525</xdr:colOff>
      <xdr:row>69</xdr:row>
      <xdr:rowOff>19050</xdr:rowOff>
    </xdr:from>
    <xdr:to>
      <xdr:col>71</xdr:col>
      <xdr:colOff>47625</xdr:colOff>
      <xdr:row>81</xdr:row>
      <xdr:rowOff>133350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59</xdr:col>
      <xdr:colOff>9525</xdr:colOff>
      <xdr:row>69</xdr:row>
      <xdr:rowOff>19050</xdr:rowOff>
    </xdr:from>
    <xdr:to>
      <xdr:col>64</xdr:col>
      <xdr:colOff>647700</xdr:colOff>
      <xdr:row>81</xdr:row>
      <xdr:rowOff>133350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59</xdr:col>
      <xdr:colOff>9525</xdr:colOff>
      <xdr:row>55</xdr:row>
      <xdr:rowOff>180975</xdr:rowOff>
    </xdr:from>
    <xdr:to>
      <xdr:col>64</xdr:col>
      <xdr:colOff>647700</xdr:colOff>
      <xdr:row>68</xdr:row>
      <xdr:rowOff>200025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76;&#25818;&#33287;&#20027;&#35201;&#21443;&#32771;&#25991;&#29563;&#30340;&#22312;&#32218;&#25903;&#25345;&#26448;&#26009;/20200422%20&#35469;&#30495;&#34389;&#29702;&#25976;&#25818;/Table%20S1%20&amp;%20S2_20200604%20Phylostachy%20carbon%20storage%20(R11)%20original%20dat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 (Table S1)"/>
      <sheetName val="Correlation matrix (Table S2)"/>
      <sheetName val="For Table 4.12"/>
      <sheetName val="For Table 4.9 &amp; 4.10"/>
      <sheetName val="For Table 4.7 &amp; 4.8"/>
      <sheetName val="For Table 4.4"/>
      <sheetName val="BNPP~LNP"/>
      <sheetName val="AGC~BA"/>
      <sheetName val="LF~HR"/>
      <sheetName val="ANPP~HR"/>
      <sheetName val="ANPP~Total N in Soil"/>
      <sheetName val="Japan"/>
      <sheetName val="Taiwan"/>
    </sheetNames>
    <sheetDataSet>
      <sheetData sheetId="0">
        <row r="2">
          <cell r="P2" t="str">
            <v>Annual rainfall4</v>
          </cell>
          <cell r="Y2" t="str">
            <v>Total N (soil)</v>
          </cell>
          <cell r="AV2" t="str">
            <v>Culm density(2</v>
          </cell>
          <cell r="AW2" t="str">
            <v>Culm DBH(3</v>
          </cell>
          <cell r="AX2" t="str">
            <v>Culm height(3</v>
          </cell>
          <cell r="AY2" t="str">
            <v>Basal area (b.a.)</v>
          </cell>
          <cell r="BA2" t="str">
            <v>Leaf area index (Fisheye lens)</v>
          </cell>
          <cell r="BL2" t="str">
            <v>Foliages</v>
          </cell>
          <cell r="BP2" t="str">
            <v>Root_Shoot Ratio</v>
          </cell>
          <cell r="BT2" t="str">
            <v>BGC</v>
          </cell>
          <cell r="BZ2" t="str">
            <v>LNP</v>
          </cell>
          <cell r="CD2" t="str">
            <v>ANPP</v>
          </cell>
          <cell r="CH2" t="str">
            <v>BNPP</v>
          </cell>
          <cell r="CJ2" t="str">
            <v>SR</v>
          </cell>
          <cell r="CK2" t="str">
            <v>HR</v>
          </cell>
        </row>
        <row r="3">
          <cell r="AV3" t="str">
            <v>culm ha-1</v>
          </cell>
          <cell r="AW3" t="str">
            <v>cm</v>
          </cell>
          <cell r="AX3" t="str">
            <v>m</v>
          </cell>
          <cell r="BT3" t="str">
            <v>Mg C ha-1</v>
          </cell>
        </row>
        <row r="4">
          <cell r="A4" t="str">
            <v>China</v>
          </cell>
          <cell r="N4">
            <v>19.3</v>
          </cell>
          <cell r="P4">
            <v>1700</v>
          </cell>
          <cell r="AV4">
            <v>3430</v>
          </cell>
          <cell r="BO4">
            <v>35.275750000000002</v>
          </cell>
          <cell r="BP4">
            <v>0.34228187919463082</v>
          </cell>
          <cell r="BT4">
            <v>12.074249999999999</v>
          </cell>
          <cell r="CC4">
            <v>1.63</v>
          </cell>
        </row>
        <row r="5">
          <cell r="N5">
            <v>19.3</v>
          </cell>
          <cell r="P5">
            <v>1700</v>
          </cell>
          <cell r="AV5">
            <v>3800</v>
          </cell>
          <cell r="BO5">
            <v>38.702750000000002</v>
          </cell>
          <cell r="BP5">
            <v>0.34228187919463088</v>
          </cell>
          <cell r="BT5">
            <v>13.247250000000001</v>
          </cell>
          <cell r="CC5">
            <v>1.58</v>
          </cell>
        </row>
        <row r="6">
          <cell r="N6">
            <v>12.8</v>
          </cell>
          <cell r="P6">
            <v>2678.8</v>
          </cell>
          <cell r="BO6">
            <v>35.799999999999997</v>
          </cell>
          <cell r="BP6">
            <v>0.85474860335195546</v>
          </cell>
          <cell r="BT6">
            <v>30.6</v>
          </cell>
          <cell r="CC6">
            <v>0.8982</v>
          </cell>
          <cell r="CD6">
            <v>8.9622499999999992</v>
          </cell>
        </row>
        <row r="7">
          <cell r="N7">
            <v>19.3</v>
          </cell>
          <cell r="P7">
            <v>1700</v>
          </cell>
          <cell r="AV7">
            <v>3330</v>
          </cell>
          <cell r="BO7">
            <v>43.731499999999997</v>
          </cell>
          <cell r="BP7">
            <v>0.34228187919463093</v>
          </cell>
          <cell r="BT7">
            <v>14.968500000000001</v>
          </cell>
          <cell r="CC7">
            <v>1.71</v>
          </cell>
        </row>
        <row r="8">
          <cell r="N8">
            <v>23</v>
          </cell>
          <cell r="P8">
            <v>2000</v>
          </cell>
          <cell r="AV8">
            <v>2566.67</v>
          </cell>
          <cell r="AW8">
            <v>12</v>
          </cell>
          <cell r="AY8">
            <v>29.028353818281531</v>
          </cell>
          <cell r="BL8">
            <v>2.4125000000000001</v>
          </cell>
          <cell r="BO8">
            <v>36.363150000000005</v>
          </cell>
          <cell r="BP8">
            <v>0.25643267978709211</v>
          </cell>
          <cell r="BT8">
            <v>9.3247</v>
          </cell>
        </row>
        <row r="9">
          <cell r="N9">
            <v>23</v>
          </cell>
          <cell r="P9">
            <v>2000</v>
          </cell>
          <cell r="AV9">
            <v>2770.33</v>
          </cell>
          <cell r="AW9">
            <v>11.5</v>
          </cell>
          <cell r="AY9">
            <v>28.775114943214181</v>
          </cell>
          <cell r="BL9">
            <v>3.2685</v>
          </cell>
          <cell r="BO9">
            <v>52.552999999999997</v>
          </cell>
          <cell r="BP9">
            <v>0.36447015393983223</v>
          </cell>
          <cell r="BT9">
            <v>19.154000000000003</v>
          </cell>
          <cell r="BZ9">
            <v>2.9430000000000001</v>
          </cell>
          <cell r="CD9">
            <v>23.355025000000001</v>
          </cell>
          <cell r="CH9">
            <v>6.53803</v>
          </cell>
        </row>
        <row r="10">
          <cell r="N10">
            <v>23</v>
          </cell>
          <cell r="P10">
            <v>2000</v>
          </cell>
          <cell r="AV10">
            <v>2833.33</v>
          </cell>
          <cell r="AW10">
            <v>12</v>
          </cell>
          <cell r="AY10">
            <v>32.044207367504043</v>
          </cell>
          <cell r="BL10">
            <v>2.5648</v>
          </cell>
          <cell r="BO10">
            <v>40.903100000000002</v>
          </cell>
          <cell r="BP10">
            <v>0.23887798235341573</v>
          </cell>
          <cell r="BT10">
            <v>9.7708499999999994</v>
          </cell>
        </row>
        <row r="11">
          <cell r="N11">
            <v>23</v>
          </cell>
          <cell r="P11">
            <v>2000</v>
          </cell>
          <cell r="AV11">
            <v>2629</v>
          </cell>
          <cell r="AW11">
            <v>10</v>
          </cell>
          <cell r="AY11">
            <v>20.648117715718918</v>
          </cell>
          <cell r="BL11">
            <v>1.52125</v>
          </cell>
          <cell r="BO11">
            <v>24.491849999999999</v>
          </cell>
          <cell r="BP11">
            <v>0.23912648493274294</v>
          </cell>
          <cell r="BT11">
            <v>5.8566500000000001</v>
          </cell>
        </row>
        <row r="12">
          <cell r="N12">
            <v>16.899999999999999</v>
          </cell>
          <cell r="P12">
            <v>1429.5</v>
          </cell>
          <cell r="Y12">
            <v>2.0299999999999998</v>
          </cell>
          <cell r="AW12">
            <v>8.3000000000000007</v>
          </cell>
          <cell r="AX12">
            <v>13.1</v>
          </cell>
          <cell r="BO12">
            <v>20.0305</v>
          </cell>
          <cell r="CC12">
            <v>1.9245000000000001</v>
          </cell>
        </row>
        <row r="13">
          <cell r="N13">
            <v>16.899999999999999</v>
          </cell>
          <cell r="P13">
            <v>1429.5</v>
          </cell>
          <cell r="Y13">
            <v>1.1200000000000001</v>
          </cell>
          <cell r="AW13">
            <v>8.8000000000000007</v>
          </cell>
          <cell r="AX13">
            <v>12.3</v>
          </cell>
          <cell r="BO13">
            <v>17.106999999999999</v>
          </cell>
          <cell r="CC13">
            <v>1.2304999999999999</v>
          </cell>
        </row>
        <row r="14">
          <cell r="N14">
            <v>16.899999999999999</v>
          </cell>
          <cell r="P14">
            <v>1429.5</v>
          </cell>
          <cell r="Y14">
            <v>1.33</v>
          </cell>
          <cell r="AW14">
            <v>8.1999999999999993</v>
          </cell>
          <cell r="AX14">
            <v>11.1</v>
          </cell>
          <cell r="BO14">
            <v>14.288500000000001</v>
          </cell>
          <cell r="BP14">
            <v>0.27361164572908281</v>
          </cell>
          <cell r="BT14">
            <v>3.9095</v>
          </cell>
          <cell r="CC14">
            <v>2.0089999999999999</v>
          </cell>
        </row>
        <row r="15">
          <cell r="N15">
            <v>16.5</v>
          </cell>
          <cell r="P15">
            <v>1300</v>
          </cell>
          <cell r="Y15">
            <v>1.33</v>
          </cell>
          <cell r="CC15">
            <v>1.1100000000000001</v>
          </cell>
          <cell r="CD15">
            <v>9.3999999999999986</v>
          </cell>
          <cell r="CH15">
            <v>0.96</v>
          </cell>
          <cell r="CJ15">
            <v>9.256636363636364</v>
          </cell>
          <cell r="CK15">
            <v>5.5063636363636368</v>
          </cell>
        </row>
        <row r="16">
          <cell r="N16">
            <v>16.75</v>
          </cell>
          <cell r="P16">
            <v>1590.9</v>
          </cell>
          <cell r="AV16">
            <v>3000</v>
          </cell>
          <cell r="AW16">
            <v>9.5</v>
          </cell>
          <cell r="AY16">
            <v>21.264655273985909</v>
          </cell>
          <cell r="BO16">
            <v>21.759872780280947</v>
          </cell>
        </row>
        <row r="17">
          <cell r="N17">
            <v>16.809999999999999</v>
          </cell>
          <cell r="P17">
            <v>1446.6</v>
          </cell>
          <cell r="BO17">
            <v>52.88</v>
          </cell>
          <cell r="BP17">
            <v>0.63350983358547652</v>
          </cell>
          <cell r="BT17">
            <v>33.5</v>
          </cell>
        </row>
        <row r="18">
          <cell r="N18">
            <v>15.2</v>
          </cell>
          <cell r="P18">
            <v>1410</v>
          </cell>
          <cell r="BO18">
            <v>48.27</v>
          </cell>
          <cell r="BP18">
            <v>0.48839859125750978</v>
          </cell>
          <cell r="BT18">
            <v>23.574999999999999</v>
          </cell>
        </row>
        <row r="19">
          <cell r="N19">
            <v>18.649999999999999</v>
          </cell>
          <cell r="P19">
            <v>1177</v>
          </cell>
          <cell r="BO19">
            <v>22.39</v>
          </cell>
          <cell r="BP19">
            <v>0.47543546225993744</v>
          </cell>
          <cell r="BT19">
            <v>10.645</v>
          </cell>
        </row>
        <row r="20">
          <cell r="N20">
            <v>23</v>
          </cell>
          <cell r="P20">
            <v>2000</v>
          </cell>
          <cell r="BO20">
            <v>32.36</v>
          </cell>
          <cell r="BP20">
            <v>0.57586526576019781</v>
          </cell>
          <cell r="BT20">
            <v>18.635000000000002</v>
          </cell>
        </row>
        <row r="21">
          <cell r="N21">
            <v>16.600000000000001</v>
          </cell>
          <cell r="P21">
            <v>1550</v>
          </cell>
          <cell r="AV21">
            <v>2734</v>
          </cell>
          <cell r="AW21">
            <v>11.45</v>
          </cell>
          <cell r="AY21">
            <v>28.151358986776938</v>
          </cell>
          <cell r="BO21">
            <v>23.718</v>
          </cell>
        </row>
        <row r="22">
          <cell r="N22">
            <v>15.6</v>
          </cell>
          <cell r="P22">
            <v>1400</v>
          </cell>
          <cell r="AV22">
            <v>3129</v>
          </cell>
          <cell r="AW22">
            <v>9.09</v>
          </cell>
          <cell r="AY22">
            <v>20.305945253512977</v>
          </cell>
          <cell r="BO22">
            <v>18.899999999999999</v>
          </cell>
        </row>
        <row r="23">
          <cell r="N23">
            <v>15.6</v>
          </cell>
          <cell r="P23">
            <v>1400</v>
          </cell>
          <cell r="AV23">
            <v>3555</v>
          </cell>
          <cell r="AW23">
            <v>9.73</v>
          </cell>
          <cell r="AY23">
            <v>26.433530194037907</v>
          </cell>
          <cell r="BO23">
            <v>24.75</v>
          </cell>
        </row>
        <row r="24">
          <cell r="N24">
            <v>15.6</v>
          </cell>
          <cell r="P24">
            <v>1400</v>
          </cell>
          <cell r="AV24">
            <v>3182</v>
          </cell>
          <cell r="AW24">
            <v>9.35</v>
          </cell>
          <cell r="AY24">
            <v>21.848080052984994</v>
          </cell>
          <cell r="BO24">
            <v>20.76</v>
          </cell>
        </row>
        <row r="25">
          <cell r="N25">
            <v>15.9</v>
          </cell>
          <cell r="P25">
            <v>1424</v>
          </cell>
          <cell r="AV25">
            <v>3272.2222222222222</v>
          </cell>
          <cell r="AW25">
            <v>9.2111111111111104</v>
          </cell>
          <cell r="AY25">
            <v>21.805031242491747</v>
          </cell>
          <cell r="BO25">
            <v>20.353999999999999</v>
          </cell>
        </row>
        <row r="26">
          <cell r="N26">
            <v>15.6</v>
          </cell>
          <cell r="P26">
            <v>1420</v>
          </cell>
          <cell r="BO26">
            <v>27</v>
          </cell>
          <cell r="BT26">
            <v>19</v>
          </cell>
          <cell r="CD26">
            <v>4.17</v>
          </cell>
          <cell r="CH26">
            <v>3.11</v>
          </cell>
          <cell r="CK26">
            <v>0.51</v>
          </cell>
        </row>
        <row r="27">
          <cell r="N27">
            <v>15.6</v>
          </cell>
          <cell r="P27">
            <v>1420</v>
          </cell>
          <cell r="BO27">
            <v>33</v>
          </cell>
          <cell r="BT27">
            <v>24</v>
          </cell>
          <cell r="CD27">
            <v>5.08</v>
          </cell>
          <cell r="CH27">
            <v>4.0199999999999996</v>
          </cell>
          <cell r="CK27">
            <v>1.0900000000000001</v>
          </cell>
        </row>
        <row r="28">
          <cell r="P28">
            <v>1420</v>
          </cell>
          <cell r="BO28">
            <v>35.1</v>
          </cell>
          <cell r="BT28">
            <v>26.1</v>
          </cell>
          <cell r="CD28">
            <v>5.46</v>
          </cell>
          <cell r="CH28">
            <v>4.34</v>
          </cell>
          <cell r="CK28">
            <v>1.37</v>
          </cell>
        </row>
        <row r="29">
          <cell r="P29">
            <v>1420</v>
          </cell>
          <cell r="BO29">
            <v>37.700000000000003</v>
          </cell>
          <cell r="BT29">
            <v>26</v>
          </cell>
          <cell r="CD29">
            <v>5.76</v>
          </cell>
          <cell r="CH29">
            <v>4.33</v>
          </cell>
          <cell r="CK29">
            <v>1.29</v>
          </cell>
        </row>
        <row r="30">
          <cell r="P30">
            <v>1800</v>
          </cell>
          <cell r="AV30">
            <v>3750</v>
          </cell>
          <cell r="BL30">
            <v>2.157</v>
          </cell>
          <cell r="BO30">
            <v>58.127000000000002</v>
          </cell>
          <cell r="BP30">
            <v>0.56884064204242424</v>
          </cell>
          <cell r="BT30">
            <v>33.064999999999998</v>
          </cell>
          <cell r="CD30">
            <v>5.5383499999999994</v>
          </cell>
        </row>
        <row r="31">
          <cell r="P31">
            <v>1800</v>
          </cell>
          <cell r="AV31">
            <v>2700</v>
          </cell>
          <cell r="BL31">
            <v>1.4430000000000003</v>
          </cell>
          <cell r="BO31">
            <v>26.544499999999999</v>
          </cell>
          <cell r="BT31">
            <v>33.515499999999996</v>
          </cell>
          <cell r="CD31">
            <v>2.8555625</v>
          </cell>
        </row>
        <row r="32">
          <cell r="A32" t="str">
            <v>Japan</v>
          </cell>
          <cell r="N32">
            <v>14.8</v>
          </cell>
          <cell r="P32">
            <v>1451.4</v>
          </cell>
          <cell r="AV32">
            <v>2660</v>
          </cell>
          <cell r="AW32">
            <v>8.1999999999999993</v>
          </cell>
          <cell r="AY32">
            <v>14.047505886820614</v>
          </cell>
          <cell r="BL32">
            <v>0.64500000000000002</v>
          </cell>
          <cell r="BO32">
            <v>15.704999999999998</v>
          </cell>
          <cell r="BP32">
            <v>1.1464501751034704</v>
          </cell>
          <cell r="BT32">
            <v>18.004999999999999</v>
          </cell>
          <cell r="CC32">
            <v>3.5950000000000002</v>
          </cell>
        </row>
        <row r="33">
          <cell r="N33">
            <v>14.8</v>
          </cell>
          <cell r="P33">
            <v>1451.4</v>
          </cell>
          <cell r="AV33">
            <v>4790</v>
          </cell>
          <cell r="AW33">
            <v>11.2</v>
          </cell>
          <cell r="AY33">
            <v>47.191245550339858</v>
          </cell>
          <cell r="BL33">
            <v>2.0299999999999998</v>
          </cell>
          <cell r="BO33">
            <v>53.58</v>
          </cell>
          <cell r="BP33">
            <v>0.63176558417319884</v>
          </cell>
          <cell r="BT33">
            <v>33.849999999999994</v>
          </cell>
          <cell r="CC33">
            <v>1.5149999999999999</v>
          </cell>
        </row>
        <row r="34">
          <cell r="N34">
            <v>14.8</v>
          </cell>
          <cell r="P34">
            <v>1451.4</v>
          </cell>
          <cell r="AV34">
            <v>2400</v>
          </cell>
          <cell r="AW34">
            <v>10.1</v>
          </cell>
          <cell r="AY34">
            <v>19.228431995561689</v>
          </cell>
          <cell r="BL34">
            <v>0.84499999999999997</v>
          </cell>
          <cell r="BO34">
            <v>21.814999999999998</v>
          </cell>
          <cell r="BP34">
            <v>1.3183589273435712</v>
          </cell>
          <cell r="BT34">
            <v>28.76</v>
          </cell>
          <cell r="CC34">
            <v>2.63</v>
          </cell>
        </row>
        <row r="35">
          <cell r="N35">
            <v>16.087499999999999</v>
          </cell>
          <cell r="P35">
            <v>1556.5</v>
          </cell>
          <cell r="AV35">
            <v>7351.333333333333</v>
          </cell>
          <cell r="AW35">
            <v>11.088691393851455</v>
          </cell>
          <cell r="AX35">
            <v>15.621379341616034</v>
          </cell>
          <cell r="AY35">
            <v>70.993173583070003</v>
          </cell>
          <cell r="BO35">
            <v>87.083333333333329</v>
          </cell>
        </row>
        <row r="36">
          <cell r="N36">
            <v>11.3</v>
          </cell>
          <cell r="P36">
            <v>3244</v>
          </cell>
          <cell r="AV36">
            <v>12500</v>
          </cell>
          <cell r="AW36">
            <v>3.3759999999999999</v>
          </cell>
          <cell r="AY36">
            <v>11.189347722437693</v>
          </cell>
          <cell r="BO36">
            <v>11.654999999999999</v>
          </cell>
          <cell r="BP36">
            <v>1.5096525096525097</v>
          </cell>
          <cell r="BT36">
            <v>17.594999999999999</v>
          </cell>
        </row>
        <row r="37">
          <cell r="N37">
            <v>16.177083333333332</v>
          </cell>
          <cell r="P37">
            <v>1759.125</v>
          </cell>
          <cell r="AV37">
            <v>3240</v>
          </cell>
          <cell r="AW37">
            <v>8.1999999999999993</v>
          </cell>
          <cell r="AY37">
            <v>17.110495892217592</v>
          </cell>
          <cell r="BO37">
            <v>22.6</v>
          </cell>
          <cell r="BP37">
            <v>1.5088495575221239</v>
          </cell>
          <cell r="BT37">
            <v>34.1</v>
          </cell>
          <cell r="CC37">
            <v>2.8</v>
          </cell>
        </row>
        <row r="38">
          <cell r="N38">
            <v>16.177083333333332</v>
          </cell>
          <cell r="P38">
            <v>1759.125</v>
          </cell>
          <cell r="AV38">
            <v>8200</v>
          </cell>
          <cell r="AW38">
            <v>7.5</v>
          </cell>
          <cell r="AY38">
            <v>36.226490286707303</v>
          </cell>
          <cell r="BO38">
            <v>39.700000000000003</v>
          </cell>
          <cell r="BP38">
            <v>1.1435768261964734</v>
          </cell>
          <cell r="BT38">
            <v>45.4</v>
          </cell>
          <cell r="CC38">
            <v>4.7</v>
          </cell>
        </row>
        <row r="39">
          <cell r="N39">
            <v>13.062499999999995</v>
          </cell>
          <cell r="P39">
            <v>3462.5</v>
          </cell>
          <cell r="AV39">
            <v>8125</v>
          </cell>
          <cell r="AW39">
            <v>5.0999999999999996</v>
          </cell>
          <cell r="AY39">
            <v>16.597917561848696</v>
          </cell>
          <cell r="BO39">
            <v>20.5</v>
          </cell>
          <cell r="BP39">
            <v>2.1804878048780485</v>
          </cell>
          <cell r="BT39">
            <v>44.699999999999996</v>
          </cell>
          <cell r="CC39">
            <v>10.5</v>
          </cell>
        </row>
        <row r="40">
          <cell r="N40">
            <v>17.5</v>
          </cell>
          <cell r="P40">
            <v>2719</v>
          </cell>
          <cell r="AV40">
            <v>8588.5</v>
          </cell>
          <cell r="AW40">
            <v>12</v>
          </cell>
          <cell r="AY40">
            <v>97.133646619281379</v>
          </cell>
          <cell r="BA40">
            <v>6.9</v>
          </cell>
          <cell r="BO40">
            <v>92.5</v>
          </cell>
          <cell r="CC40">
            <v>2.1</v>
          </cell>
        </row>
        <row r="41">
          <cell r="N41">
            <v>16.75</v>
          </cell>
          <cell r="P41">
            <v>1086.5</v>
          </cell>
          <cell r="BO41">
            <v>84.2</v>
          </cell>
          <cell r="CC41">
            <v>3.49</v>
          </cell>
        </row>
        <row r="42">
          <cell r="N42">
            <v>16.75</v>
          </cell>
          <cell r="P42">
            <v>1086.5</v>
          </cell>
          <cell r="BO42">
            <v>92.3</v>
          </cell>
          <cell r="CC42">
            <v>3.976</v>
          </cell>
        </row>
        <row r="43">
          <cell r="N43">
            <v>16.258333333333336</v>
          </cell>
          <cell r="P43">
            <v>1831.5</v>
          </cell>
          <cell r="AV43">
            <v>5565</v>
          </cell>
          <cell r="AW43">
            <v>13.4</v>
          </cell>
          <cell r="AX43">
            <v>18</v>
          </cell>
          <cell r="AY43">
            <v>79.900000000000006</v>
          </cell>
          <cell r="BO43">
            <v>66.657499999999999</v>
          </cell>
          <cell r="CD43">
            <v>5.8574999999999999</v>
          </cell>
        </row>
        <row r="44">
          <cell r="N44">
            <v>18.108333333333331</v>
          </cell>
          <cell r="P44">
            <v>1818.5</v>
          </cell>
          <cell r="AV44">
            <v>5230</v>
          </cell>
          <cell r="AW44">
            <v>10.4</v>
          </cell>
          <cell r="AX44">
            <v>13.5</v>
          </cell>
          <cell r="AY44">
            <v>45.7</v>
          </cell>
          <cell r="BO44">
            <v>41.41</v>
          </cell>
          <cell r="CD44">
            <v>6.07</v>
          </cell>
        </row>
        <row r="45">
          <cell r="N45">
            <v>17.633333333333333</v>
          </cell>
          <cell r="P45">
            <v>2057.3000000000002</v>
          </cell>
          <cell r="AV45">
            <v>5293.333333333333</v>
          </cell>
          <cell r="AW45">
            <v>12.333333333333334</v>
          </cell>
          <cell r="AX45">
            <v>16.933333333333334</v>
          </cell>
          <cell r="AY45">
            <v>65.333333333333329</v>
          </cell>
          <cell r="BO45">
            <v>55.196666666666665</v>
          </cell>
          <cell r="CD45">
            <v>0.54666666666666663</v>
          </cell>
        </row>
        <row r="46">
          <cell r="N46">
            <v>15.9</v>
          </cell>
          <cell r="P46">
            <v>1833</v>
          </cell>
          <cell r="AV46">
            <v>10200</v>
          </cell>
          <cell r="AW46">
            <v>9.3000000000000007</v>
          </cell>
          <cell r="AY46">
            <v>74.5</v>
          </cell>
          <cell r="BO46">
            <v>92.825000000000003</v>
          </cell>
        </row>
        <row r="47">
          <cell r="N47">
            <v>15.9</v>
          </cell>
          <cell r="P47">
            <v>1833</v>
          </cell>
          <cell r="AV47">
            <v>8250</v>
          </cell>
          <cell r="AW47">
            <v>11.35</v>
          </cell>
          <cell r="AY47">
            <v>86.2</v>
          </cell>
          <cell r="BO47">
            <v>110.675</v>
          </cell>
        </row>
        <row r="48">
          <cell r="N48">
            <v>15.375</v>
          </cell>
          <cell r="P48">
            <v>1487.6</v>
          </cell>
          <cell r="AV48">
            <v>3000</v>
          </cell>
          <cell r="BL48">
            <v>11.4</v>
          </cell>
          <cell r="BO48">
            <v>40.15</v>
          </cell>
          <cell r="BZ48">
            <v>2.2800000000000002</v>
          </cell>
          <cell r="CC48">
            <v>3.1054999999999997</v>
          </cell>
          <cell r="CD48">
            <v>8.0299999999999994</v>
          </cell>
        </row>
        <row r="49">
          <cell r="N49">
            <v>15.304169999999999</v>
          </cell>
          <cell r="P49">
            <v>1380.5</v>
          </cell>
          <cell r="AV49">
            <v>7318.666666666667</v>
          </cell>
          <cell r="AW49">
            <v>10.4</v>
          </cell>
          <cell r="AY49">
            <v>60.666666666666664</v>
          </cell>
        </row>
        <row r="50">
          <cell r="N50">
            <v>16.100000000000001</v>
          </cell>
          <cell r="P50">
            <v>1457.5</v>
          </cell>
          <cell r="AV50">
            <v>5400</v>
          </cell>
          <cell r="AW50">
            <v>8</v>
          </cell>
          <cell r="AX50">
            <v>12.1</v>
          </cell>
          <cell r="AY50">
            <v>27.143360527015815</v>
          </cell>
          <cell r="BO50">
            <v>62.64</v>
          </cell>
        </row>
        <row r="51">
          <cell r="N51">
            <v>16.91</v>
          </cell>
          <cell r="P51">
            <v>1407.5</v>
          </cell>
          <cell r="AV51">
            <v>9184</v>
          </cell>
          <cell r="AW51">
            <v>9.6999999999999993</v>
          </cell>
          <cell r="AY51">
            <v>69.7</v>
          </cell>
          <cell r="BL51">
            <v>1.7</v>
          </cell>
          <cell r="BO51">
            <v>68.400000000000006</v>
          </cell>
          <cell r="BP51">
            <v>0.36</v>
          </cell>
          <cell r="BT51">
            <v>24.6</v>
          </cell>
        </row>
        <row r="52">
          <cell r="N52">
            <v>15</v>
          </cell>
          <cell r="P52">
            <v>1600</v>
          </cell>
          <cell r="AV52">
            <v>6133.333333333333</v>
          </cell>
          <cell r="AW52">
            <v>8.9333333333333336</v>
          </cell>
          <cell r="AX52">
            <v>12.833333333333334</v>
          </cell>
          <cell r="AY52">
            <v>38.442668646540483</v>
          </cell>
          <cell r="BL52">
            <v>1.55</v>
          </cell>
          <cell r="BO52">
            <v>25.5</v>
          </cell>
          <cell r="BZ52">
            <v>1.55</v>
          </cell>
          <cell r="CC52">
            <v>5.2</v>
          </cell>
          <cell r="CD52">
            <v>25.5</v>
          </cell>
          <cell r="CH52">
            <v>3.3333333333333339</v>
          </cell>
        </row>
        <row r="53">
          <cell r="N53">
            <v>15.375</v>
          </cell>
          <cell r="P53">
            <v>1487.6</v>
          </cell>
          <cell r="AV53">
            <v>7200</v>
          </cell>
          <cell r="BL53">
            <v>14.2</v>
          </cell>
          <cell r="BO53">
            <v>60.75</v>
          </cell>
          <cell r="BZ53">
            <v>2.84</v>
          </cell>
          <cell r="CC53">
            <v>3.2167499999999993</v>
          </cell>
          <cell r="CD53">
            <v>7.8599999999999994</v>
          </cell>
        </row>
        <row r="54">
          <cell r="N54">
            <v>15.304169999999999</v>
          </cell>
          <cell r="P54">
            <v>1380.5</v>
          </cell>
          <cell r="AV54">
            <v>5981.8</v>
          </cell>
          <cell r="AW54">
            <v>12.66</v>
          </cell>
          <cell r="AY54">
            <v>66.08</v>
          </cell>
        </row>
        <row r="55">
          <cell r="N55">
            <v>15.304169999999999</v>
          </cell>
          <cell r="P55">
            <v>1380.5</v>
          </cell>
          <cell r="AV55">
            <v>5181</v>
          </cell>
          <cell r="AW55">
            <v>12.7</v>
          </cell>
          <cell r="AY55">
            <v>57.6</v>
          </cell>
        </row>
        <row r="56">
          <cell r="N56">
            <v>15.39167</v>
          </cell>
          <cell r="P56">
            <v>1928</v>
          </cell>
          <cell r="AV56">
            <v>7200</v>
          </cell>
          <cell r="AW56">
            <v>9.6</v>
          </cell>
          <cell r="AX56">
            <v>13.6</v>
          </cell>
          <cell r="AY56">
            <v>53.9</v>
          </cell>
          <cell r="BA56">
            <v>11.9</v>
          </cell>
          <cell r="BL56">
            <v>2.65</v>
          </cell>
          <cell r="BO56">
            <v>47.55</v>
          </cell>
        </row>
        <row r="57">
          <cell r="N57">
            <v>15.375</v>
          </cell>
          <cell r="P57">
            <v>1487.6</v>
          </cell>
          <cell r="AV57">
            <v>8000</v>
          </cell>
          <cell r="BL57">
            <v>21.5258</v>
          </cell>
          <cell r="BO57">
            <v>105.33180000000002</v>
          </cell>
          <cell r="BZ57">
            <v>3.7600000000000002</v>
          </cell>
          <cell r="CC57">
            <v>7.35</v>
          </cell>
          <cell r="CD57">
            <v>9.11</v>
          </cell>
        </row>
        <row r="58">
          <cell r="N58">
            <v>15.3</v>
          </cell>
          <cell r="P58">
            <v>1581</v>
          </cell>
          <cell r="AV58">
            <v>7100</v>
          </cell>
          <cell r="AW58">
            <v>11.3</v>
          </cell>
          <cell r="AY58">
            <v>71.204118953796325</v>
          </cell>
          <cell r="BL58">
            <v>2.7258000000000004</v>
          </cell>
          <cell r="BO58">
            <v>65.68180000000001</v>
          </cell>
          <cell r="BP58">
            <v>0.2842416011741456</v>
          </cell>
          <cell r="BT58">
            <v>18.669499999999999</v>
          </cell>
          <cell r="BZ58">
            <v>3.05</v>
          </cell>
          <cell r="CC58">
            <v>3.3</v>
          </cell>
          <cell r="CD58">
            <v>11.8</v>
          </cell>
          <cell r="CH58">
            <v>11</v>
          </cell>
          <cell r="CJ58">
            <v>14.263636363636362</v>
          </cell>
          <cell r="CK58">
            <v>13.299999999999999</v>
          </cell>
        </row>
        <row r="59">
          <cell r="N59">
            <v>16.058330000000002</v>
          </cell>
          <cell r="P59">
            <v>953</v>
          </cell>
          <cell r="AV59">
            <v>8133</v>
          </cell>
          <cell r="AW59">
            <v>12.723791958686832</v>
          </cell>
          <cell r="AX59">
            <v>18.436493298905692</v>
          </cell>
          <cell r="AY59">
            <v>103.41267510803563</v>
          </cell>
          <cell r="BL59">
            <v>2.9</v>
          </cell>
          <cell r="BO59">
            <v>108.60000000000001</v>
          </cell>
        </row>
        <row r="60">
          <cell r="N60">
            <v>16.175000000000001</v>
          </cell>
          <cell r="P60">
            <v>1568</v>
          </cell>
          <cell r="AV60">
            <v>7967</v>
          </cell>
          <cell r="AW60">
            <v>12.70419229320949</v>
          </cell>
          <cell r="AX60">
            <v>18.404192293209491</v>
          </cell>
          <cell r="AY60">
            <v>100.99010318518286</v>
          </cell>
          <cell r="BL60">
            <v>2.95</v>
          </cell>
          <cell r="BO60">
            <v>108.64999999999999</v>
          </cell>
        </row>
        <row r="61">
          <cell r="N61">
            <v>16.516670000000001</v>
          </cell>
          <cell r="P61">
            <v>1234</v>
          </cell>
          <cell r="AV61">
            <v>8133</v>
          </cell>
          <cell r="AW61">
            <v>12.700000000000001</v>
          </cell>
          <cell r="AX61">
            <v>18.404094430099594</v>
          </cell>
          <cell r="AY61">
            <v>103.02629818749874</v>
          </cell>
          <cell r="BL61">
            <v>2.95</v>
          </cell>
          <cell r="BO61">
            <v>109.9</v>
          </cell>
          <cell r="BZ61">
            <v>0</v>
          </cell>
          <cell r="CD61">
            <v>1.2500000000000142</v>
          </cell>
        </row>
        <row r="62">
          <cell r="N62">
            <v>16.033329999999999</v>
          </cell>
          <cell r="P62">
            <v>1606</v>
          </cell>
          <cell r="AV62">
            <v>8300</v>
          </cell>
          <cell r="AW62">
            <v>12.651361445783131</v>
          </cell>
          <cell r="AX62">
            <v>18.451361445783132</v>
          </cell>
          <cell r="AY62">
            <v>104.33799836625894</v>
          </cell>
          <cell r="BL62">
            <v>3.05</v>
          </cell>
          <cell r="BO62">
            <v>112.02500000000001</v>
          </cell>
          <cell r="BZ62">
            <v>9.9999999999999645E-2</v>
          </cell>
          <cell r="CD62">
            <v>2.125</v>
          </cell>
        </row>
        <row r="63">
          <cell r="N63">
            <v>15.3</v>
          </cell>
          <cell r="P63">
            <v>1459</v>
          </cell>
          <cell r="AV63">
            <v>9675</v>
          </cell>
          <cell r="AW63">
            <v>10.52</v>
          </cell>
          <cell r="AY63">
            <v>88.3</v>
          </cell>
          <cell r="BL63">
            <v>2.1</v>
          </cell>
          <cell r="BO63">
            <v>84.9</v>
          </cell>
          <cell r="BP63">
            <v>0.65842167255594808</v>
          </cell>
          <cell r="BT63">
            <v>55.9</v>
          </cell>
        </row>
        <row r="64">
          <cell r="P64">
            <v>2075</v>
          </cell>
          <cell r="AV64">
            <v>14867</v>
          </cell>
          <cell r="AW64">
            <v>5.9</v>
          </cell>
          <cell r="AX64">
            <v>9.5</v>
          </cell>
          <cell r="AY64">
            <v>46.4</v>
          </cell>
          <cell r="BL64">
            <v>2.2799999999999998</v>
          </cell>
          <cell r="BO64">
            <v>43.930000000000007</v>
          </cell>
          <cell r="BZ64">
            <v>2.835</v>
          </cell>
          <cell r="CC64">
            <v>3.7250000000000001</v>
          </cell>
          <cell r="CD64">
            <v>9.370000000000001</v>
          </cell>
        </row>
        <row r="65">
          <cell r="A65" t="str">
            <v>Korea</v>
          </cell>
          <cell r="N65">
            <v>13.1</v>
          </cell>
          <cell r="P65">
            <v>1512</v>
          </cell>
          <cell r="Y65">
            <v>0.21500000000000002</v>
          </cell>
          <cell r="AV65">
            <v>4633</v>
          </cell>
          <cell r="AW65">
            <v>10.8</v>
          </cell>
          <cell r="AY65">
            <v>42.442376396061697</v>
          </cell>
          <cell r="BL65">
            <v>1.738</v>
          </cell>
          <cell r="BO65">
            <v>26.331600000000002</v>
          </cell>
          <cell r="BP65">
            <v>9.2235185100791442E-2</v>
          </cell>
          <cell r="BT65">
            <v>2.4287000000000001</v>
          </cell>
        </row>
        <row r="66">
          <cell r="N66">
            <v>13.15</v>
          </cell>
          <cell r="P66">
            <v>1503</v>
          </cell>
          <cell r="Y66">
            <v>0.97</v>
          </cell>
          <cell r="AV66">
            <v>6133</v>
          </cell>
          <cell r="AW66">
            <v>8.3000000000000007</v>
          </cell>
          <cell r="AX66">
            <v>12</v>
          </cell>
          <cell r="AY66">
            <v>33.183258542906927</v>
          </cell>
          <cell r="BL66">
            <v>8.1449999999999996</v>
          </cell>
          <cell r="BO66">
            <v>34.825000000000003</v>
          </cell>
          <cell r="BP66">
            <v>0.3043790380473797</v>
          </cell>
          <cell r="BT66">
            <v>10.6</v>
          </cell>
        </row>
        <row r="67">
          <cell r="N67">
            <v>13.1</v>
          </cell>
          <cell r="P67">
            <v>1512</v>
          </cell>
          <cell r="Y67">
            <v>0.2</v>
          </cell>
          <cell r="AV67">
            <v>6833</v>
          </cell>
          <cell r="AW67">
            <v>10.7</v>
          </cell>
          <cell r="AY67">
            <v>61.442497072514541</v>
          </cell>
          <cell r="BL67">
            <v>2.9476</v>
          </cell>
          <cell r="BO67">
            <v>48.900399999999998</v>
          </cell>
          <cell r="BP67">
            <v>0.15130142084727324</v>
          </cell>
          <cell r="BT67">
            <v>7.3986999999999998</v>
          </cell>
        </row>
        <row r="68">
          <cell r="P68">
            <v>1503</v>
          </cell>
          <cell r="Y68">
            <v>0.97</v>
          </cell>
          <cell r="AV68">
            <v>3050</v>
          </cell>
          <cell r="AW68">
            <v>8.9</v>
          </cell>
          <cell r="AX68">
            <v>13.2</v>
          </cell>
          <cell r="AY68">
            <v>18.974473499427123</v>
          </cell>
          <cell r="BL68">
            <v>4.0049999999999999</v>
          </cell>
          <cell r="BO68">
            <v>28.885000000000002</v>
          </cell>
          <cell r="BP68">
            <v>0.92348970053661072</v>
          </cell>
          <cell r="BT68">
            <v>26.675000000000001</v>
          </cell>
        </row>
        <row r="69">
          <cell r="Y69">
            <v>0.34200000000000003</v>
          </cell>
          <cell r="AV69">
            <v>7500</v>
          </cell>
          <cell r="AW69">
            <v>8.1999999999999993</v>
          </cell>
          <cell r="AX69">
            <v>11.9</v>
          </cell>
          <cell r="AY69">
            <v>40.5</v>
          </cell>
          <cell r="BL69">
            <v>1.9245000000000001</v>
          </cell>
          <cell r="BO69">
            <v>35.880000000000003</v>
          </cell>
          <cell r="BP69">
            <v>0.44377090301003341</v>
          </cell>
          <cell r="BT69">
            <v>15.922499999999999</v>
          </cell>
          <cell r="BZ69">
            <v>0.68300000000000005</v>
          </cell>
          <cell r="CD69">
            <v>4.0854999999999997</v>
          </cell>
          <cell r="CH69">
            <v>1.6465000000000001</v>
          </cell>
        </row>
        <row r="70">
          <cell r="A70" t="str">
            <v>Taiwan</v>
          </cell>
          <cell r="N70">
            <v>15.3</v>
          </cell>
          <cell r="P70">
            <v>4618</v>
          </cell>
          <cell r="Y70">
            <v>0.62000000000000011</v>
          </cell>
          <cell r="AV70">
            <v>8344</v>
          </cell>
          <cell r="AW70">
            <v>10.6</v>
          </cell>
          <cell r="AX70">
            <v>21.4</v>
          </cell>
          <cell r="AY70">
            <v>73.633578526263037</v>
          </cell>
          <cell r="BL70">
            <v>2.0094800000000004</v>
          </cell>
          <cell r="BO70">
            <v>81.133659999999992</v>
          </cell>
        </row>
        <row r="71">
          <cell r="N71">
            <v>23</v>
          </cell>
          <cell r="P71">
            <v>2600</v>
          </cell>
          <cell r="AV71">
            <v>3767</v>
          </cell>
          <cell r="AW71">
            <v>9.9</v>
          </cell>
          <cell r="AX71">
            <v>13.4</v>
          </cell>
          <cell r="AY71">
            <v>28.99718843375976</v>
          </cell>
          <cell r="BA71">
            <v>6.1</v>
          </cell>
          <cell r="BL71">
            <v>1.6</v>
          </cell>
          <cell r="BO71">
            <v>36.950000000000003</v>
          </cell>
          <cell r="BP71">
            <v>1.23680649526387</v>
          </cell>
          <cell r="BT71">
            <v>45.7</v>
          </cell>
          <cell r="BZ71">
            <v>0.15</v>
          </cell>
          <cell r="CD71">
            <v>4.1500000000000004</v>
          </cell>
        </row>
        <row r="72">
          <cell r="N72">
            <v>23</v>
          </cell>
          <cell r="P72">
            <v>2600</v>
          </cell>
          <cell r="AV72">
            <v>5000</v>
          </cell>
          <cell r="AW72">
            <v>9.6999999999999993</v>
          </cell>
          <cell r="AX72">
            <v>13.6</v>
          </cell>
          <cell r="AY72">
            <v>36.94905659703295</v>
          </cell>
          <cell r="BA72">
            <v>5.4</v>
          </cell>
          <cell r="BL72">
            <v>1.9</v>
          </cell>
          <cell r="BO72">
            <v>45.95</v>
          </cell>
          <cell r="BP72">
            <v>1.0228509249183895</v>
          </cell>
          <cell r="BT72">
            <v>47</v>
          </cell>
          <cell r="BZ72">
            <v>0.2</v>
          </cell>
          <cell r="CD72">
            <v>5.6</v>
          </cell>
        </row>
        <row r="73">
          <cell r="N73">
            <v>23</v>
          </cell>
          <cell r="P73">
            <v>2600</v>
          </cell>
          <cell r="AV73">
            <v>5167</v>
          </cell>
          <cell r="AW73">
            <v>7.6</v>
          </cell>
          <cell r="AX73">
            <v>12.3</v>
          </cell>
          <cell r="AY73">
            <v>23.439887744146176</v>
          </cell>
          <cell r="BA73">
            <v>4.9000000000000004</v>
          </cell>
          <cell r="BL73">
            <v>0.65</v>
          </cell>
          <cell r="BO73">
            <v>21.65</v>
          </cell>
          <cell r="BP73">
            <v>1.9769053117782913</v>
          </cell>
          <cell r="BT73">
            <v>42.800000000000004</v>
          </cell>
          <cell r="BZ73">
            <v>0.1</v>
          </cell>
          <cell r="CD73">
            <v>3.75</v>
          </cell>
        </row>
        <row r="74">
          <cell r="N74">
            <v>16.5</v>
          </cell>
          <cell r="P74">
            <v>2200</v>
          </cell>
          <cell r="AV74">
            <v>7050</v>
          </cell>
          <cell r="AW74">
            <v>8.66</v>
          </cell>
          <cell r="AY74">
            <v>41.525491584537221</v>
          </cell>
          <cell r="BL74">
            <v>1.4495359999999999</v>
          </cell>
          <cell r="BO74">
            <v>39.649852999999993</v>
          </cell>
        </row>
        <row r="75">
          <cell r="N75">
            <v>20.3</v>
          </cell>
          <cell r="P75">
            <v>3389</v>
          </cell>
          <cell r="Y75">
            <v>0.47500000000000003</v>
          </cell>
          <cell r="AV75">
            <v>7933</v>
          </cell>
          <cell r="AW75">
            <v>6.8</v>
          </cell>
          <cell r="AX75">
            <v>10.3</v>
          </cell>
          <cell r="AY75">
            <v>28.810126226192569</v>
          </cell>
          <cell r="BL75">
            <v>1.63584</v>
          </cell>
          <cell r="BO75">
            <v>26.253070000000001</v>
          </cell>
          <cell r="BP75">
            <v>0.133317741506041</v>
          </cell>
          <cell r="BT75">
            <v>3.5</v>
          </cell>
          <cell r="CD75">
            <v>4</v>
          </cell>
        </row>
        <row r="76">
          <cell r="N76">
            <v>20.3</v>
          </cell>
          <cell r="P76">
            <v>3389</v>
          </cell>
          <cell r="AV76">
            <v>11467</v>
          </cell>
          <cell r="AW76">
            <v>5.9</v>
          </cell>
          <cell r="AX76">
            <v>9.5</v>
          </cell>
          <cell r="AY76">
            <v>31.350445534820999</v>
          </cell>
          <cell r="BO76">
            <v>29.5</v>
          </cell>
          <cell r="CD76">
            <v>2.9</v>
          </cell>
        </row>
        <row r="77">
          <cell r="N77">
            <v>20.3</v>
          </cell>
          <cell r="P77">
            <v>3389</v>
          </cell>
          <cell r="AV77">
            <v>5567</v>
          </cell>
          <cell r="AW77">
            <v>4.8</v>
          </cell>
          <cell r="AX77">
            <v>8</v>
          </cell>
          <cell r="AY77">
            <v>10.073805870259802</v>
          </cell>
          <cell r="BO77">
            <v>8</v>
          </cell>
          <cell r="CD77">
            <v>4</v>
          </cell>
        </row>
        <row r="78">
          <cell r="N78">
            <v>20.3</v>
          </cell>
          <cell r="P78">
            <v>3389</v>
          </cell>
          <cell r="AV78">
            <v>10633</v>
          </cell>
          <cell r="AW78">
            <v>5.9</v>
          </cell>
          <cell r="AX78">
            <v>9.5</v>
          </cell>
          <cell r="AY78">
            <v>29.070313715161038</v>
          </cell>
          <cell r="BO78">
            <v>28.4</v>
          </cell>
          <cell r="CD78">
            <v>4.0999999999999996</v>
          </cell>
        </row>
        <row r="79">
          <cell r="N79">
            <v>16.5</v>
          </cell>
          <cell r="P79">
            <v>2200</v>
          </cell>
          <cell r="AV79">
            <v>6996</v>
          </cell>
          <cell r="AW79">
            <v>8.73</v>
          </cell>
          <cell r="AY79">
            <v>41.876287192360493</v>
          </cell>
          <cell r="BL79">
            <v>1.65856</v>
          </cell>
          <cell r="BO79">
            <v>43.869530999999995</v>
          </cell>
        </row>
        <row r="80">
          <cell r="N80">
            <v>16.5</v>
          </cell>
          <cell r="P80">
            <v>2200</v>
          </cell>
          <cell r="AV80">
            <v>7188</v>
          </cell>
          <cell r="AW80">
            <v>8.8699999999999992</v>
          </cell>
          <cell r="AY80">
            <v>44.41658755718521</v>
          </cell>
          <cell r="BL80">
            <v>1.3132159999999999</v>
          </cell>
          <cell r="BO80">
            <v>37.198925000000003</v>
          </cell>
        </row>
        <row r="81">
          <cell r="N81">
            <v>23</v>
          </cell>
          <cell r="P81">
            <v>2600</v>
          </cell>
          <cell r="AV81">
            <v>5167</v>
          </cell>
          <cell r="AW81">
            <v>8.9</v>
          </cell>
          <cell r="AX81">
            <v>12.6</v>
          </cell>
          <cell r="AY81">
            <v>32.144624449685232</v>
          </cell>
          <cell r="BL81">
            <v>1.4</v>
          </cell>
          <cell r="BO81">
            <v>36.75</v>
          </cell>
          <cell r="BP81">
            <v>1.2394557823129251</v>
          </cell>
          <cell r="BT81">
            <v>45.55</v>
          </cell>
          <cell r="BZ81">
            <v>0.15</v>
          </cell>
          <cell r="CD81">
            <v>4.6500000000000004</v>
          </cell>
        </row>
        <row r="82">
          <cell r="N82">
            <v>23</v>
          </cell>
          <cell r="P82">
            <v>2600</v>
          </cell>
          <cell r="AV82">
            <v>5733</v>
          </cell>
          <cell r="AW82">
            <v>9.1</v>
          </cell>
          <cell r="AX82">
            <v>13.2</v>
          </cell>
          <cell r="AY82">
            <v>37.286756601543445</v>
          </cell>
          <cell r="BL82">
            <v>1.6</v>
          </cell>
          <cell r="BO82">
            <v>41.95</v>
          </cell>
          <cell r="BP82">
            <v>1.1108462455303934</v>
          </cell>
          <cell r="BT82">
            <v>46.6</v>
          </cell>
          <cell r="BZ82">
            <v>0.1</v>
          </cell>
          <cell r="CD82">
            <v>3.45</v>
          </cell>
        </row>
        <row r="83">
          <cell r="N83">
            <v>15.3</v>
          </cell>
          <cell r="P83">
            <v>1558</v>
          </cell>
          <cell r="AV83">
            <v>5733</v>
          </cell>
          <cell r="AW83">
            <v>6.3</v>
          </cell>
          <cell r="AY83">
            <v>17.871167365236797</v>
          </cell>
          <cell r="BO83">
            <v>38.4</v>
          </cell>
        </row>
        <row r="84">
          <cell r="N84">
            <v>15.3</v>
          </cell>
          <cell r="P84">
            <v>1558</v>
          </cell>
          <cell r="AV84">
            <v>13067</v>
          </cell>
          <cell r="AW84">
            <v>5.5</v>
          </cell>
          <cell r="AY84">
            <v>31.044963348371233</v>
          </cell>
          <cell r="BO84">
            <v>60.4</v>
          </cell>
          <cell r="CD84">
            <v>2.2166666666666672</v>
          </cell>
        </row>
        <row r="85">
          <cell r="N85">
            <v>17.2</v>
          </cell>
          <cell r="P85">
            <v>3030</v>
          </cell>
          <cell r="AV85">
            <v>3954</v>
          </cell>
          <cell r="AW85">
            <v>8.4</v>
          </cell>
          <cell r="AX85">
            <v>12</v>
          </cell>
          <cell r="AY85">
            <v>21.912156369446688</v>
          </cell>
          <cell r="BL85">
            <v>2.06</v>
          </cell>
          <cell r="BO85">
            <v>27.259999999999998</v>
          </cell>
          <cell r="BZ85">
            <v>0.38</v>
          </cell>
          <cell r="CC85">
            <v>1.99</v>
          </cell>
          <cell r="CD85">
            <v>7.1099999999999994</v>
          </cell>
          <cell r="CH85">
            <v>1.3900000000000001</v>
          </cell>
          <cell r="CJ85">
            <v>11.21</v>
          </cell>
          <cell r="CK85">
            <v>4.4800000000000004</v>
          </cell>
        </row>
        <row r="86">
          <cell r="N86">
            <v>18.600000000000001</v>
          </cell>
          <cell r="P86">
            <v>2407</v>
          </cell>
          <cell r="AV86">
            <v>6000</v>
          </cell>
          <cell r="BL86">
            <v>3.13</v>
          </cell>
          <cell r="BO86">
            <v>42.04</v>
          </cell>
          <cell r="BP86">
            <v>0.80137963843958127</v>
          </cell>
          <cell r="BT86">
            <v>33.69</v>
          </cell>
          <cell r="BZ86">
            <v>0.41</v>
          </cell>
          <cell r="CC86">
            <v>2.1800000000000002</v>
          </cell>
          <cell r="CD86">
            <v>7.76</v>
          </cell>
          <cell r="CH86">
            <v>1.1099999999999999</v>
          </cell>
          <cell r="CJ86">
            <v>11.41</v>
          </cell>
          <cell r="CK86">
            <v>4.55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nk.springer.com/article/10.1023/A:1009711814070" TargetMode="External"/><Relationship Id="rId21" Type="http://schemas.openxmlformats.org/officeDocument/2006/relationships/hyperlink" Target="https://agupubs.onlinelibrary.wiley.com/doi/full/10.1029/2009JG001234" TargetMode="External"/><Relationship Id="rId42" Type="http://schemas.openxmlformats.org/officeDocument/2006/relationships/hyperlink" Target="https://catalog.lib.kyushu-u.ac.jp/opac_detail_md/?lang=0&amp;amode=MD100000&amp;bibid=1913975" TargetMode="External"/><Relationship Id="rId47" Type="http://schemas.openxmlformats.org/officeDocument/2006/relationships/hyperlink" Target="https://www.jstage.jst.go.jp/article/jjfs/100/4/100_124/_article/-char/ja" TargetMode="External"/><Relationship Id="rId63" Type="http://schemas.openxmlformats.org/officeDocument/2006/relationships/hyperlink" Target="http://ir.lib.nchu.edu.tw/bitstream/11455/74254/1/143838-3.pdf" TargetMode="External"/><Relationship Id="rId68" Type="http://schemas.openxmlformats.org/officeDocument/2006/relationships/hyperlink" Target="https://advances.sciencemag.org/content/6/12/eaaw5790" TargetMode="External"/><Relationship Id="rId2" Type="http://schemas.openxmlformats.org/officeDocument/2006/relationships/hyperlink" Target="http://ahnydxxb.ahau.edu.cn/ch/reader/view_abstract.aspx?file_no=201106005&amp;flag=1" TargetMode="External"/><Relationship Id="rId16" Type="http://schemas.openxmlformats.org/officeDocument/2006/relationships/hyperlink" Target="http://www.sisef.it/iforest/contents/?id=ifor1674-008" TargetMode="External"/><Relationship Id="rId29" Type="http://schemas.openxmlformats.org/officeDocument/2006/relationships/hyperlink" Target="https://www.jstage.jst.go.jp/article/jila/68/5/68_5_689/_article/-char/ja" TargetMode="External"/><Relationship Id="rId11" Type="http://schemas.openxmlformats.org/officeDocument/2006/relationships/hyperlink" Target="http://kiss.kstudy.com/thesis/thesis-view.asp?key=3042038" TargetMode="External"/><Relationship Id="rId24" Type="http://schemas.openxmlformats.org/officeDocument/2006/relationships/hyperlink" Target="http://www.airitilibrary.com/Publication/alDetailedMesh?DocID=10017488-201011-201101220039-201101220039-59-65" TargetMode="External"/><Relationship Id="rId32" Type="http://schemas.openxmlformats.org/officeDocument/2006/relationships/hyperlink" Target="http://web.kyoto-inet.or.jp/people/j-bamboo/bj-5.html" TargetMode="External"/><Relationship Id="rId37" Type="http://schemas.openxmlformats.org/officeDocument/2006/relationships/hyperlink" Target="http://web.kyoto-inet.or.jp/people/j-bamboo/bj-3.html" TargetMode="External"/><Relationship Id="rId40" Type="http://schemas.openxmlformats.org/officeDocument/2006/relationships/hyperlink" Target="https://www.jstage.jst.go.jp/article/jjsrt/35/1/35_1_57/_article/-char/ja" TargetMode="External"/><Relationship Id="rId45" Type="http://schemas.openxmlformats.org/officeDocument/2006/relationships/hyperlink" Target="https://ir.kagoshima-u.ac.jp/?action=pages_view_main&amp;active_action=repository_view_main_item_detail&amp;item_id=12611&amp;item_no=1&amp;page_id=13&amp;block_id=21" TargetMode="External"/><Relationship Id="rId53" Type="http://schemas.openxmlformats.org/officeDocument/2006/relationships/hyperlink" Target="https://www.jstage.jst.go.jp/article/jjsk/58/0/58_KJ00006203544/_article/-char/ja/" TargetMode="External"/><Relationship Id="rId58" Type="http://schemas.openxmlformats.org/officeDocument/2006/relationships/hyperlink" Target="http://ir.lib.nchu.edu.tw/bitstream/11455/74254/1/143838-3.pdf" TargetMode="External"/><Relationship Id="rId66" Type="http://schemas.openxmlformats.org/officeDocument/2006/relationships/hyperlink" Target="https://esj-journals.onlinelibrary.wiley.com/doi/full/10.1007/s11284-017-1497-5" TargetMode="External"/><Relationship Id="rId74" Type="http://schemas.openxmlformats.org/officeDocument/2006/relationships/hyperlink" Target="https://esj-journals.onlinelibrary.wiley.com/doi/full/10.1007/s11284-017-1497-5" TargetMode="External"/><Relationship Id="rId5" Type="http://schemas.openxmlformats.org/officeDocument/2006/relationships/hyperlink" Target="https://link.springer.com/article/10.1007/s11368-013-0665-7" TargetMode="External"/><Relationship Id="rId61" Type="http://schemas.openxmlformats.org/officeDocument/2006/relationships/hyperlink" Target="https://www.sciencedirect.com/science/article/pii/S0378112710007188" TargetMode="External"/><Relationship Id="rId19" Type="http://schemas.openxmlformats.org/officeDocument/2006/relationships/hyperlink" Target="http://zlxb.zafu.edu.cn/CN/10.11833/j.issn.2095-0756.2012.01.010" TargetMode="External"/><Relationship Id="rId14" Type="http://schemas.openxmlformats.org/officeDocument/2006/relationships/hyperlink" Target="https://www.jstor.org/stable/43595383?read-now=1&amp;seq=1" TargetMode="External"/><Relationship Id="rId22" Type="http://schemas.openxmlformats.org/officeDocument/2006/relationships/hyperlink" Target="http://kns.cnki.net/kcms/detail/detail.aspx?DbCode=CJFD&amp;dbname=CJFD9093&amp;filename=LYKX199305011" TargetMode="External"/><Relationship Id="rId27" Type="http://schemas.openxmlformats.org/officeDocument/2006/relationships/hyperlink" Target="https://www.jstage.jst.go.jp/article/jass/24/4/24_243/_article/-char/ja/" TargetMode="External"/><Relationship Id="rId30" Type="http://schemas.openxmlformats.org/officeDocument/2006/relationships/hyperlink" Target="https://www.jstage.jst.go.jp/article/jass/21/1/21_65/_pdf/-char/ja" TargetMode="External"/><Relationship Id="rId35" Type="http://schemas.openxmlformats.org/officeDocument/2006/relationships/hyperlink" Target="http://web.kyoto-inet.or.jp/people/j-bamboo/bj-3.html" TargetMode="External"/><Relationship Id="rId43" Type="http://schemas.openxmlformats.org/officeDocument/2006/relationships/hyperlink" Target="https://ir.kagoshima-u.ac.jp/?action=pages_view_main&amp;active_action=repository_view_main_item_detail&amp;item_id=12611&amp;item_no=1&amp;page_id=13&amp;block_id=21" TargetMode="External"/><Relationship Id="rId48" Type="http://schemas.openxmlformats.org/officeDocument/2006/relationships/hyperlink" Target="https://esj-journals.onlinelibrary.wiley.com/doi/pdf/10.1007/s11284-014-1150-5" TargetMode="External"/><Relationship Id="rId56" Type="http://schemas.openxmlformats.org/officeDocument/2006/relationships/hyperlink" Target="http://www.airitilibrary.com/Publication/alDetailedMesh?docid=05781345-201406-201503020016-201503020016-181-192" TargetMode="External"/><Relationship Id="rId64" Type="http://schemas.openxmlformats.org/officeDocument/2006/relationships/hyperlink" Target="https://www.researchgate.net/publication/333507633_The_Structures_Aboveground_Biomass_Carbon_Storage_of_Phyllostachys_pubescens_Stand_in_Huisun_Experimental_Forest_Station_and_Shi-Zhuo" TargetMode="External"/><Relationship Id="rId69" Type="http://schemas.openxmlformats.org/officeDocument/2006/relationships/hyperlink" Target="https://advances.sciencemag.org/content/6/12/eaaw5790" TargetMode="External"/><Relationship Id="rId8" Type="http://schemas.openxmlformats.org/officeDocument/2006/relationships/hyperlink" Target="https://www.jstor.org/stable/43595383?read-now=1&amp;seq=1" TargetMode="External"/><Relationship Id="rId51" Type="http://schemas.openxmlformats.org/officeDocument/2006/relationships/hyperlink" Target="http://web.kyoto-inet.or.jp/people/j-bamboo/bj-27.html" TargetMode="External"/><Relationship Id="rId72" Type="http://schemas.openxmlformats.org/officeDocument/2006/relationships/hyperlink" Target="https://www.researchgate.net/publication/306133854_The_trend_of_growth_characteristics_of_moso_bamboo_Phyllostachys_pubescens_forests_under_an_unmanaged_condition_in_central_Taiwan" TargetMode="External"/><Relationship Id="rId3" Type="http://schemas.openxmlformats.org/officeDocument/2006/relationships/hyperlink" Target="http://zlxb.zafu.edu.cn/EN/10.11833/j.issn.2095-0756.2012.03.001" TargetMode="External"/><Relationship Id="rId12" Type="http://schemas.openxmlformats.org/officeDocument/2006/relationships/hyperlink" Target="http://kiss.kstudy.com/thesis/thesis-view.asp?key=2459514" TargetMode="External"/><Relationship Id="rId17" Type="http://schemas.openxmlformats.org/officeDocument/2006/relationships/hyperlink" Target="https://link.springer.com/article/10.1007/s11368-013-0665-7" TargetMode="External"/><Relationship Id="rId25" Type="http://schemas.openxmlformats.org/officeDocument/2006/relationships/hyperlink" Target="https://www.jstage.jst.go.jp/article/jass/24/4/24_243/_article/-char/ja/" TargetMode="External"/><Relationship Id="rId33" Type="http://schemas.openxmlformats.org/officeDocument/2006/relationships/hyperlink" Target="http://web.kyoto-inet.or.jp/people/j-bamboo/bj-5.html" TargetMode="External"/><Relationship Id="rId38" Type="http://schemas.openxmlformats.org/officeDocument/2006/relationships/hyperlink" Target="http://web.kyoto-inet.or.jp/people/j-bamboo/bj-5.html" TargetMode="External"/><Relationship Id="rId46" Type="http://schemas.openxmlformats.org/officeDocument/2006/relationships/hyperlink" Target="https://catalog.lib.kyushu-u.ac.jp/opac_detail_md/?lang=0&amp;amode=MD100000&amp;bibid=1913975" TargetMode="External"/><Relationship Id="rId59" Type="http://schemas.openxmlformats.org/officeDocument/2006/relationships/hyperlink" Target="http://ir.lib.nchu.edu.tw/bitstream/11455/74254/1/143838-3.pdf" TargetMode="External"/><Relationship Id="rId67" Type="http://schemas.openxmlformats.org/officeDocument/2006/relationships/hyperlink" Target="http://www.airitilibrary.com/Publication/alDetailedMesh?docid=05781345-201406-201503020016-201503020016-181-192" TargetMode="External"/><Relationship Id="rId20" Type="http://schemas.openxmlformats.org/officeDocument/2006/relationships/hyperlink" Target="http://zlxb.zafu.edu.cn/CN/10.11833/j.issn.2095-0756.2012.01.010" TargetMode="External"/><Relationship Id="rId41" Type="http://schemas.openxmlformats.org/officeDocument/2006/relationships/hyperlink" Target="https://www.jstage.jst.go.jp/article/jjsrt/35/1/35_1_57/_article/-char/ja" TargetMode="External"/><Relationship Id="rId54" Type="http://schemas.openxmlformats.org/officeDocument/2006/relationships/hyperlink" Target="http://www.airitilibrary.com/Publication/alDetailedMesh?docid=05781345-201406-201503020016-201503020016-181-192" TargetMode="External"/><Relationship Id="rId62" Type="http://schemas.openxmlformats.org/officeDocument/2006/relationships/hyperlink" Target="https://www.sciencedirect.com/science/article/pii/S0378112710007188" TargetMode="External"/><Relationship Id="rId70" Type="http://schemas.openxmlformats.org/officeDocument/2006/relationships/hyperlink" Target="https://advances.sciencemag.org/content/6/12/eaaw5790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://zlxb.zafu.edu.cn/CN/10.11833/j.issn.2095-0756.2012.01.010" TargetMode="External"/><Relationship Id="rId6" Type="http://schemas.openxmlformats.org/officeDocument/2006/relationships/hyperlink" Target="https://www.ncbi.nlm.nih.gov/pmc/articles/PMC1635818/" TargetMode="External"/><Relationship Id="rId15" Type="http://schemas.openxmlformats.org/officeDocument/2006/relationships/hyperlink" Target="http://www.sisef.it/iforest/contents/?id=ifor1674-008" TargetMode="External"/><Relationship Id="rId23" Type="http://schemas.openxmlformats.org/officeDocument/2006/relationships/hyperlink" Target="http://kns.cnki.net/kcms/detail/detail.aspx?DbCode=CJFD&amp;dbname=CJFD9093&amp;filename=LYKX199305011" TargetMode="External"/><Relationship Id="rId28" Type="http://schemas.openxmlformats.org/officeDocument/2006/relationships/hyperlink" Target="https://www.jstage.jst.go.jp/article/jjsrt/35/1/35_1_57/_article/-char/ja" TargetMode="External"/><Relationship Id="rId36" Type="http://schemas.openxmlformats.org/officeDocument/2006/relationships/hyperlink" Target="http://web.kyoto-inet.or.jp/people/j-bamboo/bj-3.html" TargetMode="External"/><Relationship Id="rId49" Type="http://schemas.openxmlformats.org/officeDocument/2006/relationships/hyperlink" Target="https://esj-journals.onlinelibrary.wiley.com/doi/pdf/10.1007/s11284-014-1150-5" TargetMode="External"/><Relationship Id="rId57" Type="http://schemas.openxmlformats.org/officeDocument/2006/relationships/hyperlink" Target="http://www.airitilibrary.com/Publication/alDetailedMesh?docid=05781345-201406-201503020016-201503020016-181-192" TargetMode="External"/><Relationship Id="rId10" Type="http://schemas.openxmlformats.org/officeDocument/2006/relationships/hyperlink" Target="https://www.jstor.org/stable/43595383?read-now=1&amp;seq=1" TargetMode="External"/><Relationship Id="rId31" Type="http://schemas.openxmlformats.org/officeDocument/2006/relationships/hyperlink" Target="https://www.jstage.jst.go.jp/article/jjfe/57/1/57_KJ00009983906/_pdf/-char/ja" TargetMode="External"/><Relationship Id="rId44" Type="http://schemas.openxmlformats.org/officeDocument/2006/relationships/hyperlink" Target="https://ir.kagoshima-u.ac.jp/?action=pages_view_main&amp;active_action=repository_view_main_item_detail&amp;item_id=12611&amp;item_no=1&amp;page_id=13&amp;block_id=21" TargetMode="External"/><Relationship Id="rId52" Type="http://schemas.openxmlformats.org/officeDocument/2006/relationships/hyperlink" Target="https://www.jstage.jst.go.jp/article/jjsk/58/0/58_KJ00006203544/_article/-char/ja/" TargetMode="External"/><Relationship Id="rId60" Type="http://schemas.openxmlformats.org/officeDocument/2006/relationships/hyperlink" Target="https://www.sciencedirect.com/science/article/pii/S0378112710007188" TargetMode="External"/><Relationship Id="rId65" Type="http://schemas.openxmlformats.org/officeDocument/2006/relationships/hyperlink" Target="https://www.researchgate.net/publication/333507633_The_Structures_Aboveground_Biomass_Carbon_Storage_of_Phyllostachys_pubescens_Stand_in_Huisun_Experimental_Forest_Station_and_Shi-Zhuo" TargetMode="External"/><Relationship Id="rId73" Type="http://schemas.openxmlformats.org/officeDocument/2006/relationships/hyperlink" Target="https://www.researchgate.net/publication/306133854_The_trend_of_growth_characteristics_of_moso_bamboo_Phyllostachys_pubescens_forests_under_an_unmanaged_condition_in_central_Taiwan" TargetMode="External"/><Relationship Id="rId4" Type="http://schemas.openxmlformats.org/officeDocument/2006/relationships/hyperlink" Target="http://html.rhhz.net/linyekexue/html/20131125.htm" TargetMode="External"/><Relationship Id="rId9" Type="http://schemas.openxmlformats.org/officeDocument/2006/relationships/hyperlink" Target="https://www.jstor.org/stable/43595383?read-now=1&amp;seq=1" TargetMode="External"/><Relationship Id="rId13" Type="http://schemas.openxmlformats.org/officeDocument/2006/relationships/hyperlink" Target="http://kiss.kstudy.com/thesis/thesis-view.asp?key=74524" TargetMode="External"/><Relationship Id="rId18" Type="http://schemas.openxmlformats.org/officeDocument/2006/relationships/hyperlink" Target="https://link.springer.com/article/10.1007/s11368-013-0665-7" TargetMode="External"/><Relationship Id="rId39" Type="http://schemas.openxmlformats.org/officeDocument/2006/relationships/hyperlink" Target="https://www.jstage.jst.go.jp/article/jjsrt/35/1/35_1_57/_article/-char/ja" TargetMode="External"/><Relationship Id="rId34" Type="http://schemas.openxmlformats.org/officeDocument/2006/relationships/hyperlink" Target="http://web.kyoto-inet.or.jp/people/j-bamboo/bj-5.html" TargetMode="External"/><Relationship Id="rId50" Type="http://schemas.openxmlformats.org/officeDocument/2006/relationships/hyperlink" Target="https://esj-journals.onlinelibrary.wiley.com/doi/pdf/10.1007/s11284-014-1150-5" TargetMode="External"/><Relationship Id="rId55" Type="http://schemas.openxmlformats.org/officeDocument/2006/relationships/hyperlink" Target="http://www.airitilibrary.com/Publication/alDetailedMesh?docid=05781345-201406-201503020016-201503020016-181-192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://www.sisef.it/iforest/contents/?id=ifor1674-008" TargetMode="External"/><Relationship Id="rId71" Type="http://schemas.openxmlformats.org/officeDocument/2006/relationships/hyperlink" Target="https://advances.sciencemag.org/content/6/12/eaaw5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4"/>
  <sheetViews>
    <sheetView tabSelected="1" zoomScaleNormal="100" zoomScalePageLayoutView="98" workbookViewId="0">
      <pane xSplit="3" topLeftCell="O1" activePane="topRight" state="frozen"/>
      <selection activeCell="CM4" sqref="CM4:CM86"/>
      <selection pane="topRight" activeCell="CM4" sqref="CM4:CM86"/>
    </sheetView>
  </sheetViews>
  <sheetFormatPr defaultColWidth="8.875" defaultRowHeight="16.5" x14ac:dyDescent="0.25"/>
  <cols>
    <col min="1" max="1" width="6.375" style="1" bestFit="1" customWidth="1"/>
    <col min="2" max="2" width="12.5" style="1" customWidth="1"/>
    <col min="3" max="3" width="8.875" style="2"/>
    <col min="4" max="4" width="25" style="1" customWidth="1"/>
    <col min="5" max="5" width="20.5" style="1" customWidth="1"/>
    <col min="6" max="6" width="8.875" style="1" customWidth="1"/>
    <col min="7" max="7" width="11.125" style="1" bestFit="1" customWidth="1"/>
    <col min="8" max="13" width="11.125" style="1" customWidth="1"/>
    <col min="14" max="19" width="8.875" style="2"/>
    <col min="20" max="21" width="14.125" style="2" bestFit="1" customWidth="1"/>
    <col min="22" max="22" width="8.875" style="3"/>
    <col min="23" max="27" width="8.875" style="2"/>
    <col min="28" max="36" width="13.125" style="2" customWidth="1"/>
    <col min="37" max="45" width="8.875" style="2"/>
    <col min="46" max="46" width="8.875" style="1"/>
    <col min="47" max="51" width="8.875" style="2"/>
    <col min="52" max="54" width="8.875" style="3"/>
    <col min="55" max="63" width="8.875" style="2"/>
    <col min="64" max="66" width="8.875" style="3"/>
    <col min="67" max="67" width="8.875" style="2"/>
    <col min="68" max="71" width="8.625" style="2" customWidth="1"/>
    <col min="72" max="90" width="8.875" style="2"/>
    <col min="91" max="91" width="23.125" style="1" customWidth="1"/>
    <col min="92" max="92" width="10.625" bestFit="1" customWidth="1"/>
    <col min="94" max="94" width="8.875" style="4"/>
  </cols>
  <sheetData>
    <row r="1" spans="1:94" x14ac:dyDescent="0.25">
      <c r="CD1" s="2" t="s">
        <v>0</v>
      </c>
      <c r="CH1" s="2" t="s">
        <v>1</v>
      </c>
      <c r="CI1" s="2" t="s">
        <v>2</v>
      </c>
      <c r="CJ1" s="2" t="s">
        <v>3</v>
      </c>
      <c r="CK1" s="2" t="s">
        <v>4</v>
      </c>
      <c r="CL1" s="2" t="s">
        <v>5</v>
      </c>
    </row>
    <row r="2" spans="1:94" x14ac:dyDescent="0.25">
      <c r="A2" s="5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6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E2" s="7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7" t="s">
        <v>55</v>
      </c>
      <c r="AY2" s="7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7" t="s">
        <v>72</v>
      </c>
      <c r="BP2" s="7" t="s">
        <v>73</v>
      </c>
      <c r="BQ2" s="7" t="s">
        <v>74</v>
      </c>
      <c r="BR2" s="7" t="s">
        <v>75</v>
      </c>
      <c r="BS2" s="7" t="s">
        <v>76</v>
      </c>
      <c r="BT2" s="7" t="s">
        <v>77</v>
      </c>
      <c r="BU2" s="7" t="s">
        <v>78</v>
      </c>
      <c r="BV2" s="7" t="s">
        <v>79</v>
      </c>
      <c r="BW2" s="7" t="s">
        <v>80</v>
      </c>
      <c r="BX2" s="7" t="s">
        <v>81</v>
      </c>
      <c r="BY2" s="7" t="s">
        <v>82</v>
      </c>
      <c r="BZ2" s="7" t="s">
        <v>83</v>
      </c>
      <c r="CA2" s="7" t="s">
        <v>84</v>
      </c>
      <c r="CB2" s="7" t="s">
        <v>85</v>
      </c>
      <c r="CC2" s="7" t="s">
        <v>86</v>
      </c>
      <c r="CD2" s="7" t="s">
        <v>87</v>
      </c>
      <c r="CE2" s="7" t="s">
        <v>88</v>
      </c>
      <c r="CF2" s="7" t="s">
        <v>89</v>
      </c>
      <c r="CG2" s="7" t="s">
        <v>90</v>
      </c>
      <c r="CH2" s="7" t="s">
        <v>91</v>
      </c>
      <c r="CI2" s="7" t="s">
        <v>92</v>
      </c>
      <c r="CJ2" s="7" t="s">
        <v>93</v>
      </c>
      <c r="CK2" s="7" t="s">
        <v>94</v>
      </c>
      <c r="CL2" s="7" t="s">
        <v>95</v>
      </c>
      <c r="CM2" s="5" t="s">
        <v>96</v>
      </c>
      <c r="CN2" s="8" t="s">
        <v>97</v>
      </c>
      <c r="CO2" s="8" t="s">
        <v>98</v>
      </c>
      <c r="CP2" s="9" t="s">
        <v>99</v>
      </c>
    </row>
    <row r="3" spans="1:94" x14ac:dyDescent="0.25">
      <c r="A3" s="5"/>
      <c r="B3" s="5"/>
      <c r="C3" s="6" t="s">
        <v>100</v>
      </c>
      <c r="D3" s="5"/>
      <c r="E3" s="5"/>
      <c r="F3" s="5"/>
      <c r="G3" s="5"/>
      <c r="H3" s="5"/>
      <c r="I3" s="5"/>
      <c r="J3" s="5"/>
      <c r="K3" s="5"/>
      <c r="L3" s="5"/>
      <c r="M3" s="5"/>
      <c r="N3" s="7" t="s">
        <v>101</v>
      </c>
      <c r="O3" s="7"/>
      <c r="P3" s="7" t="s">
        <v>102</v>
      </c>
      <c r="Q3" s="7" t="s">
        <v>103</v>
      </c>
      <c r="R3" s="7" t="s">
        <v>104</v>
      </c>
      <c r="S3" s="7" t="s">
        <v>105</v>
      </c>
      <c r="T3" s="7" t="s">
        <v>106</v>
      </c>
      <c r="U3" s="7" t="s">
        <v>107</v>
      </c>
      <c r="V3" s="6" t="s">
        <v>108</v>
      </c>
      <c r="W3" s="7" t="s">
        <v>109</v>
      </c>
      <c r="X3" s="7" t="s">
        <v>110</v>
      </c>
      <c r="Y3" s="7" t="s">
        <v>111</v>
      </c>
      <c r="Z3" s="7" t="s">
        <v>112</v>
      </c>
      <c r="AA3" s="7" t="s">
        <v>111</v>
      </c>
      <c r="AB3" s="7" t="s">
        <v>113</v>
      </c>
      <c r="AC3" s="7" t="s">
        <v>113</v>
      </c>
      <c r="AD3" s="7" t="s">
        <v>114</v>
      </c>
      <c r="AE3" s="7" t="s">
        <v>115</v>
      </c>
      <c r="AF3" s="7" t="s">
        <v>115</v>
      </c>
      <c r="AG3" s="7" t="s">
        <v>115</v>
      </c>
      <c r="AH3" s="7" t="s">
        <v>116</v>
      </c>
      <c r="AI3" s="7" t="s">
        <v>116</v>
      </c>
      <c r="AJ3" s="7" t="s">
        <v>117</v>
      </c>
      <c r="AK3" s="7" t="s">
        <v>118</v>
      </c>
      <c r="AL3" s="7" t="s">
        <v>119</v>
      </c>
      <c r="AM3" s="7" t="s">
        <v>119</v>
      </c>
      <c r="AN3" s="7" t="s">
        <v>119</v>
      </c>
      <c r="AO3" s="7" t="s">
        <v>119</v>
      </c>
      <c r="AP3" s="7" t="s">
        <v>119</v>
      </c>
      <c r="AQ3" s="7" t="s">
        <v>119</v>
      </c>
      <c r="AR3" s="7" t="s">
        <v>119</v>
      </c>
      <c r="AS3" s="7" t="s">
        <v>120</v>
      </c>
      <c r="AT3" s="7" t="s">
        <v>121</v>
      </c>
      <c r="AU3" s="7" t="s">
        <v>122</v>
      </c>
      <c r="AV3" s="7" t="s">
        <v>123</v>
      </c>
      <c r="AW3" s="7" t="s">
        <v>124</v>
      </c>
      <c r="AX3" s="7" t="s">
        <v>104</v>
      </c>
      <c r="AY3" s="7" t="s">
        <v>125</v>
      </c>
      <c r="AZ3" s="6" t="s">
        <v>105</v>
      </c>
      <c r="BA3" s="6" t="s">
        <v>126</v>
      </c>
      <c r="BB3" s="6" t="s">
        <v>127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128</v>
      </c>
      <c r="BI3" s="7" t="s">
        <v>105</v>
      </c>
      <c r="BJ3" s="7" t="s">
        <v>105</v>
      </c>
      <c r="BK3" s="7" t="s">
        <v>128</v>
      </c>
      <c r="BL3" s="7" t="s">
        <v>129</v>
      </c>
      <c r="BM3" s="7" t="s">
        <v>129</v>
      </c>
      <c r="BN3" s="7" t="s">
        <v>130</v>
      </c>
      <c r="BO3" s="7" t="s">
        <v>130</v>
      </c>
      <c r="BP3" s="7"/>
      <c r="BQ3" s="7" t="s">
        <v>130</v>
      </c>
      <c r="BR3" s="7" t="s">
        <v>129</v>
      </c>
      <c r="BS3" s="7" t="s">
        <v>131</v>
      </c>
      <c r="BT3" s="7" t="s">
        <v>130</v>
      </c>
      <c r="BU3" s="7" t="s">
        <v>129</v>
      </c>
      <c r="BV3" s="7" t="s">
        <v>130</v>
      </c>
      <c r="BW3" s="7" t="s">
        <v>129</v>
      </c>
      <c r="BX3" s="7" t="s">
        <v>130</v>
      </c>
      <c r="BY3" s="7" t="s">
        <v>130</v>
      </c>
      <c r="BZ3" s="7" t="s">
        <v>132</v>
      </c>
      <c r="CA3" s="7" t="s">
        <v>133</v>
      </c>
      <c r="CB3" s="7" t="s">
        <v>133</v>
      </c>
      <c r="CC3" s="7" t="s">
        <v>132</v>
      </c>
      <c r="CD3" s="7" t="s">
        <v>132</v>
      </c>
      <c r="CE3" s="7" t="s">
        <v>132</v>
      </c>
      <c r="CF3" s="7" t="s">
        <v>133</v>
      </c>
      <c r="CG3" s="7" t="s">
        <v>134</v>
      </c>
      <c r="CH3" s="7" t="s">
        <v>132</v>
      </c>
      <c r="CI3" s="7" t="s">
        <v>132</v>
      </c>
      <c r="CJ3" s="7" t="s">
        <v>132</v>
      </c>
      <c r="CK3" s="7" t="s">
        <v>133</v>
      </c>
      <c r="CL3" s="7" t="s">
        <v>134</v>
      </c>
      <c r="CM3" s="5"/>
      <c r="CN3" s="10"/>
      <c r="CO3" s="10"/>
      <c r="CP3" s="11"/>
    </row>
    <row r="4" spans="1:94" x14ac:dyDescent="0.25">
      <c r="A4" s="5" t="s">
        <v>135</v>
      </c>
      <c r="B4" s="5" t="s">
        <v>136</v>
      </c>
      <c r="C4" s="6" t="s">
        <v>137</v>
      </c>
      <c r="D4" s="5" t="s">
        <v>138</v>
      </c>
      <c r="E4" s="5" t="s">
        <v>139</v>
      </c>
      <c r="F4" s="5">
        <v>2011</v>
      </c>
      <c r="G4" s="5">
        <v>2011</v>
      </c>
      <c r="H4" s="5">
        <v>1</v>
      </c>
      <c r="I4" s="12">
        <v>1</v>
      </c>
      <c r="J4" s="12">
        <v>1</v>
      </c>
      <c r="K4" s="12">
        <v>1</v>
      </c>
      <c r="L4" s="12">
        <v>0</v>
      </c>
      <c r="M4" s="12">
        <v>0</v>
      </c>
      <c r="N4" s="7">
        <v>19.3</v>
      </c>
      <c r="O4" s="13">
        <f t="shared" ref="O4:O15" si="0">(N4-5)*12</f>
        <v>171.60000000000002</v>
      </c>
      <c r="P4" s="7">
        <v>1700</v>
      </c>
      <c r="Q4" s="7"/>
      <c r="R4" s="6"/>
      <c r="S4" s="7"/>
      <c r="T4" s="7"/>
      <c r="U4" s="7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5"/>
      <c r="AU4" s="7"/>
      <c r="AV4" s="7">
        <v>3430</v>
      </c>
      <c r="AW4" s="7"/>
      <c r="AX4" s="7"/>
      <c r="AY4" s="7"/>
      <c r="AZ4" s="6"/>
      <c r="BA4" s="6"/>
      <c r="BB4" s="6"/>
      <c r="BC4" s="7"/>
      <c r="BD4" s="7"/>
      <c r="BE4" s="7"/>
      <c r="BF4" s="7"/>
      <c r="BG4" s="7"/>
      <c r="BH4" s="7"/>
      <c r="BI4" s="7"/>
      <c r="BJ4" s="7"/>
      <c r="BK4" s="7"/>
      <c r="BL4" s="6"/>
      <c r="BM4" s="6">
        <f>47.35*0.145</f>
        <v>6.8657499999999994</v>
      </c>
      <c r="BN4" s="6">
        <f>47.35*0.6</f>
        <v>28.41</v>
      </c>
      <c r="BO4" s="7">
        <f>SUM(BL4:BN4)</f>
        <v>35.275750000000002</v>
      </c>
      <c r="BP4" s="7">
        <f t="shared" ref="BP4:BP11" si="1">BT4/BO4</f>
        <v>0.34228187919463082</v>
      </c>
      <c r="BQ4" s="7">
        <f>47.35*0.125</f>
        <v>5.9187500000000002</v>
      </c>
      <c r="BR4" s="7">
        <f>47.35*0.13</f>
        <v>6.1555</v>
      </c>
      <c r="BS4" s="7"/>
      <c r="BT4" s="7">
        <f>SUM(BQ4:BS4)</f>
        <v>12.074249999999999</v>
      </c>
      <c r="BU4" s="7">
        <f t="shared" ref="BU4:BU11" si="2">BT4+BO4</f>
        <v>47.35</v>
      </c>
      <c r="BV4" s="7"/>
      <c r="BW4" s="7">
        <v>96.45</v>
      </c>
      <c r="BX4" s="7"/>
      <c r="BY4" s="7">
        <f>BU4+BW4</f>
        <v>143.80000000000001</v>
      </c>
      <c r="BZ4" s="7"/>
      <c r="CA4" s="7"/>
      <c r="CB4" s="7"/>
      <c r="CC4" s="7">
        <v>1.63</v>
      </c>
      <c r="CD4" s="7"/>
      <c r="CE4" s="7"/>
      <c r="CF4" s="7"/>
      <c r="CG4" s="7"/>
      <c r="CH4" s="7"/>
      <c r="CI4" s="7"/>
      <c r="CJ4" s="7"/>
      <c r="CK4" s="7"/>
      <c r="CL4" s="7"/>
      <c r="CM4" s="5" t="s">
        <v>140</v>
      </c>
      <c r="CN4" s="10" t="s">
        <v>141</v>
      </c>
      <c r="CO4" s="14" t="s">
        <v>142</v>
      </c>
      <c r="CP4" s="11" t="s">
        <v>143</v>
      </c>
    </row>
    <row r="5" spans="1:94" x14ac:dyDescent="0.25">
      <c r="A5" s="5" t="s">
        <v>135</v>
      </c>
      <c r="B5" s="5" t="s">
        <v>144</v>
      </c>
      <c r="C5" s="6" t="s">
        <v>145</v>
      </c>
      <c r="D5" s="5" t="s">
        <v>138</v>
      </c>
      <c r="E5" s="5" t="s">
        <v>146</v>
      </c>
      <c r="F5" s="5">
        <v>2011</v>
      </c>
      <c r="G5" s="5">
        <v>2011</v>
      </c>
      <c r="H5" s="5">
        <v>1</v>
      </c>
      <c r="I5" s="12">
        <v>1</v>
      </c>
      <c r="J5" s="12">
        <v>1</v>
      </c>
      <c r="K5" s="12">
        <v>1</v>
      </c>
      <c r="L5" s="12">
        <v>0</v>
      </c>
      <c r="M5" s="12">
        <v>0</v>
      </c>
      <c r="N5" s="7">
        <v>19.3</v>
      </c>
      <c r="O5" s="13">
        <f t="shared" si="0"/>
        <v>171.60000000000002</v>
      </c>
      <c r="P5" s="7">
        <v>1700</v>
      </c>
      <c r="Q5" s="7"/>
      <c r="R5" s="6"/>
      <c r="S5" s="7"/>
      <c r="T5" s="7"/>
      <c r="U5" s="7"/>
      <c r="V5" s="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5"/>
      <c r="AU5" s="7"/>
      <c r="AV5" s="7">
        <v>3800</v>
      </c>
      <c r="AW5" s="7"/>
      <c r="AX5" s="7"/>
      <c r="AY5" s="7"/>
      <c r="AZ5" s="6"/>
      <c r="BA5" s="6"/>
      <c r="BB5" s="6"/>
      <c r="BC5" s="7"/>
      <c r="BD5" s="7"/>
      <c r="BE5" s="7"/>
      <c r="BF5" s="7"/>
      <c r="BG5" s="7"/>
      <c r="BH5" s="7"/>
      <c r="BI5" s="7"/>
      <c r="BJ5" s="7"/>
      <c r="BK5" s="7"/>
      <c r="BL5" s="6"/>
      <c r="BM5" s="6">
        <f>51.95*0.145</f>
        <v>7.5327500000000001</v>
      </c>
      <c r="BN5" s="6">
        <f>51.95*0.6</f>
        <v>31.17</v>
      </c>
      <c r="BO5" s="7">
        <f>SUM(BL5:BN5)</f>
        <v>38.702750000000002</v>
      </c>
      <c r="BP5" s="7">
        <f t="shared" si="1"/>
        <v>0.34228187919463088</v>
      </c>
      <c r="BQ5" s="7">
        <f>51.95*0.125</f>
        <v>6.4937500000000004</v>
      </c>
      <c r="BR5" s="7">
        <f>51.95*0.13</f>
        <v>6.7535000000000007</v>
      </c>
      <c r="BS5" s="7"/>
      <c r="BT5" s="7">
        <f>SUM(BQ5:BS5)</f>
        <v>13.247250000000001</v>
      </c>
      <c r="BU5" s="7">
        <f t="shared" si="2"/>
        <v>51.95</v>
      </c>
      <c r="BV5" s="7"/>
      <c r="BW5" s="7">
        <v>107.54</v>
      </c>
      <c r="BX5" s="7"/>
      <c r="BY5" s="7">
        <f>BU5+BW5</f>
        <v>159.49</v>
      </c>
      <c r="BZ5" s="7"/>
      <c r="CA5" s="7"/>
      <c r="CB5" s="7"/>
      <c r="CC5" s="7">
        <v>1.58</v>
      </c>
      <c r="CD5" s="7"/>
      <c r="CE5" s="7"/>
      <c r="CF5" s="7"/>
      <c r="CG5" s="7"/>
      <c r="CH5" s="7"/>
      <c r="CI5" s="7"/>
      <c r="CJ5" s="7"/>
      <c r="CK5" s="7"/>
      <c r="CL5" s="7"/>
      <c r="CM5" s="5" t="s">
        <v>147</v>
      </c>
      <c r="CN5" s="10" t="s">
        <v>141</v>
      </c>
      <c r="CO5" s="14" t="s">
        <v>142</v>
      </c>
      <c r="CP5" s="11" t="s">
        <v>143</v>
      </c>
    </row>
    <row r="6" spans="1:94" x14ac:dyDescent="0.25">
      <c r="A6" s="5" t="s">
        <v>135</v>
      </c>
      <c r="B6" s="5" t="s">
        <v>148</v>
      </c>
      <c r="C6" s="6" t="s">
        <v>149</v>
      </c>
      <c r="D6" s="5" t="s">
        <v>150</v>
      </c>
      <c r="E6" s="5" t="s">
        <v>151</v>
      </c>
      <c r="F6" s="5">
        <v>1993</v>
      </c>
      <c r="G6" s="12">
        <v>2000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7">
        <v>12.8</v>
      </c>
      <c r="O6" s="13">
        <f t="shared" si="0"/>
        <v>93.600000000000009</v>
      </c>
      <c r="P6" s="7">
        <v>2678.8</v>
      </c>
      <c r="Q6" s="7"/>
      <c r="R6" s="7">
        <v>1100</v>
      </c>
      <c r="S6" s="7">
        <v>86.6</v>
      </c>
      <c r="T6" s="7">
        <v>1434.3</v>
      </c>
      <c r="U6" s="7">
        <v>0.91</v>
      </c>
      <c r="V6" s="6"/>
      <c r="W6" s="7"/>
      <c r="X6" s="7">
        <v>5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>
        <f>(448.91/1000/1000)*10000</f>
        <v>4.4891000000000005</v>
      </c>
      <c r="AQ6" s="7"/>
      <c r="AR6" s="7"/>
      <c r="AS6" s="7">
        <f>(95.75/1000/1000)*10000</f>
        <v>0.95750000000000002</v>
      </c>
      <c r="AT6" s="7">
        <f>(68.43/1000/1000)*10000</f>
        <v>0.68430000000000002</v>
      </c>
      <c r="AU6" s="7">
        <f>(27.32/1000/1000)*10000</f>
        <v>0.2732</v>
      </c>
      <c r="AV6" s="7"/>
      <c r="AW6" s="7"/>
      <c r="AX6" s="7"/>
      <c r="AY6" s="7"/>
      <c r="AZ6" s="6"/>
      <c r="BA6" s="6"/>
      <c r="BB6" s="6"/>
      <c r="BC6" s="7"/>
      <c r="BD6" s="7"/>
      <c r="BE6" s="7"/>
      <c r="BF6" s="7"/>
      <c r="BG6" s="7"/>
      <c r="BH6" s="7"/>
      <c r="BI6" s="7"/>
      <c r="BJ6" s="7"/>
      <c r="BK6" s="7"/>
      <c r="BL6" s="6"/>
      <c r="BM6" s="6"/>
      <c r="BN6" s="6"/>
      <c r="BO6" s="13">
        <f>71.6*0.5</f>
        <v>35.799999999999997</v>
      </c>
      <c r="BP6" s="13">
        <f t="shared" si="1"/>
        <v>0.85474860335195546</v>
      </c>
      <c r="BQ6" s="7"/>
      <c r="BR6" s="7"/>
      <c r="BS6" s="7"/>
      <c r="BT6" s="13">
        <f>61.2*0.5</f>
        <v>30.6</v>
      </c>
      <c r="BU6" s="13">
        <f t="shared" si="2"/>
        <v>66.400000000000006</v>
      </c>
      <c r="BV6" s="7"/>
      <c r="BW6" s="7"/>
      <c r="BX6" s="7"/>
      <c r="BY6" s="7"/>
      <c r="BZ6" s="7"/>
      <c r="CA6" s="7"/>
      <c r="CB6" s="7">
        <f>16.1281*0.5</f>
        <v>8.0640499999999999</v>
      </c>
      <c r="CC6" s="13">
        <f>(1.2989+0.2015+0.296)*0.5</f>
        <v>0.8982</v>
      </c>
      <c r="CD6" s="13">
        <f>SUM(BZ6:CC6)</f>
        <v>8.9622499999999992</v>
      </c>
      <c r="CE6" s="7"/>
      <c r="CF6" s="7"/>
      <c r="CG6" s="7"/>
      <c r="CH6" s="7"/>
      <c r="CI6" s="7"/>
      <c r="CJ6" s="7"/>
      <c r="CK6" s="7"/>
      <c r="CL6" s="7"/>
      <c r="CM6" s="5" t="s">
        <v>152</v>
      </c>
      <c r="CN6" s="10" t="s">
        <v>153</v>
      </c>
      <c r="CO6" s="14" t="s">
        <v>154</v>
      </c>
      <c r="CP6" s="11" t="s">
        <v>143</v>
      </c>
    </row>
    <row r="7" spans="1:94" x14ac:dyDescent="0.25">
      <c r="A7" s="5" t="s">
        <v>135</v>
      </c>
      <c r="B7" s="5" t="s">
        <v>155</v>
      </c>
      <c r="C7" s="6" t="s">
        <v>145</v>
      </c>
      <c r="D7" s="5" t="s">
        <v>156</v>
      </c>
      <c r="E7" s="5" t="s">
        <v>157</v>
      </c>
      <c r="F7" s="5">
        <v>2011</v>
      </c>
      <c r="G7" s="5">
        <v>2011</v>
      </c>
      <c r="H7" s="5">
        <v>1</v>
      </c>
      <c r="I7" s="12">
        <v>1</v>
      </c>
      <c r="J7" s="12">
        <v>1</v>
      </c>
      <c r="K7" s="12">
        <v>1</v>
      </c>
      <c r="L7" s="12">
        <v>0</v>
      </c>
      <c r="M7" s="12">
        <v>0</v>
      </c>
      <c r="N7" s="7">
        <v>19.3</v>
      </c>
      <c r="O7" s="13">
        <f t="shared" si="0"/>
        <v>171.60000000000002</v>
      </c>
      <c r="P7" s="7">
        <v>1700</v>
      </c>
      <c r="Q7" s="7"/>
      <c r="R7" s="6"/>
      <c r="S7" s="7"/>
      <c r="T7" s="7"/>
      <c r="U7" s="7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5"/>
      <c r="AU7" s="7"/>
      <c r="AV7" s="7">
        <v>3330</v>
      </c>
      <c r="AW7" s="7"/>
      <c r="AX7" s="7"/>
      <c r="AY7" s="7"/>
      <c r="AZ7" s="6"/>
      <c r="BA7" s="6"/>
      <c r="BB7" s="6"/>
      <c r="BC7" s="7"/>
      <c r="BD7" s="7"/>
      <c r="BE7" s="7"/>
      <c r="BF7" s="7"/>
      <c r="BG7" s="7"/>
      <c r="BH7" s="7"/>
      <c r="BI7" s="7"/>
      <c r="BJ7" s="7"/>
      <c r="BK7" s="7"/>
      <c r="BL7" s="6"/>
      <c r="BM7" s="6">
        <f>58.7*0.145</f>
        <v>8.5114999999999998</v>
      </c>
      <c r="BN7" s="6">
        <f>58.7*0.6</f>
        <v>35.22</v>
      </c>
      <c r="BO7" s="7">
        <f>SUM(BL7:BN7)</f>
        <v>43.731499999999997</v>
      </c>
      <c r="BP7" s="7">
        <f t="shared" si="1"/>
        <v>0.34228187919463093</v>
      </c>
      <c r="BQ7" s="7">
        <f>58.7*0.125</f>
        <v>7.3375000000000004</v>
      </c>
      <c r="BR7" s="7">
        <f>58.7*0.13</f>
        <v>7.6310000000000002</v>
      </c>
      <c r="BS7" s="7"/>
      <c r="BT7" s="7">
        <f>SUM(BQ7:BS7)</f>
        <v>14.968500000000001</v>
      </c>
      <c r="BU7" s="7">
        <f t="shared" si="2"/>
        <v>58.699999999999996</v>
      </c>
      <c r="BV7" s="7"/>
      <c r="BW7" s="7">
        <v>79.14</v>
      </c>
      <c r="BX7" s="7"/>
      <c r="BY7" s="7">
        <f>BU7+BW7</f>
        <v>137.84</v>
      </c>
      <c r="BZ7" s="7"/>
      <c r="CA7" s="7"/>
      <c r="CB7" s="7"/>
      <c r="CC7" s="7">
        <v>1.71</v>
      </c>
      <c r="CD7" s="7"/>
      <c r="CE7" s="7"/>
      <c r="CF7" s="7"/>
      <c r="CG7" s="7"/>
      <c r="CH7" s="7"/>
      <c r="CI7" s="7"/>
      <c r="CJ7" s="7"/>
      <c r="CK7" s="7"/>
      <c r="CL7" s="7"/>
      <c r="CM7" s="5" t="s">
        <v>158</v>
      </c>
      <c r="CN7" s="10" t="s">
        <v>141</v>
      </c>
      <c r="CO7" s="14" t="s">
        <v>142</v>
      </c>
      <c r="CP7" s="11" t="s">
        <v>143</v>
      </c>
    </row>
    <row r="8" spans="1:94" x14ac:dyDescent="0.25">
      <c r="A8" s="5" t="s">
        <v>135</v>
      </c>
      <c r="B8" s="5" t="s">
        <v>159</v>
      </c>
      <c r="C8" s="6" t="s">
        <v>160</v>
      </c>
      <c r="D8" s="5" t="s">
        <v>161</v>
      </c>
      <c r="E8" s="5" t="s">
        <v>162</v>
      </c>
      <c r="F8" s="12">
        <v>1995</v>
      </c>
      <c r="G8" s="5">
        <v>2008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7">
        <v>23</v>
      </c>
      <c r="O8" s="13">
        <f t="shared" si="0"/>
        <v>216</v>
      </c>
      <c r="P8" s="7">
        <v>2000</v>
      </c>
      <c r="Q8" s="7"/>
      <c r="R8" s="13">
        <v>800</v>
      </c>
      <c r="S8" s="7"/>
      <c r="T8" s="7"/>
      <c r="U8" s="7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"/>
      <c r="AU8" s="10"/>
      <c r="AV8" s="7">
        <v>2566.67</v>
      </c>
      <c r="AW8" s="7">
        <f>(10.5+13.5)/2</f>
        <v>12</v>
      </c>
      <c r="AX8" s="7"/>
      <c r="AY8" s="7">
        <f>(AW8/2)^2*PI()*AV8/10000</f>
        <v>29.028353818281531</v>
      </c>
      <c r="AZ8" s="6"/>
      <c r="BA8" s="6"/>
      <c r="BB8" s="6"/>
      <c r="BC8" s="7"/>
      <c r="BD8" s="7"/>
      <c r="BE8" s="7"/>
      <c r="BF8" s="7"/>
      <c r="BG8" s="7"/>
      <c r="BH8" s="7"/>
      <c r="BI8" s="7"/>
      <c r="BJ8" s="7"/>
      <c r="BK8" s="7"/>
      <c r="BL8" s="13">
        <f>4.825*0.5</f>
        <v>2.4125000000000001</v>
      </c>
      <c r="BM8" s="13">
        <f>9.3586*0.5</f>
        <v>4.6792999999999996</v>
      </c>
      <c r="BN8" s="13">
        <f>58.5427*0.5</f>
        <v>29.271350000000002</v>
      </c>
      <c r="BO8" s="13">
        <f>SUM(BL8:BN8)</f>
        <v>36.363150000000005</v>
      </c>
      <c r="BP8" s="7">
        <f t="shared" si="1"/>
        <v>0.25643267978709211</v>
      </c>
      <c r="BQ8" s="13">
        <f>9.7892*0.5</f>
        <v>4.8945999999999996</v>
      </c>
      <c r="BR8" s="7"/>
      <c r="BS8" s="13">
        <f>8.8602*0.5</f>
        <v>4.4301000000000004</v>
      </c>
      <c r="BT8" s="13">
        <f>SUM(BQ8:BS8)</f>
        <v>9.3247</v>
      </c>
      <c r="BU8" s="13">
        <f t="shared" si="2"/>
        <v>45.687850000000005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5" t="s">
        <v>163</v>
      </c>
      <c r="CN8" s="10" t="s">
        <v>141</v>
      </c>
      <c r="CO8" s="14" t="s">
        <v>164</v>
      </c>
      <c r="CP8" s="11" t="s">
        <v>165</v>
      </c>
    </row>
    <row r="9" spans="1:94" x14ac:dyDescent="0.25">
      <c r="A9" s="5" t="s">
        <v>135</v>
      </c>
      <c r="B9" s="5" t="s">
        <v>166</v>
      </c>
      <c r="C9" s="6" t="s">
        <v>160</v>
      </c>
      <c r="D9" s="5" t="s">
        <v>167</v>
      </c>
      <c r="E9" s="5" t="s">
        <v>168</v>
      </c>
      <c r="F9" s="5">
        <v>2007</v>
      </c>
      <c r="G9" s="5">
        <v>2008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7">
        <v>23</v>
      </c>
      <c r="O9" s="13">
        <f t="shared" si="0"/>
        <v>216</v>
      </c>
      <c r="P9" s="7">
        <v>2000</v>
      </c>
      <c r="Q9" s="7"/>
      <c r="R9" s="7">
        <f>(580+1604.8)/2</f>
        <v>1092.4000000000001</v>
      </c>
      <c r="S9" s="7">
        <v>80</v>
      </c>
      <c r="T9" s="7"/>
      <c r="U9" s="7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5"/>
      <c r="AU9" s="10"/>
      <c r="AV9" s="7">
        <v>2770.33</v>
      </c>
      <c r="AW9" s="7">
        <f>(10.5+12.5)/2</f>
        <v>11.5</v>
      </c>
      <c r="AX9" s="7"/>
      <c r="AY9" s="7">
        <f>(AW9/2)^2*PI()*AV9/10000</f>
        <v>28.775114943214181</v>
      </c>
      <c r="AZ9" s="6"/>
      <c r="BA9" s="6"/>
      <c r="BB9" s="6"/>
      <c r="BC9" s="7"/>
      <c r="BD9" s="7"/>
      <c r="BE9" s="7"/>
      <c r="BF9" s="7"/>
      <c r="BG9" s="7"/>
      <c r="BH9" s="7"/>
      <c r="BI9" s="7"/>
      <c r="BJ9" s="7"/>
      <c r="BK9" s="7"/>
      <c r="BL9" s="13">
        <f>6.537*0.5</f>
        <v>3.2685</v>
      </c>
      <c r="BM9" s="13">
        <f>12.664*0.5</f>
        <v>6.3319999999999999</v>
      </c>
      <c r="BN9" s="13">
        <f>85.905*0.5</f>
        <v>42.952500000000001</v>
      </c>
      <c r="BO9" s="13">
        <f>SUM(BL9:BN9)</f>
        <v>52.552999999999997</v>
      </c>
      <c r="BP9" s="7">
        <f t="shared" si="1"/>
        <v>0.36447015393983223</v>
      </c>
      <c r="BQ9" s="13">
        <f>(13.56+3.552)*0.5</f>
        <v>8.5560000000000009</v>
      </c>
      <c r="BR9" s="13">
        <f>9.17*0.5</f>
        <v>4.585</v>
      </c>
      <c r="BS9" s="13">
        <f>12.026*0.5</f>
        <v>6.0129999999999999</v>
      </c>
      <c r="BT9" s="13">
        <f>SUM(BQ9:BS9)</f>
        <v>19.154000000000003</v>
      </c>
      <c r="BU9" s="13">
        <f t="shared" si="2"/>
        <v>71.706999999999994</v>
      </c>
      <c r="BV9" s="7"/>
      <c r="BW9" s="7"/>
      <c r="BX9" s="7"/>
      <c r="BY9" s="7"/>
      <c r="BZ9" s="13">
        <f>5.886*0.5</f>
        <v>2.9430000000000001</v>
      </c>
      <c r="CA9" s="13">
        <f>5.53581*0.5</f>
        <v>2.7679049999999998</v>
      </c>
      <c r="CB9" s="13">
        <f>35.28824*0.5</f>
        <v>17.644120000000001</v>
      </c>
      <c r="CC9" s="6"/>
      <c r="CD9" s="13">
        <f>SUM(BZ9:CC9)</f>
        <v>23.355025000000001</v>
      </c>
      <c r="CE9" s="13">
        <f>(3.18106+1.45924)*0.5</f>
        <v>2.3201499999999999</v>
      </c>
      <c r="CF9" s="13">
        <f>3.76702*0.5</f>
        <v>1.88351</v>
      </c>
      <c r="CG9" s="13">
        <f>4.66874*0.5</f>
        <v>2.3343699999999998</v>
      </c>
      <c r="CH9" s="13">
        <f>SUM(CE9:CG9)</f>
        <v>6.53803</v>
      </c>
      <c r="CI9" s="13">
        <f>CH9+CD9</f>
        <v>29.893055</v>
      </c>
      <c r="CJ9" s="7"/>
      <c r="CK9" s="7"/>
      <c r="CL9" s="7"/>
      <c r="CM9" s="5" t="s">
        <v>169</v>
      </c>
      <c r="CN9" s="10" t="s">
        <v>170</v>
      </c>
      <c r="CO9" s="14" t="s">
        <v>171</v>
      </c>
      <c r="CP9" s="11" t="s">
        <v>172</v>
      </c>
    </row>
    <row r="10" spans="1:94" x14ac:dyDescent="0.25">
      <c r="A10" s="5" t="s">
        <v>135</v>
      </c>
      <c r="B10" s="5" t="s">
        <v>159</v>
      </c>
      <c r="C10" s="6" t="s">
        <v>160</v>
      </c>
      <c r="D10" s="5" t="s">
        <v>173</v>
      </c>
      <c r="E10" s="5" t="s">
        <v>174</v>
      </c>
      <c r="F10" s="12">
        <v>1995</v>
      </c>
      <c r="G10" s="5">
        <v>2008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0</v>
      </c>
      <c r="N10" s="7">
        <v>23</v>
      </c>
      <c r="O10" s="13">
        <f t="shared" si="0"/>
        <v>216</v>
      </c>
      <c r="P10" s="7">
        <v>2000</v>
      </c>
      <c r="Q10" s="7"/>
      <c r="R10" s="13">
        <v>800</v>
      </c>
      <c r="S10" s="7"/>
      <c r="T10" s="7"/>
      <c r="U10" s="7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5"/>
      <c r="AU10" s="10"/>
      <c r="AV10" s="7">
        <v>2833.33</v>
      </c>
      <c r="AW10" s="7">
        <f>(10.5+13.5)/2</f>
        <v>12</v>
      </c>
      <c r="AX10" s="7"/>
      <c r="AY10" s="7">
        <f>(AW10/2)^2*PI()*AV10/10000</f>
        <v>32.044207367504043</v>
      </c>
      <c r="AZ10" s="6"/>
      <c r="BA10" s="6"/>
      <c r="BB10" s="6"/>
      <c r="BC10" s="7"/>
      <c r="BD10" s="7"/>
      <c r="BE10" s="7"/>
      <c r="BF10" s="7"/>
      <c r="BG10" s="7"/>
      <c r="BH10" s="7"/>
      <c r="BI10" s="7"/>
      <c r="BJ10" s="7"/>
      <c r="BK10" s="7"/>
      <c r="BL10" s="13">
        <f>5.1296*0.5</f>
        <v>2.5648</v>
      </c>
      <c r="BM10" s="13">
        <f>9.8915*0.5</f>
        <v>4.9457500000000003</v>
      </c>
      <c r="BN10" s="13">
        <f>66.7851*0.5</f>
        <v>33.39255</v>
      </c>
      <c r="BO10" s="13">
        <f>SUM(BL10:BN10)</f>
        <v>40.903100000000002</v>
      </c>
      <c r="BP10" s="7">
        <f t="shared" si="1"/>
        <v>0.23887798235341573</v>
      </c>
      <c r="BQ10" s="13">
        <f>10.1972*0.5</f>
        <v>5.0986000000000002</v>
      </c>
      <c r="BR10" s="7"/>
      <c r="BS10" s="13">
        <f>9.3445*0.5</f>
        <v>4.67225</v>
      </c>
      <c r="BT10" s="13">
        <f>SUM(BQ10:BS10)</f>
        <v>9.7708499999999994</v>
      </c>
      <c r="BU10" s="13">
        <f t="shared" si="2"/>
        <v>50.673950000000005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5" t="s">
        <v>175</v>
      </c>
      <c r="CN10" s="10" t="s">
        <v>176</v>
      </c>
      <c r="CO10" s="14" t="s">
        <v>177</v>
      </c>
      <c r="CP10" s="11" t="s">
        <v>143</v>
      </c>
    </row>
    <row r="11" spans="1:94" x14ac:dyDescent="0.25">
      <c r="A11" s="5" t="s">
        <v>135</v>
      </c>
      <c r="B11" s="5" t="s">
        <v>159</v>
      </c>
      <c r="C11" s="6" t="s">
        <v>178</v>
      </c>
      <c r="D11" s="5" t="s">
        <v>179</v>
      </c>
      <c r="E11" s="5" t="s">
        <v>180</v>
      </c>
      <c r="F11" s="12">
        <v>1995</v>
      </c>
      <c r="G11" s="5">
        <v>2008</v>
      </c>
      <c r="H11" s="5">
        <v>1</v>
      </c>
      <c r="I11" s="5">
        <v>0</v>
      </c>
      <c r="J11" s="5">
        <v>1</v>
      </c>
      <c r="K11" s="5">
        <v>1</v>
      </c>
      <c r="L11" s="5">
        <v>0</v>
      </c>
      <c r="M11" s="5">
        <v>0</v>
      </c>
      <c r="N11" s="7">
        <v>23</v>
      </c>
      <c r="O11" s="13">
        <f t="shared" si="0"/>
        <v>216</v>
      </c>
      <c r="P11" s="7">
        <v>2000</v>
      </c>
      <c r="Q11" s="7"/>
      <c r="R11" s="13">
        <v>800</v>
      </c>
      <c r="S11" s="7"/>
      <c r="T11" s="7"/>
      <c r="U11" s="7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5"/>
      <c r="AU11" s="10"/>
      <c r="AV11" s="7">
        <v>2629</v>
      </c>
      <c r="AW11" s="7">
        <f>(8.5+11.5)/2</f>
        <v>10</v>
      </c>
      <c r="AX11" s="7"/>
      <c r="AY11" s="7">
        <f>(AW11/2)^2*PI()*AV11/10000</f>
        <v>20.648117715718918</v>
      </c>
      <c r="AZ11" s="6"/>
      <c r="BA11" s="6"/>
      <c r="BB11" s="6"/>
      <c r="BC11" s="7"/>
      <c r="BD11" s="7"/>
      <c r="BE11" s="7"/>
      <c r="BF11" s="7"/>
      <c r="BG11" s="7"/>
      <c r="BH11" s="7"/>
      <c r="BI11" s="7"/>
      <c r="BJ11" s="7"/>
      <c r="BK11" s="7"/>
      <c r="BL11" s="13">
        <f>3.0425*0.5</f>
        <v>1.52125</v>
      </c>
      <c r="BM11" s="13">
        <f>5.962*0.5</f>
        <v>2.9809999999999999</v>
      </c>
      <c r="BN11" s="13">
        <f>39.9792*0.5</f>
        <v>19.989599999999999</v>
      </c>
      <c r="BO11" s="13">
        <f>SUM(BL11:BN11)</f>
        <v>24.491849999999999</v>
      </c>
      <c r="BP11" s="7">
        <f t="shared" si="1"/>
        <v>0.23912648493274294</v>
      </c>
      <c r="BQ11" s="13">
        <f>6.2232*0.5</f>
        <v>3.1116000000000001</v>
      </c>
      <c r="BR11" s="7"/>
      <c r="BS11" s="13">
        <f>5.4901*0.5</f>
        <v>2.74505</v>
      </c>
      <c r="BT11" s="13">
        <f>SUM(BQ11:BS11)</f>
        <v>5.8566500000000001</v>
      </c>
      <c r="BU11" s="13">
        <f t="shared" si="2"/>
        <v>30.348500000000001</v>
      </c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5" t="s">
        <v>175</v>
      </c>
      <c r="CN11" s="10" t="s">
        <v>141</v>
      </c>
      <c r="CO11" s="14" t="s">
        <v>164</v>
      </c>
      <c r="CP11" s="11" t="s">
        <v>181</v>
      </c>
    </row>
    <row r="12" spans="1:94" x14ac:dyDescent="0.25">
      <c r="A12" s="5" t="s">
        <v>135</v>
      </c>
      <c r="B12" s="5" t="s">
        <v>182</v>
      </c>
      <c r="C12" s="6" t="s">
        <v>183</v>
      </c>
      <c r="D12" s="5" t="s">
        <v>184</v>
      </c>
      <c r="E12" s="5" t="s">
        <v>185</v>
      </c>
      <c r="F12" s="5">
        <v>2000</v>
      </c>
      <c r="G12" s="5">
        <v>2011</v>
      </c>
      <c r="H12" s="5">
        <v>1</v>
      </c>
      <c r="I12" s="12">
        <v>0</v>
      </c>
      <c r="J12" s="5">
        <v>1</v>
      </c>
      <c r="K12" s="12">
        <v>1</v>
      </c>
      <c r="L12" s="12">
        <v>0</v>
      </c>
      <c r="M12" s="12">
        <v>0</v>
      </c>
      <c r="N12" s="7">
        <v>16.899999999999999</v>
      </c>
      <c r="O12" s="13">
        <f t="shared" si="0"/>
        <v>142.79999999999998</v>
      </c>
      <c r="P12" s="7">
        <f>(1251+1608)/2</f>
        <v>1429.5</v>
      </c>
      <c r="Q12" s="7"/>
      <c r="R12" s="7">
        <v>112</v>
      </c>
      <c r="S12" s="7"/>
      <c r="T12" s="7"/>
      <c r="U12" s="7"/>
      <c r="V12" s="6"/>
      <c r="W12" s="7"/>
      <c r="X12" s="7"/>
      <c r="Y12" s="7">
        <v>2.0299999999999998</v>
      </c>
      <c r="Z12" s="7">
        <v>0.37</v>
      </c>
      <c r="AA12" s="7">
        <v>15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5"/>
      <c r="AU12" s="7"/>
      <c r="AV12" s="7"/>
      <c r="AW12" s="7">
        <v>8.3000000000000007</v>
      </c>
      <c r="AX12" s="7">
        <v>13.1</v>
      </c>
      <c r="AY12" s="7"/>
      <c r="AZ12" s="6"/>
      <c r="BA12" s="6"/>
      <c r="BB12" s="6"/>
      <c r="BC12" s="7"/>
      <c r="BD12" s="7"/>
      <c r="BE12" s="7"/>
      <c r="BF12" s="7"/>
      <c r="BG12" s="7"/>
      <c r="BH12" s="7"/>
      <c r="BI12" s="7"/>
      <c r="BJ12" s="7">
        <f>25.86/1000*100</f>
        <v>2.5860000000000003</v>
      </c>
      <c r="BK12" s="7">
        <f>25.86/1000*100</f>
        <v>2.5860000000000003</v>
      </c>
      <c r="BL12" s="6"/>
      <c r="BM12" s="6"/>
      <c r="BN12" s="6"/>
      <c r="BO12" s="13">
        <f>4006.1*10000/1000/1000*0.5</f>
        <v>20.0305</v>
      </c>
      <c r="BP12" s="7"/>
      <c r="BQ12" s="13">
        <f>(419.2+249.3)*10000/1000/1000*0.5</f>
        <v>3.3424999999999998</v>
      </c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13">
        <f>384.9*10000/1000/1000*0.5</f>
        <v>1.9245000000000001</v>
      </c>
      <c r="CD12" s="7"/>
      <c r="CE12" s="7"/>
      <c r="CF12" s="7"/>
      <c r="CG12" s="7"/>
      <c r="CH12" s="7"/>
      <c r="CI12" s="7"/>
      <c r="CJ12" s="7"/>
      <c r="CK12" s="7"/>
      <c r="CL12" s="7"/>
      <c r="CM12" s="5" t="s">
        <v>186</v>
      </c>
      <c r="CN12" s="10" t="s">
        <v>141</v>
      </c>
      <c r="CO12" s="14" t="s">
        <v>187</v>
      </c>
      <c r="CP12" s="11" t="s">
        <v>143</v>
      </c>
    </row>
    <row r="13" spans="1:94" x14ac:dyDescent="0.25">
      <c r="A13" s="5" t="s">
        <v>135</v>
      </c>
      <c r="B13" s="5" t="s">
        <v>182</v>
      </c>
      <c r="C13" s="6" t="s">
        <v>188</v>
      </c>
      <c r="D13" s="5" t="s">
        <v>189</v>
      </c>
      <c r="E13" s="5" t="s">
        <v>190</v>
      </c>
      <c r="F13" s="5">
        <v>2000</v>
      </c>
      <c r="G13" s="5">
        <v>2011</v>
      </c>
      <c r="H13" s="5">
        <v>1</v>
      </c>
      <c r="I13" s="12">
        <v>0</v>
      </c>
      <c r="J13" s="5">
        <v>1</v>
      </c>
      <c r="K13" s="12">
        <v>1</v>
      </c>
      <c r="L13" s="12">
        <v>0</v>
      </c>
      <c r="M13" s="12">
        <v>0</v>
      </c>
      <c r="N13" s="7">
        <v>16.899999999999999</v>
      </c>
      <c r="O13" s="13">
        <f t="shared" si="0"/>
        <v>142.79999999999998</v>
      </c>
      <c r="P13" s="7">
        <f>(1251+1608)/2</f>
        <v>1429.5</v>
      </c>
      <c r="Q13" s="7"/>
      <c r="R13" s="7">
        <v>168</v>
      </c>
      <c r="S13" s="7"/>
      <c r="T13" s="7"/>
      <c r="U13" s="7"/>
      <c r="V13" s="6"/>
      <c r="W13" s="7"/>
      <c r="X13" s="7"/>
      <c r="Y13" s="7">
        <v>1.1200000000000001</v>
      </c>
      <c r="Z13" s="7">
        <v>0.31</v>
      </c>
      <c r="AA13" s="7">
        <v>12.7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5"/>
      <c r="AU13" s="7"/>
      <c r="AV13" s="7"/>
      <c r="AW13" s="7">
        <v>8.8000000000000007</v>
      </c>
      <c r="AX13" s="7">
        <v>12.3</v>
      </c>
      <c r="AY13" s="7"/>
      <c r="AZ13" s="6"/>
      <c r="BA13" s="6"/>
      <c r="BB13" s="6"/>
      <c r="BC13" s="7"/>
      <c r="BD13" s="7"/>
      <c r="BE13" s="7"/>
      <c r="BF13" s="7"/>
      <c r="BG13" s="7"/>
      <c r="BH13" s="7"/>
      <c r="BI13" s="7"/>
      <c r="BJ13" s="7">
        <f>23.72/1000*100</f>
        <v>2.3719999999999999</v>
      </c>
      <c r="BK13" s="7">
        <f>23.72/1000*100</f>
        <v>2.3719999999999999</v>
      </c>
      <c r="BL13" s="6"/>
      <c r="BM13" s="6"/>
      <c r="BN13" s="6"/>
      <c r="BO13" s="13">
        <f>3421.4*10000/1000/1000*0.5</f>
        <v>17.106999999999999</v>
      </c>
      <c r="BP13" s="7"/>
      <c r="BQ13" s="13">
        <f>(638.7+372.1)*10000/1000/1000*0.5</f>
        <v>5.0540000000000003</v>
      </c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13">
        <f>246.1*10000/1000/1000*0.5</f>
        <v>1.2304999999999999</v>
      </c>
      <c r="CD13" s="7"/>
      <c r="CE13" s="7"/>
      <c r="CF13" s="7"/>
      <c r="CG13" s="7"/>
      <c r="CH13" s="7"/>
      <c r="CI13" s="7"/>
      <c r="CJ13" s="7"/>
      <c r="CK13" s="7"/>
      <c r="CL13" s="7"/>
      <c r="CM13" s="5" t="s">
        <v>191</v>
      </c>
      <c r="CN13" s="10" t="s">
        <v>192</v>
      </c>
      <c r="CO13" s="14" t="s">
        <v>187</v>
      </c>
      <c r="CP13" s="11" t="s">
        <v>172</v>
      </c>
    </row>
    <row r="14" spans="1:94" x14ac:dyDescent="0.25">
      <c r="A14" s="5" t="s">
        <v>135</v>
      </c>
      <c r="B14" s="5" t="s">
        <v>193</v>
      </c>
      <c r="C14" s="6" t="s">
        <v>194</v>
      </c>
      <c r="D14" s="5" t="s">
        <v>195</v>
      </c>
      <c r="E14" s="5" t="s">
        <v>196</v>
      </c>
      <c r="F14" s="5">
        <v>2000</v>
      </c>
      <c r="G14" s="5">
        <v>2011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7">
        <v>16.899999999999999</v>
      </c>
      <c r="O14" s="13">
        <f t="shared" si="0"/>
        <v>142.79999999999998</v>
      </c>
      <c r="P14" s="7">
        <f>(1251+1608)/2</f>
        <v>1429.5</v>
      </c>
      <c r="Q14" s="7"/>
      <c r="R14" s="6">
        <v>161</v>
      </c>
      <c r="S14" s="7"/>
      <c r="T14" s="7"/>
      <c r="U14" s="7"/>
      <c r="V14" s="6"/>
      <c r="W14" s="7"/>
      <c r="X14" s="7"/>
      <c r="Y14" s="7">
        <v>1.33</v>
      </c>
      <c r="Z14" s="7">
        <v>0.32</v>
      </c>
      <c r="AA14" s="7">
        <v>9.68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5"/>
      <c r="AU14" s="7"/>
      <c r="AV14" s="7"/>
      <c r="AW14" s="7">
        <v>8.1999999999999993</v>
      </c>
      <c r="AX14" s="7">
        <v>11.1</v>
      </c>
      <c r="AY14" s="7"/>
      <c r="AZ14" s="6"/>
      <c r="BA14" s="6"/>
      <c r="BB14" s="6"/>
      <c r="BC14" s="7"/>
      <c r="BD14" s="7"/>
      <c r="BE14" s="7"/>
      <c r="BF14" s="7"/>
      <c r="BG14" s="7"/>
      <c r="BH14" s="7"/>
      <c r="BI14" s="7"/>
      <c r="BJ14" s="7">
        <f>26.41/1000*100</f>
        <v>2.641</v>
      </c>
      <c r="BK14" s="7">
        <f>26.41/1000*100</f>
        <v>2.641</v>
      </c>
      <c r="BL14" s="6"/>
      <c r="BM14" s="6"/>
      <c r="BN14" s="6"/>
      <c r="BO14" s="13">
        <f>2857.7*10000/1000/1000*0.5</f>
        <v>14.288500000000001</v>
      </c>
      <c r="BP14" s="7">
        <f>BT14/BO14</f>
        <v>0.27361164572908281</v>
      </c>
      <c r="BQ14" s="13">
        <f>(781.9+371.3)*10000/1000/1000*0.5</f>
        <v>5.766</v>
      </c>
      <c r="BR14" s="7"/>
      <c r="BS14" s="7"/>
      <c r="BT14" s="7">
        <v>3.9095</v>
      </c>
      <c r="BU14" s="7">
        <v>18.1995</v>
      </c>
      <c r="BV14" s="7"/>
      <c r="BW14" s="7">
        <v>86.17</v>
      </c>
      <c r="BX14" s="7"/>
      <c r="BY14" s="7">
        <v>104.3695</v>
      </c>
      <c r="BZ14" s="7"/>
      <c r="CA14" s="7"/>
      <c r="CB14" s="7"/>
      <c r="CC14" s="13">
        <f>401.8*10000/1000/1000*0.5</f>
        <v>2.0089999999999999</v>
      </c>
      <c r="CD14" s="7"/>
      <c r="CE14" s="7"/>
      <c r="CF14" s="7"/>
      <c r="CG14" s="7"/>
      <c r="CH14" s="7"/>
      <c r="CI14" s="7"/>
      <c r="CJ14" s="7"/>
      <c r="CK14" s="7"/>
      <c r="CL14" s="7"/>
      <c r="CM14" s="5" t="s">
        <v>197</v>
      </c>
      <c r="CN14" s="10" t="s">
        <v>192</v>
      </c>
      <c r="CO14" s="14" t="s">
        <v>187</v>
      </c>
      <c r="CP14" s="11" t="s">
        <v>172</v>
      </c>
    </row>
    <row r="15" spans="1:94" x14ac:dyDescent="0.25">
      <c r="A15" s="5" t="s">
        <v>135</v>
      </c>
      <c r="B15" s="5" t="s">
        <v>198</v>
      </c>
      <c r="C15" s="6" t="s">
        <v>199</v>
      </c>
      <c r="D15" s="8" t="s">
        <v>200</v>
      </c>
      <c r="E15" s="8" t="s">
        <v>201</v>
      </c>
      <c r="F15" s="5">
        <v>2005</v>
      </c>
      <c r="G15" s="5">
        <v>2006</v>
      </c>
      <c r="H15" s="12">
        <v>1</v>
      </c>
      <c r="I15" s="12">
        <v>0</v>
      </c>
      <c r="J15" s="12">
        <v>1</v>
      </c>
      <c r="K15" s="12">
        <v>0</v>
      </c>
      <c r="L15" s="12">
        <v>0</v>
      </c>
      <c r="M15" s="12">
        <v>0</v>
      </c>
      <c r="N15" s="7">
        <v>16.5</v>
      </c>
      <c r="O15" s="13">
        <f t="shared" si="0"/>
        <v>138</v>
      </c>
      <c r="P15" s="7">
        <f>1300</f>
        <v>1300</v>
      </c>
      <c r="Q15" s="7"/>
      <c r="R15" s="13">
        <v>379</v>
      </c>
      <c r="S15" s="7">
        <v>80</v>
      </c>
      <c r="T15" s="7">
        <v>1445.4</v>
      </c>
      <c r="U15" s="7"/>
      <c r="V15" s="6"/>
      <c r="W15" s="7"/>
      <c r="X15" s="7"/>
      <c r="Y15" s="7">
        <v>1.33</v>
      </c>
      <c r="Z15" s="7">
        <v>0.57999999999999996</v>
      </c>
      <c r="AA15" s="7">
        <v>21.6</v>
      </c>
      <c r="AB15" s="13">
        <f>((30.973762*2+15.999*5)/30.973762)*1.96</f>
        <v>8.9820328263644562</v>
      </c>
      <c r="AC15" s="13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5"/>
      <c r="AU15" s="7"/>
      <c r="AV15" s="7"/>
      <c r="AW15" s="7"/>
      <c r="AX15" s="7"/>
      <c r="AY15" s="7"/>
      <c r="AZ15" s="6"/>
      <c r="BA15" s="6"/>
      <c r="BB15" s="6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6"/>
      <c r="BN15" s="6"/>
      <c r="BO15" s="13"/>
      <c r="BP15" s="7"/>
      <c r="BQ15" s="7"/>
      <c r="BR15" s="7"/>
      <c r="BS15" s="7"/>
      <c r="BT15" s="7"/>
      <c r="BU15" s="7">
        <v>31.97</v>
      </c>
      <c r="BV15" s="7">
        <v>0.74</v>
      </c>
      <c r="BW15" s="7">
        <v>110.95</v>
      </c>
      <c r="BX15" s="7">
        <v>0.64</v>
      </c>
      <c r="BY15" s="7">
        <f>SUM(BU15:BX15)</f>
        <v>144.29999999999998</v>
      </c>
      <c r="BZ15" s="13"/>
      <c r="CA15" s="13"/>
      <c r="CB15" s="13">
        <v>8.2899999999999991</v>
      </c>
      <c r="CC15" s="7">
        <v>1.1100000000000001</v>
      </c>
      <c r="CD15" s="7">
        <f>SUM(BZ15:CC15)</f>
        <v>9.3999999999999986</v>
      </c>
      <c r="CE15" s="7">
        <v>0.96</v>
      </c>
      <c r="CF15" s="7"/>
      <c r="CG15" s="7"/>
      <c r="CH15" s="13">
        <f>SUM(CE15:CG15)</f>
        <v>0.96</v>
      </c>
      <c r="CI15" s="7">
        <f>CH15+CD15</f>
        <v>10.36</v>
      </c>
      <c r="CJ15" s="7">
        <f>33.941*12/44</f>
        <v>9.256636363636364</v>
      </c>
      <c r="CK15" s="7">
        <f>20.19*12/44</f>
        <v>5.5063636363636368</v>
      </c>
      <c r="CL15" s="13">
        <f>CI15-CK15</f>
        <v>4.8536363636363626</v>
      </c>
      <c r="CM15" s="5" t="s">
        <v>202</v>
      </c>
      <c r="CN15" s="10" t="s">
        <v>192</v>
      </c>
      <c r="CO15" s="14" t="s">
        <v>203</v>
      </c>
      <c r="CP15" s="11" t="s">
        <v>172</v>
      </c>
    </row>
    <row r="16" spans="1:94" x14ac:dyDescent="0.25">
      <c r="A16" s="5" t="s">
        <v>135</v>
      </c>
      <c r="B16" s="5" t="s">
        <v>204</v>
      </c>
      <c r="C16" s="6" t="s">
        <v>188</v>
      </c>
      <c r="D16" s="5" t="s">
        <v>205</v>
      </c>
      <c r="E16" s="5" t="s">
        <v>206</v>
      </c>
      <c r="F16" s="5">
        <v>2011</v>
      </c>
      <c r="G16" s="5">
        <v>2011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7">
        <f>(15.8+17.7)/2</f>
        <v>16.75</v>
      </c>
      <c r="O16" s="13">
        <v>141</v>
      </c>
      <c r="P16" s="7">
        <v>1590.9</v>
      </c>
      <c r="Q16" s="7"/>
      <c r="R16" s="7">
        <v>500</v>
      </c>
      <c r="S16" s="7"/>
      <c r="T16" s="7">
        <v>1657</v>
      </c>
      <c r="U16" s="7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5"/>
      <c r="AU16" s="7"/>
      <c r="AV16" s="7">
        <v>3000</v>
      </c>
      <c r="AW16" s="7">
        <v>9.5</v>
      </c>
      <c r="AX16" s="7"/>
      <c r="AY16" s="7">
        <f>(AW16/2)^2*PI()*AV16/10000</f>
        <v>21.264655273985909</v>
      </c>
      <c r="AZ16" s="6"/>
      <c r="BA16" s="6"/>
      <c r="BB16" s="6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6"/>
      <c r="BN16" s="6"/>
      <c r="BO16" s="13">
        <f>16.42*100/37.73*0.5</f>
        <v>21.759872780280947</v>
      </c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5" t="s">
        <v>207</v>
      </c>
      <c r="CN16" s="10" t="s">
        <v>208</v>
      </c>
      <c r="CO16" s="14" t="s">
        <v>209</v>
      </c>
      <c r="CP16" s="11" t="s">
        <v>172</v>
      </c>
    </row>
    <row r="17" spans="1:100" x14ac:dyDescent="0.25">
      <c r="A17" s="5" t="s">
        <v>135</v>
      </c>
      <c r="B17" s="5" t="s">
        <v>210</v>
      </c>
      <c r="C17" s="6" t="s">
        <v>199</v>
      </c>
      <c r="D17" s="5" t="s">
        <v>211</v>
      </c>
      <c r="E17" s="5" t="s">
        <v>212</v>
      </c>
      <c r="F17" s="5">
        <v>1977</v>
      </c>
      <c r="G17" s="5">
        <v>2008</v>
      </c>
      <c r="H17" s="5">
        <v>1</v>
      </c>
      <c r="I17" s="5">
        <v>1</v>
      </c>
      <c r="J17" s="5">
        <v>1</v>
      </c>
      <c r="K17" s="5">
        <v>1</v>
      </c>
      <c r="L17" s="5">
        <v>0</v>
      </c>
      <c r="M17" s="5">
        <v>0</v>
      </c>
      <c r="N17" s="7">
        <f>(15.9+16.2+(15.8+17.7)/2+16.5+18.7)/5</f>
        <v>16.809999999999999</v>
      </c>
      <c r="O17" s="13">
        <f>(N17-5)*12</f>
        <v>141.71999999999997</v>
      </c>
      <c r="P17" s="7">
        <f>(1424+1350+1591+1300+1568)/5</f>
        <v>1446.6</v>
      </c>
      <c r="Q17" s="7"/>
      <c r="R17" s="13">
        <v>3</v>
      </c>
      <c r="S17" s="7"/>
      <c r="T17" s="7"/>
      <c r="U17" s="7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5"/>
      <c r="AU17" s="7"/>
      <c r="AV17" s="7"/>
      <c r="AW17" s="7"/>
      <c r="AX17" s="7"/>
      <c r="AY17" s="7"/>
      <c r="AZ17" s="6"/>
      <c r="BA17" s="6"/>
      <c r="BB17" s="6"/>
      <c r="BC17" s="7"/>
      <c r="BD17" s="7"/>
      <c r="BE17" s="7"/>
      <c r="BF17" s="7"/>
      <c r="BG17" s="7"/>
      <c r="BH17" s="7"/>
      <c r="BI17" s="7"/>
      <c r="BJ17" s="7"/>
      <c r="BK17" s="7"/>
      <c r="BL17" s="6"/>
      <c r="BM17" s="6"/>
      <c r="BN17" s="6"/>
      <c r="BO17" s="13">
        <f>105.76*0.5</f>
        <v>52.88</v>
      </c>
      <c r="BP17" s="7">
        <f>BT17/BO17</f>
        <v>0.63350983358547652</v>
      </c>
      <c r="BQ17" s="7"/>
      <c r="BR17" s="7"/>
      <c r="BS17" s="7"/>
      <c r="BT17" s="13">
        <f>67*0.5</f>
        <v>33.5</v>
      </c>
      <c r="BU17" s="13">
        <f>BT17+BO17</f>
        <v>86.38</v>
      </c>
      <c r="BV17" s="13"/>
      <c r="BW17" s="7"/>
      <c r="BX17" s="7"/>
      <c r="BY17" s="7">
        <v>95.42</v>
      </c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5" t="s">
        <v>213</v>
      </c>
      <c r="CN17" s="10" t="s">
        <v>192</v>
      </c>
      <c r="CO17" s="14" t="s">
        <v>214</v>
      </c>
      <c r="CP17" s="11" t="s">
        <v>215</v>
      </c>
    </row>
    <row r="18" spans="1:100" x14ac:dyDescent="0.25">
      <c r="A18" s="5" t="s">
        <v>135</v>
      </c>
      <c r="B18" s="5" t="s">
        <v>216</v>
      </c>
      <c r="C18" s="6" t="s">
        <v>188</v>
      </c>
      <c r="D18" s="5" t="s">
        <v>217</v>
      </c>
      <c r="E18" s="5" t="s">
        <v>218</v>
      </c>
      <c r="F18" s="5">
        <v>1977</v>
      </c>
      <c r="G18" s="5">
        <v>2008</v>
      </c>
      <c r="H18" s="5">
        <v>1</v>
      </c>
      <c r="I18" s="5">
        <v>1</v>
      </c>
      <c r="J18" s="5">
        <v>1</v>
      </c>
      <c r="K18" s="5">
        <v>1</v>
      </c>
      <c r="L18" s="5">
        <v>0</v>
      </c>
      <c r="M18" s="5">
        <v>0</v>
      </c>
      <c r="N18" s="7">
        <f>((14+19)/2+(12.2+15.6)/2)/2</f>
        <v>15.2</v>
      </c>
      <c r="O18" s="13">
        <f>(N18-5)*12</f>
        <v>122.39999999999999</v>
      </c>
      <c r="P18" s="7">
        <f>((1150+1490)/2+(1100+1900)/2)/2</f>
        <v>1410</v>
      </c>
      <c r="Q18" s="7"/>
      <c r="R18" s="13">
        <v>49</v>
      </c>
      <c r="S18" s="7"/>
      <c r="T18" s="7"/>
      <c r="U18" s="7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5"/>
      <c r="AU18" s="7"/>
      <c r="AV18" s="7"/>
      <c r="AW18" s="7"/>
      <c r="AX18" s="7"/>
      <c r="AY18" s="7"/>
      <c r="AZ18" s="6"/>
      <c r="BA18" s="6"/>
      <c r="BB18" s="6"/>
      <c r="BC18" s="7"/>
      <c r="BD18" s="7"/>
      <c r="BE18" s="7"/>
      <c r="BF18" s="7"/>
      <c r="BG18" s="7"/>
      <c r="BH18" s="7"/>
      <c r="BI18" s="7"/>
      <c r="BJ18" s="7"/>
      <c r="BK18" s="7"/>
      <c r="BL18" s="6"/>
      <c r="BM18" s="6"/>
      <c r="BN18" s="6"/>
      <c r="BO18" s="13">
        <f>96.54*0.5</f>
        <v>48.27</v>
      </c>
      <c r="BP18" s="7">
        <f>BT18/BO18</f>
        <v>0.48839859125750978</v>
      </c>
      <c r="BQ18" s="7"/>
      <c r="BR18" s="7"/>
      <c r="BS18" s="7"/>
      <c r="BT18" s="13">
        <f>47.15*0.5</f>
        <v>23.574999999999999</v>
      </c>
      <c r="BU18" s="13">
        <f>BT18+BO18</f>
        <v>71.844999999999999</v>
      </c>
      <c r="BV18" s="13"/>
      <c r="BW18" s="7"/>
      <c r="BX18" s="7"/>
      <c r="BY18" s="7">
        <v>69.63000000000001</v>
      </c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5"/>
      <c r="CM18" s="5" t="s">
        <v>219</v>
      </c>
      <c r="CN18" s="10" t="s">
        <v>192</v>
      </c>
      <c r="CO18" s="14" t="s">
        <v>214</v>
      </c>
      <c r="CP18" s="11" t="s">
        <v>172</v>
      </c>
    </row>
    <row r="19" spans="1:100" x14ac:dyDescent="0.25">
      <c r="A19" s="5" t="s">
        <v>135</v>
      </c>
      <c r="B19" s="5" t="s">
        <v>220</v>
      </c>
      <c r="C19" s="6" t="s">
        <v>221</v>
      </c>
      <c r="D19" s="5" t="s">
        <v>222</v>
      </c>
      <c r="E19" s="5" t="s">
        <v>223</v>
      </c>
      <c r="F19" s="5">
        <v>1977</v>
      </c>
      <c r="G19" s="5">
        <v>2008</v>
      </c>
      <c r="H19" s="5">
        <v>1</v>
      </c>
      <c r="I19" s="5">
        <v>0</v>
      </c>
      <c r="J19" s="5">
        <v>1</v>
      </c>
      <c r="K19" s="5">
        <v>1</v>
      </c>
      <c r="L19" s="5">
        <v>0</v>
      </c>
      <c r="M19" s="5">
        <v>0</v>
      </c>
      <c r="N19" s="7">
        <f>(18.3+19)/2</f>
        <v>18.649999999999999</v>
      </c>
      <c r="O19" s="13">
        <f>(N19-5)*12</f>
        <v>163.79999999999998</v>
      </c>
      <c r="P19" s="7">
        <f>(1104+1250)/2</f>
        <v>1177</v>
      </c>
      <c r="Q19" s="7"/>
      <c r="R19" s="7"/>
      <c r="S19" s="7"/>
      <c r="T19" s="7"/>
      <c r="U19" s="7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5"/>
      <c r="AU19" s="7"/>
      <c r="AV19" s="7"/>
      <c r="AW19" s="7"/>
      <c r="AX19" s="7"/>
      <c r="AY19" s="7"/>
      <c r="AZ19" s="6"/>
      <c r="BA19" s="6"/>
      <c r="BB19" s="6"/>
      <c r="BC19" s="7"/>
      <c r="BD19" s="7"/>
      <c r="BE19" s="7"/>
      <c r="BF19" s="7"/>
      <c r="BG19" s="7"/>
      <c r="BH19" s="7"/>
      <c r="BI19" s="7"/>
      <c r="BJ19" s="7"/>
      <c r="BK19" s="7"/>
      <c r="BL19" s="6"/>
      <c r="BM19" s="6"/>
      <c r="BN19" s="6"/>
      <c r="BO19" s="13">
        <f>44.78*0.5</f>
        <v>22.39</v>
      </c>
      <c r="BP19" s="7">
        <f>BT19/BO19</f>
        <v>0.47543546225993744</v>
      </c>
      <c r="BQ19" s="7"/>
      <c r="BR19" s="7"/>
      <c r="BS19" s="7"/>
      <c r="BT19" s="13">
        <f>21.29*0.5</f>
        <v>10.645</v>
      </c>
      <c r="BU19" s="13">
        <f>BT19+BO19</f>
        <v>33.034999999999997</v>
      </c>
      <c r="BV19" s="13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5" t="s">
        <v>224</v>
      </c>
      <c r="CN19" s="10" t="s">
        <v>192</v>
      </c>
      <c r="CO19" s="14" t="s">
        <v>214</v>
      </c>
      <c r="CP19" s="11" t="s">
        <v>172</v>
      </c>
    </row>
    <row r="20" spans="1:100" x14ac:dyDescent="0.25">
      <c r="A20" s="5" t="s">
        <v>135</v>
      </c>
      <c r="B20" s="5" t="s">
        <v>225</v>
      </c>
      <c r="C20" s="6" t="s">
        <v>226</v>
      </c>
      <c r="D20" s="5" t="s">
        <v>227</v>
      </c>
      <c r="E20" s="5" t="s">
        <v>228</v>
      </c>
      <c r="F20" s="5">
        <v>1977</v>
      </c>
      <c r="G20" s="5">
        <v>2008</v>
      </c>
      <c r="H20" s="5">
        <v>1</v>
      </c>
      <c r="I20" s="5">
        <v>1</v>
      </c>
      <c r="J20" s="5">
        <v>1</v>
      </c>
      <c r="K20" s="5">
        <v>1</v>
      </c>
      <c r="L20" s="5">
        <v>0</v>
      </c>
      <c r="M20" s="5">
        <v>0</v>
      </c>
      <c r="N20" s="7">
        <f>23</f>
        <v>23</v>
      </c>
      <c r="O20" s="13">
        <f>(N20-5)*12</f>
        <v>216</v>
      </c>
      <c r="P20" s="7">
        <f>2000</f>
        <v>2000</v>
      </c>
      <c r="Q20" s="7"/>
      <c r="R20" s="13">
        <v>877</v>
      </c>
      <c r="S20" s="7"/>
      <c r="T20" s="7"/>
      <c r="U20" s="7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5"/>
      <c r="AU20" s="7"/>
      <c r="AV20" s="7"/>
      <c r="AW20" s="7"/>
      <c r="AX20" s="7"/>
      <c r="AY20" s="7"/>
      <c r="AZ20" s="6"/>
      <c r="BA20" s="6"/>
      <c r="BB20" s="6"/>
      <c r="BC20" s="7"/>
      <c r="BD20" s="7"/>
      <c r="BE20" s="7"/>
      <c r="BF20" s="7"/>
      <c r="BG20" s="7"/>
      <c r="BH20" s="7"/>
      <c r="BI20" s="7"/>
      <c r="BJ20" s="7"/>
      <c r="BK20" s="7"/>
      <c r="BL20" s="6"/>
      <c r="BM20" s="6"/>
      <c r="BN20" s="6"/>
      <c r="BO20" s="13">
        <f>64.72*0.5</f>
        <v>32.36</v>
      </c>
      <c r="BP20" s="7">
        <f>BT20/BO20</f>
        <v>0.57586526576019781</v>
      </c>
      <c r="BQ20" s="7"/>
      <c r="BR20" s="7"/>
      <c r="BS20" s="7"/>
      <c r="BT20" s="13">
        <f>37.27*0.5</f>
        <v>18.635000000000002</v>
      </c>
      <c r="BU20" s="13">
        <f>BT20+BO20</f>
        <v>50.995000000000005</v>
      </c>
      <c r="BV20" s="13"/>
      <c r="BW20" s="7"/>
      <c r="BX20" s="7"/>
      <c r="BY20" s="7">
        <v>119.88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5" t="s">
        <v>229</v>
      </c>
      <c r="CN20" s="10" t="s">
        <v>192</v>
      </c>
      <c r="CO20" s="14" t="s">
        <v>214</v>
      </c>
      <c r="CP20" s="11" t="s">
        <v>172</v>
      </c>
    </row>
    <row r="21" spans="1:100" x14ac:dyDescent="0.25">
      <c r="A21" s="5" t="s">
        <v>135</v>
      </c>
      <c r="B21" s="5" t="s">
        <v>230</v>
      </c>
      <c r="C21" s="6" t="s">
        <v>199</v>
      </c>
      <c r="D21" s="5" t="s">
        <v>231</v>
      </c>
      <c r="E21" s="5" t="s">
        <v>232</v>
      </c>
      <c r="F21" s="5">
        <v>2008</v>
      </c>
      <c r="G21" s="5">
        <v>2008</v>
      </c>
      <c r="H21" s="5">
        <v>1</v>
      </c>
      <c r="I21" s="12">
        <v>0</v>
      </c>
      <c r="J21" s="12">
        <v>1</v>
      </c>
      <c r="K21" s="12">
        <v>1</v>
      </c>
      <c r="L21" s="12">
        <v>0</v>
      </c>
      <c r="M21" s="12">
        <v>0</v>
      </c>
      <c r="N21" s="7">
        <f>(15.6+17.6)/2</f>
        <v>16.600000000000001</v>
      </c>
      <c r="O21" s="13">
        <f>(N21-5)*12</f>
        <v>139.20000000000002</v>
      </c>
      <c r="P21" s="7">
        <v>1550</v>
      </c>
      <c r="Q21" s="7"/>
      <c r="R21" s="7">
        <v>354</v>
      </c>
      <c r="S21" s="7"/>
      <c r="T21" s="7"/>
      <c r="U21" s="7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5"/>
      <c r="AU21" s="10"/>
      <c r="AV21" s="7">
        <v>2734</v>
      </c>
      <c r="AW21" s="7">
        <f>(12.9+10/1)/2</f>
        <v>11.45</v>
      </c>
      <c r="AX21" s="7"/>
      <c r="AY21" s="7">
        <f>(AW21/2)^2*PI()*AV21/10000</f>
        <v>28.151358986776938</v>
      </c>
      <c r="AZ21" s="6"/>
      <c r="BA21" s="6"/>
      <c r="BB21" s="6"/>
      <c r="BC21" s="7"/>
      <c r="BD21" s="7"/>
      <c r="BE21" s="7"/>
      <c r="BF21" s="7"/>
      <c r="BG21" s="7"/>
      <c r="BH21" s="7"/>
      <c r="BI21" s="7"/>
      <c r="BJ21" s="7"/>
      <c r="BK21" s="7"/>
      <c r="BL21" s="6"/>
      <c r="BM21" s="6"/>
      <c r="BN21" s="6"/>
      <c r="BO21" s="7">
        <v>23.718</v>
      </c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5" t="s">
        <v>233</v>
      </c>
      <c r="CN21" s="10" t="s">
        <v>234</v>
      </c>
      <c r="CO21" s="14" t="s">
        <v>235</v>
      </c>
      <c r="CP21" s="11" t="s">
        <v>172</v>
      </c>
    </row>
    <row r="22" spans="1:100" x14ac:dyDescent="0.25">
      <c r="A22" s="5" t="s">
        <v>135</v>
      </c>
      <c r="B22" s="5" t="s">
        <v>236</v>
      </c>
      <c r="C22" s="6" t="s">
        <v>199</v>
      </c>
      <c r="D22" s="5" t="s">
        <v>237</v>
      </c>
      <c r="E22" s="5" t="s">
        <v>238</v>
      </c>
      <c r="F22" s="5">
        <v>2014</v>
      </c>
      <c r="G22" s="5">
        <v>2014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7">
        <v>15.6</v>
      </c>
      <c r="O22" s="7">
        <v>127.19999999999999</v>
      </c>
      <c r="P22" s="7">
        <v>1400</v>
      </c>
      <c r="Q22" s="7"/>
      <c r="R22" s="7"/>
      <c r="S22" s="7"/>
      <c r="T22" s="7"/>
      <c r="U22" s="7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"/>
      <c r="AU22" s="10"/>
      <c r="AV22" s="7">
        <v>3129</v>
      </c>
      <c r="AW22" s="7">
        <v>9.09</v>
      </c>
      <c r="AX22" s="7"/>
      <c r="AY22" s="7">
        <f>(AW22/2)^2*PI()*AV22/10000</f>
        <v>20.305945253512977</v>
      </c>
      <c r="AZ22" s="6"/>
      <c r="BA22" s="6"/>
      <c r="BB22" s="6"/>
      <c r="BC22" s="7"/>
      <c r="BD22" s="7"/>
      <c r="BE22" s="7"/>
      <c r="BF22" s="7"/>
      <c r="BG22" s="7"/>
      <c r="BH22" s="7"/>
      <c r="BI22" s="7"/>
      <c r="BJ22" s="7"/>
      <c r="BK22" s="7"/>
      <c r="BL22" s="6"/>
      <c r="BM22" s="6"/>
      <c r="BN22" s="6"/>
      <c r="BO22" s="7">
        <v>18.899999999999999</v>
      </c>
      <c r="BP22" s="7"/>
      <c r="BQ22" s="7"/>
      <c r="BR22" s="7"/>
      <c r="BS22" s="7"/>
      <c r="BT22" s="7"/>
      <c r="BU22" s="7"/>
      <c r="BV22" s="7"/>
      <c r="BW22" s="7">
        <v>120.2</v>
      </c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5" t="s">
        <v>239</v>
      </c>
      <c r="CN22" s="10" t="s">
        <v>208</v>
      </c>
      <c r="CO22" s="14" t="s">
        <v>240</v>
      </c>
      <c r="CP22" s="11" t="s">
        <v>215</v>
      </c>
    </row>
    <row r="23" spans="1:100" x14ac:dyDescent="0.25">
      <c r="A23" s="5" t="s">
        <v>135</v>
      </c>
      <c r="B23" s="5" t="s">
        <v>241</v>
      </c>
      <c r="C23" s="6" t="s">
        <v>199</v>
      </c>
      <c r="D23" s="5" t="s">
        <v>242</v>
      </c>
      <c r="E23" s="5" t="s">
        <v>243</v>
      </c>
      <c r="F23" s="5">
        <v>2014</v>
      </c>
      <c r="G23" s="5">
        <v>2014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7">
        <v>15.6</v>
      </c>
      <c r="O23" s="7">
        <v>127.19999999999999</v>
      </c>
      <c r="P23" s="7">
        <v>1400</v>
      </c>
      <c r="Q23" s="7"/>
      <c r="R23" s="7"/>
      <c r="S23" s="7"/>
      <c r="T23" s="7"/>
      <c r="U23" s="7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"/>
      <c r="AU23" s="10"/>
      <c r="AV23" s="7">
        <v>3555</v>
      </c>
      <c r="AW23" s="7">
        <v>9.73</v>
      </c>
      <c r="AX23" s="7"/>
      <c r="AY23" s="7">
        <f>(AW23/2)^2*PI()*AV23/10000</f>
        <v>26.433530194037907</v>
      </c>
      <c r="AZ23" s="6"/>
      <c r="BA23" s="6"/>
      <c r="BB23" s="6"/>
      <c r="BC23" s="7"/>
      <c r="BD23" s="7"/>
      <c r="BE23" s="7"/>
      <c r="BF23" s="7"/>
      <c r="BG23" s="7"/>
      <c r="BH23" s="7"/>
      <c r="BI23" s="7"/>
      <c r="BJ23" s="7"/>
      <c r="BK23" s="7"/>
      <c r="BL23" s="6"/>
      <c r="BM23" s="6"/>
      <c r="BN23" s="6"/>
      <c r="BO23" s="7">
        <v>24.75</v>
      </c>
      <c r="BP23" s="7"/>
      <c r="BQ23" s="7"/>
      <c r="BR23" s="7"/>
      <c r="BS23" s="7"/>
      <c r="BT23" s="7"/>
      <c r="BU23" s="7"/>
      <c r="BV23" s="7"/>
      <c r="BW23" s="7">
        <v>108.1</v>
      </c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5" t="s">
        <v>244</v>
      </c>
      <c r="CN23" s="10" t="s">
        <v>192</v>
      </c>
      <c r="CO23" s="14" t="s">
        <v>240</v>
      </c>
      <c r="CP23" s="11" t="s">
        <v>165</v>
      </c>
    </row>
    <row r="24" spans="1:100" x14ac:dyDescent="0.25">
      <c r="A24" s="5" t="s">
        <v>135</v>
      </c>
      <c r="B24" s="5" t="s">
        <v>241</v>
      </c>
      <c r="C24" s="6" t="s">
        <v>188</v>
      </c>
      <c r="D24" s="5" t="s">
        <v>245</v>
      </c>
      <c r="E24" s="5" t="s">
        <v>246</v>
      </c>
      <c r="F24" s="5">
        <v>2014</v>
      </c>
      <c r="G24" s="5">
        <v>2014</v>
      </c>
      <c r="H24" s="5">
        <v>1</v>
      </c>
      <c r="I24" s="5">
        <v>0</v>
      </c>
      <c r="J24" s="5">
        <v>1</v>
      </c>
      <c r="K24" s="5">
        <v>1</v>
      </c>
      <c r="L24" s="5">
        <v>0</v>
      </c>
      <c r="M24" s="5">
        <v>0</v>
      </c>
      <c r="N24" s="7">
        <v>15.6</v>
      </c>
      <c r="O24" s="7">
        <v>127.19999999999999</v>
      </c>
      <c r="P24" s="7">
        <v>1400</v>
      </c>
      <c r="Q24" s="7"/>
      <c r="R24" s="7"/>
      <c r="S24" s="7"/>
      <c r="T24" s="7"/>
      <c r="U24" s="7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5"/>
      <c r="AU24" s="10"/>
      <c r="AV24" s="7">
        <v>3182</v>
      </c>
      <c r="AW24" s="7">
        <v>9.35</v>
      </c>
      <c r="AX24" s="7"/>
      <c r="AY24" s="7">
        <f>(AW24/2)^2*PI()*AV24/10000</f>
        <v>21.848080052984994</v>
      </c>
      <c r="AZ24" s="6"/>
      <c r="BA24" s="6"/>
      <c r="BB24" s="6"/>
      <c r="BC24" s="7"/>
      <c r="BD24" s="7"/>
      <c r="BE24" s="7"/>
      <c r="BF24" s="7"/>
      <c r="BG24" s="7"/>
      <c r="BH24" s="7"/>
      <c r="BI24" s="7"/>
      <c r="BJ24" s="7"/>
      <c r="BK24" s="7"/>
      <c r="BL24" s="6"/>
      <c r="BM24" s="6"/>
      <c r="BN24" s="6"/>
      <c r="BO24" s="7">
        <v>20.76</v>
      </c>
      <c r="BP24" s="7"/>
      <c r="BQ24" s="7"/>
      <c r="BR24" s="7"/>
      <c r="BS24" s="7"/>
      <c r="BT24" s="7"/>
      <c r="BU24" s="7"/>
      <c r="BV24" s="7"/>
      <c r="BW24" s="7">
        <v>111.7</v>
      </c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5" t="s">
        <v>244</v>
      </c>
      <c r="CN24" s="10" t="s">
        <v>192</v>
      </c>
      <c r="CO24" s="14" t="s">
        <v>240</v>
      </c>
      <c r="CP24" s="11" t="s">
        <v>172</v>
      </c>
    </row>
    <row r="25" spans="1:100" x14ac:dyDescent="0.25">
      <c r="A25" s="5" t="s">
        <v>135</v>
      </c>
      <c r="B25" s="5" t="s">
        <v>247</v>
      </c>
      <c r="C25" s="6" t="s">
        <v>199</v>
      </c>
      <c r="D25" s="5" t="s">
        <v>248</v>
      </c>
      <c r="E25" s="5" t="s">
        <v>249</v>
      </c>
      <c r="F25" s="5">
        <v>2010</v>
      </c>
      <c r="G25" s="5">
        <v>2010</v>
      </c>
      <c r="H25" s="5">
        <v>1</v>
      </c>
      <c r="I25" s="12">
        <v>1</v>
      </c>
      <c r="J25" s="12">
        <v>1</v>
      </c>
      <c r="K25" s="12">
        <v>1</v>
      </c>
      <c r="L25" s="12">
        <v>0</v>
      </c>
      <c r="M25" s="12">
        <v>0</v>
      </c>
      <c r="N25" s="7">
        <v>15.9</v>
      </c>
      <c r="O25" s="13">
        <f>(N25-5)*12</f>
        <v>130.80000000000001</v>
      </c>
      <c r="P25" s="7">
        <v>1424</v>
      </c>
      <c r="Q25" s="7"/>
      <c r="R25" s="7">
        <f>(100+250)/2</f>
        <v>175</v>
      </c>
      <c r="S25" s="7"/>
      <c r="T25" s="7"/>
      <c r="U25" s="7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5"/>
      <c r="AU25" s="10"/>
      <c r="AV25" s="7">
        <f>(3475+3325+3300+3250+4025+3625+3625+3575+4250+3375+2750+3025+2550+2475+3075+3550+2425+3225)/18</f>
        <v>3272.2222222222222</v>
      </c>
      <c r="AW25" s="7">
        <f>(9.7+9.1+8.8+9.5+8+8.3+9+10.1+8.8+8.3+8.7+9+9+9.5+9.2+8.8+11.3+10.7)/18</f>
        <v>9.2111111111111104</v>
      </c>
      <c r="AX25" s="7"/>
      <c r="AY25" s="7">
        <f>(AW25/2)^2*PI()*AV25/10000</f>
        <v>21.805031242491747</v>
      </c>
      <c r="AZ25" s="6"/>
      <c r="BA25" s="6"/>
      <c r="BB25" s="6"/>
      <c r="BC25" s="7"/>
      <c r="BD25" s="7"/>
      <c r="BE25" s="7"/>
      <c r="BF25" s="7"/>
      <c r="BG25" s="7"/>
      <c r="BH25" s="7"/>
      <c r="BI25" s="7"/>
      <c r="BJ25" s="7"/>
      <c r="BK25" s="7"/>
      <c r="BL25" s="6"/>
      <c r="BM25" s="6"/>
      <c r="BN25" s="6"/>
      <c r="BO25" s="7">
        <f>40.708*0.5</f>
        <v>20.353999999999999</v>
      </c>
      <c r="BP25" s="7"/>
      <c r="BQ25" s="7"/>
      <c r="BR25" s="7"/>
      <c r="BS25" s="7"/>
      <c r="BT25" s="7"/>
      <c r="BU25" s="7"/>
      <c r="BV25" s="7"/>
      <c r="BW25" s="7">
        <v>80.834999999999994</v>
      </c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5" t="s">
        <v>250</v>
      </c>
      <c r="CN25" s="10" t="s">
        <v>192</v>
      </c>
      <c r="CO25" s="14" t="s">
        <v>251</v>
      </c>
      <c r="CP25" s="11" t="s">
        <v>172</v>
      </c>
    </row>
    <row r="26" spans="1:100" x14ac:dyDescent="0.25">
      <c r="A26" s="8" t="s">
        <v>135</v>
      </c>
      <c r="B26" s="8" t="s">
        <v>252</v>
      </c>
      <c r="C26" s="6" t="s">
        <v>199</v>
      </c>
      <c r="D26" s="8" t="s">
        <v>253</v>
      </c>
      <c r="E26" s="8" t="s">
        <v>254</v>
      </c>
      <c r="F26" s="8">
        <v>2013</v>
      </c>
      <c r="G26" s="8">
        <v>2016</v>
      </c>
      <c r="H26" s="8">
        <v>1</v>
      </c>
      <c r="I26" s="8">
        <v>0</v>
      </c>
      <c r="J26" s="8">
        <v>1</v>
      </c>
      <c r="K26" s="8">
        <v>1</v>
      </c>
      <c r="L26" s="8">
        <v>0</v>
      </c>
      <c r="M26" s="15">
        <v>0</v>
      </c>
      <c r="N26" s="6">
        <v>15.6</v>
      </c>
      <c r="O26" s="13">
        <f>(N26-5)*12+(5-3)</f>
        <v>129.19999999999999</v>
      </c>
      <c r="P26" s="6">
        <v>1420</v>
      </c>
      <c r="Q26" s="6"/>
      <c r="R26" s="6"/>
      <c r="S26" s="6"/>
      <c r="T26" s="6">
        <v>1847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8"/>
      <c r="AU26" s="1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>
        <v>27</v>
      </c>
      <c r="BP26" s="6"/>
      <c r="BQ26" s="6"/>
      <c r="BR26" s="6"/>
      <c r="BS26" s="6"/>
      <c r="BT26" s="6">
        <v>19</v>
      </c>
      <c r="BU26" s="7">
        <f t="shared" ref="BU26:BU34" si="3">BT26+BO26</f>
        <v>46</v>
      </c>
      <c r="BV26" s="6"/>
      <c r="BW26" s="6">
        <v>68.099999999999994</v>
      </c>
      <c r="BX26" s="6"/>
      <c r="BY26" s="7">
        <f>BU26+BW26</f>
        <v>114.1</v>
      </c>
      <c r="BZ26" s="6"/>
      <c r="CA26" s="6"/>
      <c r="CB26" s="6"/>
      <c r="CC26" s="6"/>
      <c r="CD26" s="6">
        <v>4.17</v>
      </c>
      <c r="CE26" s="6"/>
      <c r="CF26" s="6"/>
      <c r="CG26" s="6"/>
      <c r="CH26" s="6">
        <v>3.11</v>
      </c>
      <c r="CI26" s="6">
        <v>7.28</v>
      </c>
      <c r="CJ26" s="7"/>
      <c r="CK26" s="6">
        <v>0.51</v>
      </c>
      <c r="CL26" s="7">
        <f>CI26-CK26</f>
        <v>6.7700000000000005</v>
      </c>
      <c r="CM26" s="8" t="s">
        <v>255</v>
      </c>
      <c r="CN26" s="10" t="s">
        <v>192</v>
      </c>
      <c r="CO26" s="17" t="s">
        <v>256</v>
      </c>
      <c r="CP26" s="18" t="s">
        <v>172</v>
      </c>
      <c r="CQ26" s="19"/>
      <c r="CR26" s="19"/>
      <c r="CS26" s="19"/>
      <c r="CT26" s="19"/>
      <c r="CU26" s="19"/>
      <c r="CV26" s="19"/>
    </row>
    <row r="27" spans="1:100" x14ac:dyDescent="0.25">
      <c r="A27" s="8" t="s">
        <v>135</v>
      </c>
      <c r="B27" s="8" t="s">
        <v>257</v>
      </c>
      <c r="C27" s="6" t="s">
        <v>199</v>
      </c>
      <c r="D27" s="8" t="s">
        <v>258</v>
      </c>
      <c r="E27" s="8" t="s">
        <v>259</v>
      </c>
      <c r="F27" s="8">
        <v>2013</v>
      </c>
      <c r="G27" s="8">
        <v>2016</v>
      </c>
      <c r="H27" s="8">
        <v>1</v>
      </c>
      <c r="I27" s="8">
        <v>3</v>
      </c>
      <c r="J27" s="8">
        <v>1</v>
      </c>
      <c r="K27" s="8">
        <v>1</v>
      </c>
      <c r="L27" s="8">
        <v>1</v>
      </c>
      <c r="M27" s="15">
        <v>1</v>
      </c>
      <c r="N27" s="6">
        <v>15.6</v>
      </c>
      <c r="O27" s="13">
        <f>(N27-5)*12+(5-3)</f>
        <v>129.19999999999999</v>
      </c>
      <c r="P27" s="6">
        <v>1420</v>
      </c>
      <c r="Q27" s="6"/>
      <c r="R27" s="6"/>
      <c r="S27" s="6"/>
      <c r="T27" s="6">
        <v>1847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8"/>
      <c r="AU27" s="1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>
        <v>33</v>
      </c>
      <c r="BP27" s="6"/>
      <c r="BQ27" s="6"/>
      <c r="BR27" s="6"/>
      <c r="BS27" s="6"/>
      <c r="BT27" s="6">
        <v>24</v>
      </c>
      <c r="BU27" s="7">
        <f t="shared" si="3"/>
        <v>57</v>
      </c>
      <c r="BV27" s="6"/>
      <c r="BW27" s="6">
        <v>66</v>
      </c>
      <c r="BX27" s="6"/>
      <c r="BY27" s="7">
        <f>BU27+BW27</f>
        <v>123</v>
      </c>
      <c r="BZ27" s="6"/>
      <c r="CA27" s="6"/>
      <c r="CB27" s="6"/>
      <c r="CC27" s="6"/>
      <c r="CD27" s="6">
        <v>5.08</v>
      </c>
      <c r="CE27" s="6"/>
      <c r="CF27" s="6"/>
      <c r="CG27" s="6"/>
      <c r="CH27" s="6">
        <v>4.0199999999999996</v>
      </c>
      <c r="CI27" s="6">
        <v>9.1</v>
      </c>
      <c r="CJ27" s="7"/>
      <c r="CK27" s="6">
        <v>1.0900000000000001</v>
      </c>
      <c r="CL27" s="7">
        <f>CI27-CK27</f>
        <v>8.01</v>
      </c>
      <c r="CM27" s="8" t="s">
        <v>260</v>
      </c>
      <c r="CN27" s="10" t="s">
        <v>234</v>
      </c>
      <c r="CO27" s="17" t="s">
        <v>261</v>
      </c>
      <c r="CP27" s="18" t="s">
        <v>172</v>
      </c>
      <c r="CQ27" s="19"/>
      <c r="CR27" s="19"/>
      <c r="CS27" s="19"/>
      <c r="CT27" s="19"/>
      <c r="CU27" s="19"/>
      <c r="CV27" s="19"/>
    </row>
    <row r="28" spans="1:100" s="19" customFormat="1" x14ac:dyDescent="0.25">
      <c r="A28" s="8" t="s">
        <v>135</v>
      </c>
      <c r="B28" s="8" t="s">
        <v>252</v>
      </c>
      <c r="C28" s="6" t="s">
        <v>199</v>
      </c>
      <c r="D28" s="8" t="s">
        <v>262</v>
      </c>
      <c r="E28" s="8" t="s">
        <v>263</v>
      </c>
      <c r="F28" s="8">
        <v>2013</v>
      </c>
      <c r="G28" s="8">
        <v>2016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15">
        <v>1</v>
      </c>
      <c r="N28" s="6">
        <v>15.6</v>
      </c>
      <c r="O28" s="13">
        <f>(N28-5)*12+(5-3)</f>
        <v>129.19999999999999</v>
      </c>
      <c r="P28" s="6">
        <v>1420</v>
      </c>
      <c r="Q28" s="6"/>
      <c r="R28" s="6"/>
      <c r="S28" s="6"/>
      <c r="T28" s="6">
        <v>1847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8"/>
      <c r="AU28" s="1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>
        <v>35.1</v>
      </c>
      <c r="BP28" s="6"/>
      <c r="BQ28" s="6"/>
      <c r="BR28" s="6"/>
      <c r="BS28" s="6"/>
      <c r="BT28" s="6">
        <v>26.1</v>
      </c>
      <c r="BU28" s="7">
        <f t="shared" si="3"/>
        <v>61.2</v>
      </c>
      <c r="BV28" s="6"/>
      <c r="BW28" s="6">
        <v>64.099999999999994</v>
      </c>
      <c r="BX28" s="6"/>
      <c r="BY28" s="7">
        <f>BU28+BW28</f>
        <v>125.3</v>
      </c>
      <c r="BZ28" s="6"/>
      <c r="CA28" s="6"/>
      <c r="CB28" s="6"/>
      <c r="CC28" s="6"/>
      <c r="CD28" s="6">
        <v>5.46</v>
      </c>
      <c r="CE28" s="6"/>
      <c r="CF28" s="6"/>
      <c r="CG28" s="6"/>
      <c r="CH28" s="6">
        <v>4.34</v>
      </c>
      <c r="CI28" s="6">
        <v>9.8000000000000007</v>
      </c>
      <c r="CJ28" s="7"/>
      <c r="CK28" s="6">
        <v>1.37</v>
      </c>
      <c r="CL28" s="7">
        <f>CI28-CK28</f>
        <v>8.43</v>
      </c>
      <c r="CM28" s="8" t="s">
        <v>260</v>
      </c>
      <c r="CN28" s="10" t="s">
        <v>192</v>
      </c>
      <c r="CO28" s="17" t="s">
        <v>264</v>
      </c>
      <c r="CP28" s="18" t="s">
        <v>165</v>
      </c>
    </row>
    <row r="29" spans="1:100" s="19" customFormat="1" x14ac:dyDescent="0.25">
      <c r="A29" s="8" t="s">
        <v>135</v>
      </c>
      <c r="B29" s="8" t="s">
        <v>257</v>
      </c>
      <c r="C29" s="6" t="s">
        <v>199</v>
      </c>
      <c r="D29" s="8" t="s">
        <v>265</v>
      </c>
      <c r="E29" s="8" t="s">
        <v>266</v>
      </c>
      <c r="F29" s="8">
        <v>2013</v>
      </c>
      <c r="G29" s="8">
        <v>2016</v>
      </c>
      <c r="H29" s="8">
        <v>1</v>
      </c>
      <c r="I29" s="8">
        <v>2</v>
      </c>
      <c r="J29" s="8">
        <v>1</v>
      </c>
      <c r="K29" s="8">
        <v>1</v>
      </c>
      <c r="L29" s="8">
        <v>1</v>
      </c>
      <c r="M29" s="15">
        <v>1</v>
      </c>
      <c r="N29" s="6">
        <v>15.6</v>
      </c>
      <c r="O29" s="13">
        <f>(N29-5)*12+(5-3)</f>
        <v>129.19999999999999</v>
      </c>
      <c r="P29" s="6">
        <v>1420</v>
      </c>
      <c r="Q29" s="6"/>
      <c r="R29" s="6"/>
      <c r="S29" s="6"/>
      <c r="T29" s="6">
        <v>1847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8"/>
      <c r="AU29" s="1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>
        <v>37.700000000000003</v>
      </c>
      <c r="BP29" s="6"/>
      <c r="BQ29" s="6"/>
      <c r="BR29" s="6"/>
      <c r="BS29" s="6"/>
      <c r="BT29" s="6">
        <v>26</v>
      </c>
      <c r="BU29" s="7">
        <f t="shared" si="3"/>
        <v>63.7</v>
      </c>
      <c r="BV29" s="6"/>
      <c r="BW29" s="6">
        <v>63</v>
      </c>
      <c r="BX29" s="6"/>
      <c r="BY29" s="7">
        <f>BU29+BW29</f>
        <v>126.7</v>
      </c>
      <c r="BZ29" s="6"/>
      <c r="CA29" s="6"/>
      <c r="CB29" s="6"/>
      <c r="CC29" s="6"/>
      <c r="CD29" s="6">
        <v>5.76</v>
      </c>
      <c r="CE29" s="6"/>
      <c r="CF29" s="6"/>
      <c r="CG29" s="6"/>
      <c r="CH29" s="6">
        <v>4.33</v>
      </c>
      <c r="CI29" s="6">
        <v>10.09</v>
      </c>
      <c r="CJ29" s="7"/>
      <c r="CK29" s="6">
        <v>1.29</v>
      </c>
      <c r="CL29" s="7">
        <f>CI29-CK29</f>
        <v>8.8000000000000007</v>
      </c>
      <c r="CM29" s="8" t="s">
        <v>267</v>
      </c>
      <c r="CN29" s="10" t="s">
        <v>192</v>
      </c>
      <c r="CO29" s="17" t="s">
        <v>268</v>
      </c>
      <c r="CP29" s="18" t="s">
        <v>215</v>
      </c>
    </row>
    <row r="30" spans="1:100" s="19" customFormat="1" x14ac:dyDescent="0.25">
      <c r="A30" s="5" t="s">
        <v>135</v>
      </c>
      <c r="B30" s="5" t="s">
        <v>269</v>
      </c>
      <c r="C30" s="6" t="s">
        <v>188</v>
      </c>
      <c r="D30" s="5" t="s">
        <v>270</v>
      </c>
      <c r="E30" s="5" t="s">
        <v>271</v>
      </c>
      <c r="F30" s="5">
        <v>1980</v>
      </c>
      <c r="G30" s="5">
        <v>1989</v>
      </c>
      <c r="H30" s="5">
        <v>1</v>
      </c>
      <c r="I30" s="5">
        <v>1</v>
      </c>
      <c r="J30" s="5">
        <v>1</v>
      </c>
      <c r="K30" s="5">
        <v>1</v>
      </c>
      <c r="L30" s="5">
        <v>0</v>
      </c>
      <c r="M30" s="20">
        <v>0</v>
      </c>
      <c r="N30" s="7">
        <v>16</v>
      </c>
      <c r="O30" s="13">
        <f>(N30-5)*12</f>
        <v>132</v>
      </c>
      <c r="P30" s="7">
        <v>1800</v>
      </c>
      <c r="Q30" s="7"/>
      <c r="R30" s="13">
        <v>31</v>
      </c>
      <c r="S30" s="7"/>
      <c r="T30" s="7"/>
      <c r="U30" s="7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6"/>
      <c r="AP30" s="6"/>
      <c r="AQ30" s="6"/>
      <c r="AR30" s="6"/>
      <c r="AS30" s="6"/>
      <c r="AT30" s="5"/>
      <c r="AU30" s="10"/>
      <c r="AV30" s="6">
        <v>3750</v>
      </c>
      <c r="AW30" s="6"/>
      <c r="AX30" s="7"/>
      <c r="AY30" s="7"/>
      <c r="AZ30" s="7"/>
      <c r="BA30" s="7"/>
      <c r="BB30" s="7">
        <v>11.17</v>
      </c>
      <c r="BC30" s="7"/>
      <c r="BD30" s="7"/>
      <c r="BE30" s="7"/>
      <c r="BF30" s="7"/>
      <c r="BG30" s="7"/>
      <c r="BH30" s="7"/>
      <c r="BI30" s="7"/>
      <c r="BJ30" s="7"/>
      <c r="BK30" s="7"/>
      <c r="BL30" s="13">
        <f>0.4314*10000/1000*50%</f>
        <v>2.157</v>
      </c>
      <c r="BM30" s="13">
        <f>1.305*10000/1000*50%</f>
        <v>6.5250000000000004</v>
      </c>
      <c r="BN30" s="13">
        <f>(9.889)*10000/1000*50%</f>
        <v>49.445</v>
      </c>
      <c r="BO30" s="13">
        <f>SUM(BL30:BN30)</f>
        <v>58.127000000000002</v>
      </c>
      <c r="BP30" s="13">
        <f>BT30/BO30</f>
        <v>0.56884064204242424</v>
      </c>
      <c r="BQ30" s="13">
        <f>(3.864)*10000/1000*50%</f>
        <v>19.32</v>
      </c>
      <c r="BR30" s="13">
        <f>(1.449)*10000/1000*50%</f>
        <v>7.2450000000000001</v>
      </c>
      <c r="BS30" s="13">
        <f>(1.3)*10000/1000*50%</f>
        <v>6.5</v>
      </c>
      <c r="BT30" s="13">
        <f>SUM(BQ30:BS30)</f>
        <v>33.064999999999998</v>
      </c>
      <c r="BU30" s="13">
        <f t="shared" si="3"/>
        <v>91.192000000000007</v>
      </c>
      <c r="BV30" s="7"/>
      <c r="BW30" s="7"/>
      <c r="BX30" s="7"/>
      <c r="BY30" s="7"/>
      <c r="BZ30" s="7"/>
      <c r="CA30" s="7"/>
      <c r="CB30" s="7"/>
      <c r="CC30" s="7"/>
      <c r="CD30" s="13">
        <f>((10.0169+1.0598)/10)*10000/1000*50%</f>
        <v>5.5383499999999994</v>
      </c>
      <c r="CE30" s="7"/>
      <c r="CF30" s="7"/>
      <c r="CG30" s="7"/>
      <c r="CH30" s="7"/>
      <c r="CI30" s="7"/>
      <c r="CJ30" s="7"/>
      <c r="CK30" s="7"/>
      <c r="CL30" s="10"/>
      <c r="CM30" s="5" t="s">
        <v>272</v>
      </c>
      <c r="CN30" s="10" t="s">
        <v>234</v>
      </c>
      <c r="CO30" s="14" t="s">
        <v>273</v>
      </c>
      <c r="CP30" s="11" t="s">
        <v>274</v>
      </c>
      <c r="CQ30"/>
      <c r="CR30"/>
      <c r="CS30"/>
      <c r="CT30"/>
      <c r="CU30"/>
      <c r="CV30"/>
    </row>
    <row r="31" spans="1:100" s="19" customFormat="1" x14ac:dyDescent="0.25">
      <c r="A31" s="5" t="s">
        <v>135</v>
      </c>
      <c r="B31" s="5" t="s">
        <v>275</v>
      </c>
      <c r="C31" s="6" t="s">
        <v>188</v>
      </c>
      <c r="D31" s="5" t="s">
        <v>276</v>
      </c>
      <c r="E31" s="5" t="s">
        <v>277</v>
      </c>
      <c r="F31" s="5">
        <v>1982</v>
      </c>
      <c r="G31" s="5">
        <v>1989</v>
      </c>
      <c r="H31" s="5">
        <v>1</v>
      </c>
      <c r="I31" s="5">
        <v>0</v>
      </c>
      <c r="J31" s="5">
        <v>1</v>
      </c>
      <c r="K31" s="5">
        <v>1</v>
      </c>
      <c r="L31" s="5">
        <v>0</v>
      </c>
      <c r="M31" s="20">
        <v>0</v>
      </c>
      <c r="N31" s="7">
        <v>16</v>
      </c>
      <c r="O31" s="13">
        <f>(N31-5)*12</f>
        <v>132</v>
      </c>
      <c r="P31" s="7">
        <v>1800</v>
      </c>
      <c r="Q31" s="7"/>
      <c r="R31" s="13">
        <v>31</v>
      </c>
      <c r="S31" s="7"/>
      <c r="T31" s="7"/>
      <c r="U31" s="7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6"/>
      <c r="AP31" s="6"/>
      <c r="AQ31" s="6"/>
      <c r="AR31" s="6"/>
      <c r="AS31" s="6"/>
      <c r="AT31" s="5"/>
      <c r="AU31" s="10"/>
      <c r="AV31" s="6">
        <v>2700</v>
      </c>
      <c r="AW31" s="6"/>
      <c r="AX31" s="7"/>
      <c r="AY31" s="7"/>
      <c r="AZ31" s="7"/>
      <c r="BA31" s="7"/>
      <c r="BB31" s="7">
        <v>8.02</v>
      </c>
      <c r="BC31" s="7"/>
      <c r="BD31" s="7"/>
      <c r="BE31" s="7"/>
      <c r="BF31" s="7"/>
      <c r="BG31" s="7"/>
      <c r="BH31" s="7"/>
      <c r="BI31" s="7"/>
      <c r="BJ31" s="7"/>
      <c r="BK31" s="7"/>
      <c r="BL31" s="13">
        <f>0.2886*10000/1000*50%</f>
        <v>1.4430000000000003</v>
      </c>
      <c r="BM31" s="13">
        <f>0.8213*10000/1000*50%</f>
        <v>4.1064999999999996</v>
      </c>
      <c r="BN31" s="13">
        <f>4.199*10000/1000*50%</f>
        <v>20.995000000000001</v>
      </c>
      <c r="BO31" s="13">
        <f>SUM(BL31:BN31)</f>
        <v>26.544499999999999</v>
      </c>
      <c r="BP31" s="13"/>
      <c r="BQ31" s="13">
        <f>(4.857)*10000/1000*50%</f>
        <v>24.285</v>
      </c>
      <c r="BR31" s="13">
        <f>(1.337)*10000/1000*50%</f>
        <v>6.6849999999999996</v>
      </c>
      <c r="BS31" s="13">
        <f>(0.5091)*10000/1000*50%</f>
        <v>2.5455000000000001</v>
      </c>
      <c r="BT31" s="13">
        <f>SUM(BQ31:BS31)</f>
        <v>33.515499999999996</v>
      </c>
      <c r="BU31" s="13">
        <f t="shared" si="3"/>
        <v>60.059999999999995</v>
      </c>
      <c r="BV31" s="7"/>
      <c r="BW31" s="7"/>
      <c r="BX31" s="7"/>
      <c r="BY31" s="7"/>
      <c r="BZ31" s="7"/>
      <c r="CA31" s="7"/>
      <c r="CB31" s="7"/>
      <c r="CC31" s="7"/>
      <c r="CD31" s="13">
        <f>((4.2415+0.3274)/8)*10000/1000*50%</f>
        <v>2.8555625</v>
      </c>
      <c r="CE31" s="7"/>
      <c r="CF31" s="7"/>
      <c r="CG31" s="7"/>
      <c r="CH31" s="7"/>
      <c r="CI31" s="7"/>
      <c r="CJ31" s="7"/>
      <c r="CK31" s="7"/>
      <c r="CL31" s="10"/>
      <c r="CM31" s="5" t="s">
        <v>278</v>
      </c>
      <c r="CN31" s="10" t="s">
        <v>234</v>
      </c>
      <c r="CO31" s="14" t="s">
        <v>273</v>
      </c>
      <c r="CP31" s="11" t="s">
        <v>215</v>
      </c>
      <c r="CQ31"/>
      <c r="CR31"/>
      <c r="CS31"/>
      <c r="CT31"/>
      <c r="CU31"/>
      <c r="CV31"/>
    </row>
    <row r="32" spans="1:100" x14ac:dyDescent="0.25">
      <c r="A32" s="5" t="s">
        <v>279</v>
      </c>
      <c r="B32" s="5" t="s">
        <v>280</v>
      </c>
      <c r="C32" s="6" t="s">
        <v>281</v>
      </c>
      <c r="D32" s="8" t="s">
        <v>282</v>
      </c>
      <c r="E32" s="8" t="s">
        <v>283</v>
      </c>
      <c r="F32" s="8">
        <v>2008</v>
      </c>
      <c r="G32" s="8">
        <v>2009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21">
        <v>0</v>
      </c>
      <c r="N32" s="6">
        <v>14.8</v>
      </c>
      <c r="O32" s="13">
        <f>(N32-5)*12</f>
        <v>117.60000000000001</v>
      </c>
      <c r="P32" s="6">
        <v>1451.4</v>
      </c>
      <c r="Q32" s="22">
        <v>7</v>
      </c>
      <c r="R32" s="6">
        <v>110</v>
      </c>
      <c r="S32" s="22">
        <v>61.208329999999997</v>
      </c>
      <c r="T32" s="22">
        <v>2161.15</v>
      </c>
      <c r="U32" s="22">
        <v>1.5333300000000001</v>
      </c>
      <c r="V32" s="6">
        <v>0.4</v>
      </c>
      <c r="W32" s="6"/>
      <c r="X32" s="6">
        <v>4.55</v>
      </c>
      <c r="Y32" s="6"/>
      <c r="Z32" s="6"/>
      <c r="AA32" s="6"/>
      <c r="AB32" s="6"/>
      <c r="AC32" s="6">
        <f>(0.023)*1000</f>
        <v>23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>
        <v>203</v>
      </c>
      <c r="AQ32" s="6">
        <v>176</v>
      </c>
      <c r="AR32" s="6"/>
      <c r="AS32" s="6"/>
      <c r="AT32" s="8"/>
      <c r="AU32" s="6">
        <v>290</v>
      </c>
      <c r="AV32" s="6">
        <v>2660</v>
      </c>
      <c r="AW32" s="6">
        <v>8.1999999999999993</v>
      </c>
      <c r="AX32" s="6"/>
      <c r="AY32" s="13">
        <f t="shared" ref="AY32:AY40" si="4">(AW32/2)^2*PI()*AV32/10000</f>
        <v>14.047505886820614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22">
        <f>1.29*50%</f>
        <v>0.64500000000000002</v>
      </c>
      <c r="BM32" s="22">
        <f>3.72*50%</f>
        <v>1.86</v>
      </c>
      <c r="BN32" s="22">
        <f>26.4*50%</f>
        <v>13.2</v>
      </c>
      <c r="BO32" s="22">
        <f>SUM(BL32:BN32)</f>
        <v>15.704999999999998</v>
      </c>
      <c r="BP32" s="23">
        <f>BT32/BO32</f>
        <v>1.1464501751034704</v>
      </c>
      <c r="BQ32" s="22">
        <f>(18.7+7.47)*50%</f>
        <v>13.084999999999999</v>
      </c>
      <c r="BR32" s="22">
        <f>9.84*50%</f>
        <v>4.92</v>
      </c>
      <c r="BS32" s="24"/>
      <c r="BT32" s="22">
        <f>SUM(BQ32:BS32)</f>
        <v>18.004999999999999</v>
      </c>
      <c r="BU32" s="22">
        <f t="shared" si="3"/>
        <v>33.709999999999994</v>
      </c>
      <c r="BV32" s="16"/>
      <c r="BW32" s="6"/>
      <c r="BX32" s="6"/>
      <c r="BY32" s="6"/>
      <c r="BZ32" s="6"/>
      <c r="CA32" s="6"/>
      <c r="CB32" s="6"/>
      <c r="CC32" s="22">
        <f>7.19*50%</f>
        <v>3.5950000000000002</v>
      </c>
      <c r="CD32" s="6"/>
      <c r="CE32" s="6"/>
      <c r="CF32" s="6"/>
      <c r="CG32" s="6"/>
      <c r="CH32" s="6"/>
      <c r="CI32" s="6"/>
      <c r="CJ32" s="6"/>
      <c r="CK32" s="6"/>
      <c r="CL32" s="16"/>
      <c r="CM32" s="8" t="s">
        <v>284</v>
      </c>
      <c r="CN32" s="5" t="s">
        <v>141</v>
      </c>
      <c r="CO32" s="25" t="s">
        <v>285</v>
      </c>
      <c r="CP32" s="26" t="s">
        <v>143</v>
      </c>
    </row>
    <row r="33" spans="1:94" x14ac:dyDescent="0.25">
      <c r="A33" s="5" t="s">
        <v>286</v>
      </c>
      <c r="B33" s="5" t="s">
        <v>280</v>
      </c>
      <c r="C33" s="6" t="s">
        <v>281</v>
      </c>
      <c r="D33" s="8" t="s">
        <v>287</v>
      </c>
      <c r="E33" s="8" t="s">
        <v>288</v>
      </c>
      <c r="F33" s="8">
        <v>2008</v>
      </c>
      <c r="G33" s="8">
        <v>2009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21">
        <v>0</v>
      </c>
      <c r="N33" s="6">
        <v>14.8</v>
      </c>
      <c r="O33" s="13">
        <f>(N33-5)*12</f>
        <v>117.60000000000001</v>
      </c>
      <c r="P33" s="6">
        <v>1451.4</v>
      </c>
      <c r="Q33" s="22">
        <v>7</v>
      </c>
      <c r="R33" s="6">
        <v>160</v>
      </c>
      <c r="S33" s="22">
        <v>61.208329999999997</v>
      </c>
      <c r="T33" s="22">
        <v>2161.15</v>
      </c>
      <c r="U33" s="22">
        <v>1.5333300000000001</v>
      </c>
      <c r="V33" s="6">
        <v>0.31</v>
      </c>
      <c r="W33" s="6"/>
      <c r="X33" s="6">
        <v>4.79</v>
      </c>
      <c r="Y33" s="6"/>
      <c r="Z33" s="6"/>
      <c r="AA33" s="6"/>
      <c r="AB33" s="6"/>
      <c r="AC33" s="6">
        <f>(0.025)*1000</f>
        <v>25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>
        <v>357</v>
      </c>
      <c r="AQ33" s="6">
        <v>463</v>
      </c>
      <c r="AR33" s="6"/>
      <c r="AS33" s="6"/>
      <c r="AT33" s="8"/>
      <c r="AU33" s="6">
        <v>67</v>
      </c>
      <c r="AV33" s="6">
        <v>4790</v>
      </c>
      <c r="AW33" s="6">
        <v>11.2</v>
      </c>
      <c r="AX33" s="6"/>
      <c r="AY33" s="13">
        <f t="shared" si="4"/>
        <v>47.191245550339858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22">
        <f>4.06*50%</f>
        <v>2.0299999999999998</v>
      </c>
      <c r="BM33" s="22">
        <f>10.9*50%</f>
        <v>5.45</v>
      </c>
      <c r="BN33" s="22">
        <f>92.2*50%</f>
        <v>46.1</v>
      </c>
      <c r="BO33" s="22">
        <f>SUM(BL33:BN33)</f>
        <v>53.58</v>
      </c>
      <c r="BP33" s="23">
        <f>BT33/BO33</f>
        <v>0.63176558417319884</v>
      </c>
      <c r="BQ33" s="22">
        <f>(23.9+17.4)*50%</f>
        <v>20.65</v>
      </c>
      <c r="BR33" s="22">
        <f>26.4*50%</f>
        <v>13.2</v>
      </c>
      <c r="BS33" s="24"/>
      <c r="BT33" s="22">
        <f>SUM(BQ33:BS33)</f>
        <v>33.849999999999994</v>
      </c>
      <c r="BU33" s="22">
        <f t="shared" si="3"/>
        <v>87.429999999999993</v>
      </c>
      <c r="BV33" s="16"/>
      <c r="BW33" s="6"/>
      <c r="BX33" s="6"/>
      <c r="BY33" s="6"/>
      <c r="BZ33" s="6"/>
      <c r="CA33" s="6"/>
      <c r="CB33" s="6"/>
      <c r="CC33" s="22">
        <f>3.03*50%</f>
        <v>1.5149999999999999</v>
      </c>
      <c r="CD33" s="6"/>
      <c r="CE33" s="6"/>
      <c r="CF33" s="6"/>
      <c r="CG33" s="6"/>
      <c r="CH33" s="6"/>
      <c r="CI33" s="6"/>
      <c r="CJ33" s="6"/>
      <c r="CK33" s="6"/>
      <c r="CL33" s="16"/>
      <c r="CM33" s="8" t="s">
        <v>284</v>
      </c>
      <c r="CN33" s="5" t="s">
        <v>141</v>
      </c>
      <c r="CO33" s="25" t="s">
        <v>289</v>
      </c>
      <c r="CP33" s="26" t="s">
        <v>143</v>
      </c>
    </row>
    <row r="34" spans="1:94" x14ac:dyDescent="0.25">
      <c r="A34" s="5" t="s">
        <v>290</v>
      </c>
      <c r="B34" s="5" t="s">
        <v>280</v>
      </c>
      <c r="C34" s="6" t="s">
        <v>291</v>
      </c>
      <c r="D34" s="8" t="s">
        <v>292</v>
      </c>
      <c r="E34" s="8" t="s">
        <v>293</v>
      </c>
      <c r="F34" s="8">
        <v>2008</v>
      </c>
      <c r="G34" s="8">
        <v>2009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21">
        <v>0</v>
      </c>
      <c r="N34" s="6">
        <v>14.8</v>
      </c>
      <c r="O34" s="13">
        <f>(N34-5)*12</f>
        <v>117.60000000000001</v>
      </c>
      <c r="P34" s="6">
        <v>1451.4</v>
      </c>
      <c r="Q34" s="22">
        <v>7</v>
      </c>
      <c r="R34" s="6">
        <v>200</v>
      </c>
      <c r="S34" s="22">
        <v>61.208329999999997</v>
      </c>
      <c r="T34" s="22">
        <v>2161.15</v>
      </c>
      <c r="U34" s="22">
        <v>1.5333300000000001</v>
      </c>
      <c r="V34" s="6">
        <v>0.48</v>
      </c>
      <c r="W34" s="6"/>
      <c r="X34" s="6">
        <v>4.6900000000000004</v>
      </c>
      <c r="Y34" s="6"/>
      <c r="Z34" s="6"/>
      <c r="AA34" s="6"/>
      <c r="AB34" s="6"/>
      <c r="AC34" s="6">
        <f>(0.025)*1000</f>
        <v>25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>
        <v>256</v>
      </c>
      <c r="AQ34" s="6">
        <v>368</v>
      </c>
      <c r="AR34" s="6"/>
      <c r="AS34" s="6"/>
      <c r="AT34" s="8"/>
      <c r="AU34" s="6">
        <v>324</v>
      </c>
      <c r="AV34" s="6">
        <v>2400</v>
      </c>
      <c r="AW34" s="6">
        <v>10.1</v>
      </c>
      <c r="AX34" s="6"/>
      <c r="AY34" s="13">
        <f t="shared" si="4"/>
        <v>19.228431995561689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22">
        <f>1.69*50%</f>
        <v>0.84499999999999997</v>
      </c>
      <c r="BM34" s="22">
        <f>4.64*50%</f>
        <v>2.3199999999999998</v>
      </c>
      <c r="BN34" s="22">
        <f>37.3*50%</f>
        <v>18.649999999999999</v>
      </c>
      <c r="BO34" s="22">
        <f>SUM(BL34:BN34)</f>
        <v>21.814999999999998</v>
      </c>
      <c r="BP34" s="23">
        <f>BT34/BO34</f>
        <v>1.3183589273435712</v>
      </c>
      <c r="BQ34" s="22">
        <f>(23.1+9.92)*50%</f>
        <v>16.510000000000002</v>
      </c>
      <c r="BR34" s="22">
        <f>24.5*50%</f>
        <v>12.25</v>
      </c>
      <c r="BS34" s="24"/>
      <c r="BT34" s="22">
        <f>SUM(BQ34:BS34)</f>
        <v>28.76</v>
      </c>
      <c r="BU34" s="22">
        <f t="shared" si="3"/>
        <v>50.575000000000003</v>
      </c>
      <c r="BV34" s="16"/>
      <c r="BW34" s="6"/>
      <c r="BX34" s="6"/>
      <c r="BY34" s="6"/>
      <c r="BZ34" s="6"/>
      <c r="CA34" s="6"/>
      <c r="CB34" s="6"/>
      <c r="CC34" s="22">
        <f>5.26*50%</f>
        <v>2.63</v>
      </c>
      <c r="CD34" s="6"/>
      <c r="CE34" s="6"/>
      <c r="CF34" s="6"/>
      <c r="CG34" s="6"/>
      <c r="CH34" s="6"/>
      <c r="CI34" s="6"/>
      <c r="CJ34" s="6"/>
      <c r="CK34" s="6"/>
      <c r="CL34" s="16"/>
      <c r="CM34" s="8" t="s">
        <v>284</v>
      </c>
      <c r="CN34" s="5" t="s">
        <v>141</v>
      </c>
      <c r="CO34" s="25" t="s">
        <v>285</v>
      </c>
      <c r="CP34" s="26" t="s">
        <v>143</v>
      </c>
    </row>
    <row r="35" spans="1:94" x14ac:dyDescent="0.25">
      <c r="A35" s="8" t="s">
        <v>294</v>
      </c>
      <c r="B35" s="5" t="s">
        <v>295</v>
      </c>
      <c r="C35" s="6" t="s">
        <v>145</v>
      </c>
      <c r="D35" s="5" t="s">
        <v>296</v>
      </c>
      <c r="E35" s="5" t="s">
        <v>297</v>
      </c>
      <c r="F35" s="5">
        <v>2002</v>
      </c>
      <c r="G35" s="5">
        <v>2003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13">
        <v>16.087499999999999</v>
      </c>
      <c r="O35" s="13">
        <v>133.5</v>
      </c>
      <c r="P35" s="13">
        <v>1556.5</v>
      </c>
      <c r="Q35" s="22">
        <v>0</v>
      </c>
      <c r="R35" s="13">
        <f>(50+92)/2</f>
        <v>71</v>
      </c>
      <c r="S35" s="16"/>
      <c r="T35" s="27">
        <v>1659.6</v>
      </c>
      <c r="U35" s="13">
        <v>2.329167</v>
      </c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5"/>
      <c r="AU35" s="7"/>
      <c r="AV35" s="7">
        <f>(8000+8791+5263)/3</f>
        <v>7351.333333333333</v>
      </c>
      <c r="AW35" s="7">
        <f>(8000*12.3+8791*9.8+5263*11.4)/(AV35*3)</f>
        <v>11.088691393851455</v>
      </c>
      <c r="AX35" s="7">
        <f>(8000*17+8791*14.2+5263*15.9)/(AV35*3)</f>
        <v>15.621379341616034</v>
      </c>
      <c r="AY35" s="13">
        <f t="shared" si="4"/>
        <v>70.993173583070003</v>
      </c>
      <c r="AZ35" s="6"/>
      <c r="BA35" s="6"/>
      <c r="BB35" s="6"/>
      <c r="BC35" s="7"/>
      <c r="BD35" s="7"/>
      <c r="BE35" s="7"/>
      <c r="BF35" s="7"/>
      <c r="BG35" s="7"/>
      <c r="BH35" s="7"/>
      <c r="BI35" s="7"/>
      <c r="BJ35" s="7"/>
      <c r="BK35" s="7"/>
      <c r="BL35" s="6"/>
      <c r="BM35" s="6"/>
      <c r="BN35" s="6"/>
      <c r="BO35" s="7">
        <f>((233.1+151.1+138.3)/3)*50%</f>
        <v>87.083333333333329</v>
      </c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8" t="s">
        <v>298</v>
      </c>
      <c r="CN35" s="5" t="s">
        <v>141</v>
      </c>
      <c r="CO35" s="28" t="s">
        <v>299</v>
      </c>
      <c r="CP35" s="26" t="s">
        <v>143</v>
      </c>
    </row>
    <row r="36" spans="1:94" x14ac:dyDescent="0.25">
      <c r="A36" s="5" t="s">
        <v>294</v>
      </c>
      <c r="B36" s="5" t="s">
        <v>300</v>
      </c>
      <c r="C36" s="6" t="s">
        <v>291</v>
      </c>
      <c r="D36" s="8" t="s">
        <v>301</v>
      </c>
      <c r="E36" s="8" t="s">
        <v>302</v>
      </c>
      <c r="F36" s="8">
        <v>2005</v>
      </c>
      <c r="G36" s="8">
        <v>2005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21">
        <v>1</v>
      </c>
      <c r="N36" s="6">
        <v>11.3</v>
      </c>
      <c r="O36" s="13">
        <f>(N36-5)*12</f>
        <v>75.600000000000009</v>
      </c>
      <c r="P36" s="6">
        <v>3244</v>
      </c>
      <c r="Q36" s="22">
        <v>425</v>
      </c>
      <c r="R36" s="6">
        <v>330</v>
      </c>
      <c r="S36" s="6"/>
      <c r="T36" s="22">
        <v>1085.9000000000001</v>
      </c>
      <c r="U36" s="22">
        <v>0.74166699999999997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8"/>
      <c r="AU36" s="6"/>
      <c r="AV36" s="6">
        <v>12500</v>
      </c>
      <c r="AW36" s="22">
        <f>(4.63*70+1.78*55)/125</f>
        <v>3.3759999999999999</v>
      </c>
      <c r="AX36" s="6"/>
      <c r="AY36" s="22">
        <f t="shared" si="4"/>
        <v>11.189347722437693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24"/>
      <c r="BM36" s="6"/>
      <c r="BN36" s="6"/>
      <c r="BO36" s="6">
        <f>23.31*50%</f>
        <v>11.654999999999999</v>
      </c>
      <c r="BP36" s="6">
        <f>BT36/BO36</f>
        <v>1.5096525096525097</v>
      </c>
      <c r="BQ36" s="6">
        <f>9.51*50%</f>
        <v>4.7549999999999999</v>
      </c>
      <c r="BR36" s="6">
        <f>15.67*50%</f>
        <v>7.835</v>
      </c>
      <c r="BS36" s="6">
        <f>(7.56+2.45)*50%</f>
        <v>5.0049999999999999</v>
      </c>
      <c r="BT36" s="6">
        <f>SUM(BQ36:BS36)</f>
        <v>17.594999999999999</v>
      </c>
      <c r="BU36" s="6">
        <f>BT36+BO36</f>
        <v>29.25</v>
      </c>
      <c r="BV36" s="6"/>
      <c r="BW36" s="6"/>
      <c r="BX36" s="6"/>
      <c r="BY36" s="6"/>
      <c r="BZ36" s="1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16"/>
      <c r="CM36" s="8" t="s">
        <v>303</v>
      </c>
      <c r="CN36" s="5" t="s">
        <v>192</v>
      </c>
      <c r="CO36" s="17" t="s">
        <v>304</v>
      </c>
      <c r="CP36" s="26" t="s">
        <v>172</v>
      </c>
    </row>
    <row r="37" spans="1:94" x14ac:dyDescent="0.25">
      <c r="A37" s="5" t="s">
        <v>294</v>
      </c>
      <c r="B37" s="5" t="s">
        <v>305</v>
      </c>
      <c r="C37" s="6" t="s">
        <v>306</v>
      </c>
      <c r="D37" s="5" t="s">
        <v>307</v>
      </c>
      <c r="E37" s="5" t="s">
        <v>308</v>
      </c>
      <c r="F37" s="5">
        <v>2002</v>
      </c>
      <c r="G37" s="5">
        <v>2005</v>
      </c>
      <c r="H37" s="5">
        <v>1</v>
      </c>
      <c r="I37" s="5">
        <v>0</v>
      </c>
      <c r="J37" s="5">
        <v>1</v>
      </c>
      <c r="K37" s="12">
        <v>0</v>
      </c>
      <c r="L37" s="12">
        <v>0</v>
      </c>
      <c r="M37" s="12">
        <v>0</v>
      </c>
      <c r="N37" s="13">
        <v>16.177083333333332</v>
      </c>
      <c r="O37" s="13">
        <v>135.35</v>
      </c>
      <c r="P37" s="13">
        <v>1759.125</v>
      </c>
      <c r="Q37" s="22">
        <v>56.75</v>
      </c>
      <c r="R37" s="7">
        <v>70</v>
      </c>
      <c r="S37" s="13">
        <v>64.9375</v>
      </c>
      <c r="T37" s="13">
        <v>2042.8500000000001</v>
      </c>
      <c r="U37" s="13">
        <v>2.5979166666666664</v>
      </c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5"/>
      <c r="AU37" s="7"/>
      <c r="AV37" s="7">
        <v>3240</v>
      </c>
      <c r="AW37" s="7">
        <v>8.1999999999999993</v>
      </c>
      <c r="AX37" s="7"/>
      <c r="AY37" s="13">
        <f t="shared" si="4"/>
        <v>17.110495892217592</v>
      </c>
      <c r="AZ37" s="6"/>
      <c r="BA37" s="6"/>
      <c r="BB37" s="6"/>
      <c r="BC37" s="7">
        <v>45.2</v>
      </c>
      <c r="BD37" s="7">
        <v>48.2</v>
      </c>
      <c r="BE37" s="7">
        <v>48.9</v>
      </c>
      <c r="BF37" s="7">
        <v>44.8</v>
      </c>
      <c r="BG37" s="7"/>
      <c r="BH37" s="7">
        <v>45.6</v>
      </c>
      <c r="BI37" s="7"/>
      <c r="BJ37" s="7"/>
      <c r="BK37" s="7"/>
      <c r="BL37" s="6"/>
      <c r="BM37" s="6">
        <v>4.5999999999999996</v>
      </c>
      <c r="BN37" s="6">
        <v>18</v>
      </c>
      <c r="BO37" s="7">
        <f>SUM(BL37:BN37)</f>
        <v>22.6</v>
      </c>
      <c r="BP37" s="7">
        <f>BT37/BO37</f>
        <v>1.5088495575221239</v>
      </c>
      <c r="BQ37" s="7">
        <v>11.8</v>
      </c>
      <c r="BR37" s="7">
        <v>14</v>
      </c>
      <c r="BS37" s="7">
        <v>8.3000000000000007</v>
      </c>
      <c r="BT37" s="7">
        <f>SUM(BQ37:BS37)</f>
        <v>34.1</v>
      </c>
      <c r="BU37" s="7">
        <f>BT37+BO37</f>
        <v>56.7</v>
      </c>
      <c r="BV37" s="7"/>
      <c r="BW37" s="7">
        <v>84.3</v>
      </c>
      <c r="BX37" s="7"/>
      <c r="BY37" s="7">
        <f>BU37+BW37</f>
        <v>141</v>
      </c>
      <c r="BZ37" s="7"/>
      <c r="CA37" s="7"/>
      <c r="CB37" s="7"/>
      <c r="CC37" s="7">
        <v>2.8</v>
      </c>
      <c r="CD37" s="7"/>
      <c r="CE37" s="7"/>
      <c r="CF37" s="7"/>
      <c r="CG37" s="7"/>
      <c r="CH37" s="7"/>
      <c r="CI37" s="7"/>
      <c r="CJ37" s="7"/>
      <c r="CK37" s="7"/>
      <c r="CL37" s="7"/>
      <c r="CM37" s="5" t="s">
        <v>309</v>
      </c>
      <c r="CN37" s="5" t="s">
        <v>192</v>
      </c>
      <c r="CO37" s="28" t="s">
        <v>310</v>
      </c>
      <c r="CP37" s="26" t="s">
        <v>215</v>
      </c>
    </row>
    <row r="38" spans="1:94" x14ac:dyDescent="0.25">
      <c r="A38" s="5" t="s">
        <v>294</v>
      </c>
      <c r="B38" s="5" t="s">
        <v>311</v>
      </c>
      <c r="C38" s="6" t="s">
        <v>281</v>
      </c>
      <c r="D38" s="5" t="s">
        <v>312</v>
      </c>
      <c r="E38" s="5" t="s">
        <v>313</v>
      </c>
      <c r="F38" s="5">
        <v>2002</v>
      </c>
      <c r="G38" s="5">
        <v>2005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13">
        <v>16.177083333333332</v>
      </c>
      <c r="O38" s="13">
        <v>135.35</v>
      </c>
      <c r="P38" s="13">
        <v>1759.125</v>
      </c>
      <c r="Q38" s="22">
        <v>56.75</v>
      </c>
      <c r="R38" s="7">
        <v>70</v>
      </c>
      <c r="S38" s="13">
        <v>64.9375</v>
      </c>
      <c r="T38" s="13">
        <v>2042.8500000000001</v>
      </c>
      <c r="U38" s="13">
        <v>2.5979166666666664</v>
      </c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5"/>
      <c r="AU38" s="7"/>
      <c r="AV38" s="7">
        <v>8200</v>
      </c>
      <c r="AW38" s="7">
        <v>7.5</v>
      </c>
      <c r="AX38" s="7"/>
      <c r="AY38" s="13">
        <f t="shared" si="4"/>
        <v>36.226490286707303</v>
      </c>
      <c r="AZ38" s="6"/>
      <c r="BA38" s="6"/>
      <c r="BB38" s="6"/>
      <c r="BC38" s="7">
        <v>45.2</v>
      </c>
      <c r="BD38" s="7">
        <v>48.2</v>
      </c>
      <c r="BE38" s="7">
        <v>48.9</v>
      </c>
      <c r="BF38" s="7">
        <v>44.8</v>
      </c>
      <c r="BG38" s="7"/>
      <c r="BH38" s="7">
        <v>45.6</v>
      </c>
      <c r="BI38" s="7"/>
      <c r="BJ38" s="7"/>
      <c r="BK38" s="7"/>
      <c r="BL38" s="6"/>
      <c r="BM38" s="6">
        <v>8.1</v>
      </c>
      <c r="BN38" s="6">
        <v>31.6</v>
      </c>
      <c r="BO38" s="7">
        <f>SUM(BL38:BN38)</f>
        <v>39.700000000000003</v>
      </c>
      <c r="BP38" s="7">
        <f>BT38/BO38</f>
        <v>1.1435768261964734</v>
      </c>
      <c r="BQ38" s="7">
        <v>19.8</v>
      </c>
      <c r="BR38" s="7">
        <v>13</v>
      </c>
      <c r="BS38" s="7">
        <v>12.6</v>
      </c>
      <c r="BT38" s="7">
        <f>SUM(BQ38:BS38)</f>
        <v>45.4</v>
      </c>
      <c r="BU38" s="7">
        <f>BT38+BO38</f>
        <v>85.1</v>
      </c>
      <c r="BV38" s="7"/>
      <c r="BW38" s="7">
        <v>61.3</v>
      </c>
      <c r="BX38" s="7"/>
      <c r="BY38" s="7">
        <f>BU38+BW38</f>
        <v>146.39999999999998</v>
      </c>
      <c r="BZ38" s="7"/>
      <c r="CA38" s="7"/>
      <c r="CB38" s="7"/>
      <c r="CC38" s="7">
        <v>4.7</v>
      </c>
      <c r="CD38" s="7"/>
      <c r="CE38" s="7"/>
      <c r="CF38" s="7"/>
      <c r="CG38" s="7"/>
      <c r="CH38" s="7"/>
      <c r="CI38" s="7"/>
      <c r="CJ38" s="7"/>
      <c r="CK38" s="7"/>
      <c r="CL38" s="7"/>
      <c r="CM38" s="5" t="s">
        <v>314</v>
      </c>
      <c r="CN38" s="5" t="s">
        <v>192</v>
      </c>
      <c r="CO38" s="28" t="s">
        <v>315</v>
      </c>
      <c r="CP38" s="26" t="s">
        <v>172</v>
      </c>
    </row>
    <row r="39" spans="1:94" x14ac:dyDescent="0.25">
      <c r="A39" s="5" t="s">
        <v>294</v>
      </c>
      <c r="B39" s="5" t="s">
        <v>316</v>
      </c>
      <c r="C39" s="6" t="s">
        <v>281</v>
      </c>
      <c r="D39" s="5" t="s">
        <v>317</v>
      </c>
      <c r="E39" s="5" t="s">
        <v>318</v>
      </c>
      <c r="F39" s="5">
        <v>2002</v>
      </c>
      <c r="G39" s="5">
        <v>2005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29">
        <v>1</v>
      </c>
      <c r="N39" s="13">
        <v>13.062499999999995</v>
      </c>
      <c r="O39" s="13">
        <v>105.32499999999999</v>
      </c>
      <c r="P39" s="13">
        <v>3462.5</v>
      </c>
      <c r="Q39" s="22">
        <v>437.75</v>
      </c>
      <c r="R39" s="7">
        <v>330</v>
      </c>
      <c r="S39" s="7"/>
      <c r="T39" s="13">
        <v>1223.2</v>
      </c>
      <c r="U39" s="13">
        <v>0.89166666666666672</v>
      </c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5"/>
      <c r="AU39" s="7"/>
      <c r="AV39" s="7">
        <v>8125</v>
      </c>
      <c r="AW39" s="7">
        <v>5.0999999999999996</v>
      </c>
      <c r="AX39" s="7"/>
      <c r="AY39" s="13">
        <f t="shared" si="4"/>
        <v>16.597917561848696</v>
      </c>
      <c r="AZ39" s="6"/>
      <c r="BA39" s="6"/>
      <c r="BB39" s="6"/>
      <c r="BC39" s="7">
        <v>45.2</v>
      </c>
      <c r="BD39" s="7">
        <v>48.2</v>
      </c>
      <c r="BE39" s="7">
        <v>48.9</v>
      </c>
      <c r="BF39" s="7">
        <v>44.8</v>
      </c>
      <c r="BG39" s="7"/>
      <c r="BH39" s="7">
        <v>45.6</v>
      </c>
      <c r="BI39" s="7"/>
      <c r="BJ39" s="7"/>
      <c r="BK39" s="7"/>
      <c r="BL39" s="6"/>
      <c r="BM39" s="6">
        <v>3.3</v>
      </c>
      <c r="BN39" s="6">
        <v>17.2</v>
      </c>
      <c r="BO39" s="7">
        <f>SUM(BL39:BN39)</f>
        <v>20.5</v>
      </c>
      <c r="BP39" s="7">
        <f>BT39/BO39</f>
        <v>2.1804878048780485</v>
      </c>
      <c r="BQ39" s="7">
        <v>23.9</v>
      </c>
      <c r="BR39" s="7">
        <v>15.7</v>
      </c>
      <c r="BS39" s="7">
        <v>5.0999999999999996</v>
      </c>
      <c r="BT39" s="7">
        <f>SUM(BQ39:BS39)</f>
        <v>44.699999999999996</v>
      </c>
      <c r="BU39" s="7">
        <f>BT39+BO39</f>
        <v>65.199999999999989</v>
      </c>
      <c r="BV39" s="7"/>
      <c r="BW39" s="7">
        <v>113.8</v>
      </c>
      <c r="BX39" s="7"/>
      <c r="BY39" s="7">
        <f>BU39+BW39</f>
        <v>179</v>
      </c>
      <c r="BZ39" s="7"/>
      <c r="CA39" s="7"/>
      <c r="CB39" s="7"/>
      <c r="CC39" s="7">
        <v>10.5</v>
      </c>
      <c r="CD39" s="7"/>
      <c r="CE39" s="7"/>
      <c r="CF39" s="7"/>
      <c r="CG39" s="7"/>
      <c r="CH39" s="7"/>
      <c r="CI39" s="7"/>
      <c r="CJ39" s="7"/>
      <c r="CK39" s="7"/>
      <c r="CL39" s="7"/>
      <c r="CM39" s="5" t="s">
        <v>319</v>
      </c>
      <c r="CN39" s="5" t="s">
        <v>234</v>
      </c>
      <c r="CO39" s="28" t="s">
        <v>320</v>
      </c>
      <c r="CP39" s="26" t="s">
        <v>215</v>
      </c>
    </row>
    <row r="40" spans="1:94" x14ac:dyDescent="0.25">
      <c r="A40" s="5" t="s">
        <v>290</v>
      </c>
      <c r="B40" s="5" t="s">
        <v>321</v>
      </c>
      <c r="C40" s="6" t="s">
        <v>322</v>
      </c>
      <c r="D40" s="8" t="s">
        <v>323</v>
      </c>
      <c r="E40" s="5" t="s">
        <v>324</v>
      </c>
      <c r="F40" s="5">
        <v>2006</v>
      </c>
      <c r="G40" s="5">
        <v>2016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7">
        <v>17.5</v>
      </c>
      <c r="O40" s="13">
        <f>(N40-5)*12</f>
        <v>150</v>
      </c>
      <c r="P40" s="7">
        <v>2719</v>
      </c>
      <c r="Q40" s="22">
        <v>1.1000000000000001</v>
      </c>
      <c r="R40" s="23">
        <v>60</v>
      </c>
      <c r="S40" s="22">
        <v>69.340909999999994</v>
      </c>
      <c r="T40" s="22">
        <v>2353.88</v>
      </c>
      <c r="U40" s="22">
        <v>1.72197</v>
      </c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7"/>
      <c r="AV40" s="7">
        <f>(9870+7307)/2</f>
        <v>8588.5</v>
      </c>
      <c r="AW40" s="7">
        <f>(11+13)/2</f>
        <v>12</v>
      </c>
      <c r="AX40" s="7"/>
      <c r="AY40" s="7">
        <f t="shared" si="4"/>
        <v>97.133646619281379</v>
      </c>
      <c r="AZ40" s="6"/>
      <c r="BA40" s="6">
        <v>6.9</v>
      </c>
      <c r="BB40" s="6"/>
      <c r="BC40" s="7"/>
      <c r="BD40" s="7"/>
      <c r="BE40" s="7"/>
      <c r="BF40" s="7"/>
      <c r="BG40" s="7"/>
      <c r="BH40" s="7"/>
      <c r="BI40" s="7"/>
      <c r="BJ40" s="7"/>
      <c r="BK40" s="7"/>
      <c r="BL40" s="6"/>
      <c r="BM40" s="6"/>
      <c r="BN40" s="6"/>
      <c r="BO40" s="13">
        <f>(170+200)/2*50%</f>
        <v>92.5</v>
      </c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13">
        <f>4.2*50%</f>
        <v>2.1</v>
      </c>
      <c r="CD40" s="7"/>
      <c r="CE40" s="7"/>
      <c r="CF40" s="7"/>
      <c r="CG40" s="7"/>
      <c r="CH40" s="7"/>
      <c r="CI40" s="7"/>
      <c r="CJ40" s="7"/>
      <c r="CK40" s="7"/>
      <c r="CL40" s="7"/>
      <c r="CM40" s="5" t="s">
        <v>325</v>
      </c>
      <c r="CN40" s="5" t="s">
        <v>208</v>
      </c>
      <c r="CO40" s="28" t="s">
        <v>326</v>
      </c>
      <c r="CP40" s="26" t="s">
        <v>327</v>
      </c>
    </row>
    <row r="41" spans="1:94" x14ac:dyDescent="0.25">
      <c r="A41" s="8" t="s">
        <v>294</v>
      </c>
      <c r="B41" s="5" t="s">
        <v>328</v>
      </c>
      <c r="C41" s="30" t="s">
        <v>329</v>
      </c>
      <c r="D41" s="8" t="s">
        <v>330</v>
      </c>
      <c r="E41" s="31" t="s">
        <v>331</v>
      </c>
      <c r="F41" s="8">
        <v>2008</v>
      </c>
      <c r="G41" s="8">
        <v>2008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21">
        <v>0</v>
      </c>
      <c r="N41" s="22">
        <v>16.75</v>
      </c>
      <c r="O41" s="22">
        <v>141</v>
      </c>
      <c r="P41" s="22">
        <v>1086.5</v>
      </c>
      <c r="Q41" s="22">
        <v>0</v>
      </c>
      <c r="R41" s="22">
        <v>88</v>
      </c>
      <c r="S41" s="32">
        <v>65.416669999999996</v>
      </c>
      <c r="T41" s="22">
        <v>2016.9</v>
      </c>
      <c r="U41" s="22">
        <v>2.35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31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2">
        <f>84.2</f>
        <v>84.2</v>
      </c>
      <c r="BP41" s="23"/>
      <c r="BQ41" s="24"/>
      <c r="BR41" s="24"/>
      <c r="BS41" s="24"/>
      <c r="BT41" s="24"/>
      <c r="BU41" s="24"/>
      <c r="BV41" s="33"/>
      <c r="BW41" s="24"/>
      <c r="BX41" s="24"/>
      <c r="BY41" s="24"/>
      <c r="BZ41" s="24"/>
      <c r="CA41" s="24"/>
      <c r="CB41" s="24"/>
      <c r="CC41" s="22">
        <v>3.49</v>
      </c>
      <c r="CD41" s="24"/>
      <c r="CE41" s="24"/>
      <c r="CF41" s="24"/>
      <c r="CG41" s="24"/>
      <c r="CH41" s="24"/>
      <c r="CI41" s="24"/>
      <c r="CJ41" s="24"/>
      <c r="CK41" s="24"/>
      <c r="CL41" s="33"/>
      <c r="CM41" s="31" t="s">
        <v>332</v>
      </c>
      <c r="CN41" s="29" t="s">
        <v>192</v>
      </c>
      <c r="CO41" s="17" t="s">
        <v>333</v>
      </c>
      <c r="CP41" s="34" t="s">
        <v>172</v>
      </c>
    </row>
    <row r="42" spans="1:94" x14ac:dyDescent="0.25">
      <c r="A42" s="8" t="s">
        <v>294</v>
      </c>
      <c r="B42" s="5" t="s">
        <v>334</v>
      </c>
      <c r="C42" s="6" t="s">
        <v>335</v>
      </c>
      <c r="D42" s="8" t="s">
        <v>336</v>
      </c>
      <c r="E42" s="31" t="s">
        <v>337</v>
      </c>
      <c r="F42" s="8">
        <v>2008</v>
      </c>
      <c r="G42" s="8">
        <v>2008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21">
        <v>1</v>
      </c>
      <c r="N42" s="22">
        <v>16.75</v>
      </c>
      <c r="O42" s="22">
        <v>141</v>
      </c>
      <c r="P42" s="22">
        <v>1086.5</v>
      </c>
      <c r="Q42" s="22">
        <v>0</v>
      </c>
      <c r="R42" s="22">
        <v>88</v>
      </c>
      <c r="S42" s="22">
        <v>65.416669999999996</v>
      </c>
      <c r="T42" s="22">
        <v>2016.9</v>
      </c>
      <c r="U42" s="22">
        <v>2.35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31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2">
        <f>(103.2+116.7+92.3+61.1+88.2)/5</f>
        <v>92.3</v>
      </c>
      <c r="BP42" s="23"/>
      <c r="BQ42" s="24"/>
      <c r="BR42" s="24"/>
      <c r="BS42" s="24"/>
      <c r="BT42" s="24"/>
      <c r="BU42" s="24"/>
      <c r="BV42" s="33"/>
      <c r="BW42" s="24"/>
      <c r="BX42" s="24"/>
      <c r="BY42" s="24"/>
      <c r="BZ42" s="24"/>
      <c r="CA42" s="24"/>
      <c r="CB42" s="24"/>
      <c r="CC42" s="22">
        <f>(4.14+4.65+4.2+4.02+2.87)/5</f>
        <v>3.976</v>
      </c>
      <c r="CD42" s="24"/>
      <c r="CE42" s="24"/>
      <c r="CF42" s="24"/>
      <c r="CG42" s="24"/>
      <c r="CH42" s="24"/>
      <c r="CI42" s="24"/>
      <c r="CJ42" s="24"/>
      <c r="CK42" s="24"/>
      <c r="CL42" s="33"/>
      <c r="CM42" s="31" t="s">
        <v>338</v>
      </c>
      <c r="CN42" s="29" t="s">
        <v>208</v>
      </c>
      <c r="CO42" s="35" t="s">
        <v>339</v>
      </c>
      <c r="CP42" s="34" t="s">
        <v>172</v>
      </c>
    </row>
    <row r="43" spans="1:94" x14ac:dyDescent="0.25">
      <c r="A43" s="8" t="s">
        <v>294</v>
      </c>
      <c r="B43" s="8" t="s">
        <v>340</v>
      </c>
      <c r="C43" s="6" t="s">
        <v>188</v>
      </c>
      <c r="D43" s="8" t="s">
        <v>341</v>
      </c>
      <c r="E43" s="8" t="s">
        <v>342</v>
      </c>
      <c r="F43" s="8">
        <v>2009</v>
      </c>
      <c r="G43" s="8">
        <v>2009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7">
        <v>16.258333333333336</v>
      </c>
      <c r="O43" s="13">
        <f>(N43-5)*12</f>
        <v>135.10000000000002</v>
      </c>
      <c r="P43" s="7">
        <v>1831.5</v>
      </c>
      <c r="Q43" s="22">
        <v>5</v>
      </c>
      <c r="R43" s="6">
        <f>(320+80)/2</f>
        <v>200</v>
      </c>
      <c r="S43" s="13">
        <v>75.833333333333329</v>
      </c>
      <c r="T43" s="6">
        <v>1872.5</v>
      </c>
      <c r="U43" s="6">
        <v>1.4333333333333333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8"/>
      <c r="AU43" s="6"/>
      <c r="AV43" s="6">
        <f>(6130+5000)/2</f>
        <v>5565</v>
      </c>
      <c r="AW43" s="6">
        <f>(12.9+13.9)/2</f>
        <v>13.4</v>
      </c>
      <c r="AX43" s="6">
        <f>(17.9+18.1)/2</f>
        <v>18</v>
      </c>
      <c r="AY43" s="6">
        <f>(83+76.8)/2</f>
        <v>79.900000000000006</v>
      </c>
      <c r="AZ43" s="6"/>
      <c r="BA43" s="6"/>
      <c r="BB43" s="6"/>
      <c r="BC43" s="7"/>
      <c r="BD43" s="7"/>
      <c r="BE43" s="7"/>
      <c r="BF43" s="7"/>
      <c r="BG43" s="7"/>
      <c r="BH43" s="7"/>
      <c r="BI43" s="7"/>
      <c r="BJ43" s="7"/>
      <c r="BK43" s="7"/>
      <c r="BL43" s="6"/>
      <c r="BM43" s="13">
        <f>(17.01+18.71)/2*0.5</f>
        <v>8.93</v>
      </c>
      <c r="BN43" s="13">
        <f>(129.63+101.28)/2*0.5</f>
        <v>57.727499999999999</v>
      </c>
      <c r="BO43" s="13">
        <f>SUM(BL43:BN43)</f>
        <v>66.657499999999999</v>
      </c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13"/>
      <c r="CA43" s="13">
        <f>(1.22+2.73)/2*0.5</f>
        <v>0.98750000000000004</v>
      </c>
      <c r="CB43" s="13">
        <f>(7.04+12.44)/2*0.5</f>
        <v>4.87</v>
      </c>
      <c r="CC43" s="7"/>
      <c r="CD43" s="13">
        <f>SUM(BZ43:CC43)</f>
        <v>5.8574999999999999</v>
      </c>
      <c r="CE43" s="7"/>
      <c r="CF43" s="7"/>
      <c r="CG43" s="7"/>
      <c r="CH43" s="7"/>
      <c r="CI43" s="7"/>
      <c r="CJ43" s="7"/>
      <c r="CK43" s="7"/>
      <c r="CL43" s="7"/>
      <c r="CM43" s="8" t="s">
        <v>343</v>
      </c>
      <c r="CN43" s="5" t="s">
        <v>192</v>
      </c>
      <c r="CO43" s="28" t="s">
        <v>344</v>
      </c>
      <c r="CP43" s="26" t="s">
        <v>172</v>
      </c>
    </row>
    <row r="44" spans="1:94" x14ac:dyDescent="0.25">
      <c r="A44" s="8" t="s">
        <v>294</v>
      </c>
      <c r="B44" s="8" t="s">
        <v>345</v>
      </c>
      <c r="C44" s="6" t="s">
        <v>199</v>
      </c>
      <c r="D44" s="8" t="s">
        <v>346</v>
      </c>
      <c r="E44" s="8" t="s">
        <v>347</v>
      </c>
      <c r="F44" s="8">
        <v>2009</v>
      </c>
      <c r="G44" s="8">
        <v>2009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7">
        <v>18.108333333333331</v>
      </c>
      <c r="O44" s="13">
        <f>(N44-5)*12</f>
        <v>157.29999999999995</v>
      </c>
      <c r="P44" s="7">
        <v>1818.5</v>
      </c>
      <c r="Q44" s="22">
        <v>5</v>
      </c>
      <c r="R44" s="6">
        <v>130</v>
      </c>
      <c r="S44" s="13">
        <v>75.833333333333329</v>
      </c>
      <c r="T44" s="6">
        <v>1781.2</v>
      </c>
      <c r="U44" s="6">
        <v>1.9750000000000003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8"/>
      <c r="AU44" s="6"/>
      <c r="AV44" s="6">
        <f>5230</f>
        <v>5230</v>
      </c>
      <c r="AW44" s="6">
        <v>10.4</v>
      </c>
      <c r="AX44" s="6">
        <v>13.5</v>
      </c>
      <c r="AY44" s="6">
        <v>45.7</v>
      </c>
      <c r="AZ44" s="6"/>
      <c r="BA44" s="6"/>
      <c r="BB44" s="6"/>
      <c r="BC44" s="7"/>
      <c r="BD44" s="7"/>
      <c r="BE44" s="7"/>
      <c r="BF44" s="7"/>
      <c r="BG44" s="7"/>
      <c r="BH44" s="7"/>
      <c r="BI44" s="7"/>
      <c r="BJ44" s="7"/>
      <c r="BK44" s="7"/>
      <c r="BL44" s="6"/>
      <c r="BM44" s="13">
        <f>12.29*0.5</f>
        <v>6.1449999999999996</v>
      </c>
      <c r="BN44" s="13">
        <f>70.53*0.5</f>
        <v>35.265000000000001</v>
      </c>
      <c r="BO44" s="13">
        <f>SUM(BL44:BN44)</f>
        <v>41.41</v>
      </c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13"/>
      <c r="CA44" s="13">
        <f>2.49*0.5</f>
        <v>1.2450000000000001</v>
      </c>
      <c r="CB44" s="13">
        <f>9.65*0.5</f>
        <v>4.8250000000000002</v>
      </c>
      <c r="CC44" s="7"/>
      <c r="CD44" s="13">
        <f>SUM(BZ44:CC44)</f>
        <v>6.07</v>
      </c>
      <c r="CE44" s="7"/>
      <c r="CF44" s="7"/>
      <c r="CG44" s="7"/>
      <c r="CH44" s="7"/>
      <c r="CI44" s="7"/>
      <c r="CJ44" s="7"/>
      <c r="CK44" s="7"/>
      <c r="CL44" s="7"/>
      <c r="CM44" s="8" t="s">
        <v>348</v>
      </c>
      <c r="CN44" s="5" t="s">
        <v>141</v>
      </c>
      <c r="CO44" s="28" t="s">
        <v>344</v>
      </c>
      <c r="CP44" s="26" t="s">
        <v>172</v>
      </c>
    </row>
    <row r="45" spans="1:94" x14ac:dyDescent="0.25">
      <c r="A45" s="8" t="s">
        <v>294</v>
      </c>
      <c r="B45" s="8" t="s">
        <v>345</v>
      </c>
      <c r="C45" s="6" t="s">
        <v>322</v>
      </c>
      <c r="D45" s="8" t="s">
        <v>349</v>
      </c>
      <c r="E45" s="8" t="s">
        <v>350</v>
      </c>
      <c r="F45" s="8">
        <v>2009</v>
      </c>
      <c r="G45" s="8">
        <v>2009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7">
        <v>17.633333333333333</v>
      </c>
      <c r="O45" s="13">
        <f>(N45-5)*12</f>
        <v>151.6</v>
      </c>
      <c r="P45" s="7">
        <v>2057.3000000000002</v>
      </c>
      <c r="Q45" s="22">
        <v>5</v>
      </c>
      <c r="R45" s="6">
        <f>(125+125+125)/3</f>
        <v>125</v>
      </c>
      <c r="S45" s="7">
        <v>75.833333333333329</v>
      </c>
      <c r="T45" s="6">
        <v>1974.0000000000002</v>
      </c>
      <c r="U45" s="6">
        <v>3.2250000000000001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8"/>
      <c r="AU45" s="6"/>
      <c r="AV45" s="6">
        <f>(5550+5200+5130)/3</f>
        <v>5293.333333333333</v>
      </c>
      <c r="AW45" s="6">
        <f>(12.5+12.8+11.7)/3</f>
        <v>12.333333333333334</v>
      </c>
      <c r="AX45" s="6">
        <f>(17+17.5+16.3)/3</f>
        <v>16.933333333333334</v>
      </c>
      <c r="AY45" s="6">
        <f>(69.5+67.4+59.1)/3</f>
        <v>65.333333333333329</v>
      </c>
      <c r="AZ45" s="6"/>
      <c r="BA45" s="6"/>
      <c r="BB45" s="6"/>
      <c r="BC45" s="7"/>
      <c r="BD45" s="7"/>
      <c r="BE45" s="7"/>
      <c r="BF45" s="7"/>
      <c r="BG45" s="7"/>
      <c r="BH45" s="7"/>
      <c r="BI45" s="7"/>
      <c r="BJ45" s="7"/>
      <c r="BK45" s="7"/>
      <c r="BL45" s="6"/>
      <c r="BM45" s="13">
        <f>(13.09+16.52+15.96)/3*0.5</f>
        <v>7.5949999999999998</v>
      </c>
      <c r="BN45" s="13">
        <f>(108.8+104.54+72.27)/3*0.5</f>
        <v>47.601666666666667</v>
      </c>
      <c r="BO45" s="13">
        <f>SUM(BL45:BN45)</f>
        <v>55.196666666666665</v>
      </c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13"/>
      <c r="CA45" s="13">
        <f>(0.39+0.07+0.22)/3*0.5</f>
        <v>0.11333333333333334</v>
      </c>
      <c r="CB45" s="13">
        <f>(1.67+0.22+0.71)/3*0.5</f>
        <v>0.43333333333333329</v>
      </c>
      <c r="CC45" s="7"/>
      <c r="CD45" s="13">
        <f>SUM(BZ45:CC45)</f>
        <v>0.54666666666666663</v>
      </c>
      <c r="CE45" s="7"/>
      <c r="CF45" s="7"/>
      <c r="CG45" s="7"/>
      <c r="CH45" s="7"/>
      <c r="CI45" s="7"/>
      <c r="CJ45" s="7"/>
      <c r="CK45" s="7"/>
      <c r="CL45" s="7"/>
      <c r="CM45" s="8" t="s">
        <v>348</v>
      </c>
      <c r="CN45" s="5" t="s">
        <v>192</v>
      </c>
      <c r="CO45" s="28" t="s">
        <v>344</v>
      </c>
      <c r="CP45" s="26" t="s">
        <v>172</v>
      </c>
    </row>
    <row r="46" spans="1:94" x14ac:dyDescent="0.25">
      <c r="A46" s="5" t="s">
        <v>294</v>
      </c>
      <c r="B46" s="5" t="s">
        <v>351</v>
      </c>
      <c r="C46" s="6" t="s">
        <v>199</v>
      </c>
      <c r="D46" s="5" t="s">
        <v>352</v>
      </c>
      <c r="E46" s="5" t="s">
        <v>353</v>
      </c>
      <c r="F46" s="5">
        <v>2013</v>
      </c>
      <c r="G46" s="5">
        <v>2016</v>
      </c>
      <c r="H46" s="5">
        <v>1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7">
        <v>15.9</v>
      </c>
      <c r="O46" s="13">
        <f>(N46-5)*12</f>
        <v>130.80000000000001</v>
      </c>
      <c r="P46" s="7">
        <v>1833</v>
      </c>
      <c r="Q46" s="22">
        <v>2.25</v>
      </c>
      <c r="R46" s="22">
        <v>84</v>
      </c>
      <c r="S46" s="22">
        <v>70.104166666666671</v>
      </c>
      <c r="T46" s="22">
        <v>2523.9333333333334</v>
      </c>
      <c r="U46" s="22">
        <v>2.8458333333333337</v>
      </c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5"/>
      <c r="AU46" s="7"/>
      <c r="AV46" s="23">
        <f>(10500+9900)/2</f>
        <v>10200</v>
      </c>
      <c r="AW46" s="23">
        <f>(9.3+9.3)/2</f>
        <v>9.3000000000000007</v>
      </c>
      <c r="AX46" s="23"/>
      <c r="AY46" s="23">
        <f>(72.6+76.4)/2</f>
        <v>74.5</v>
      </c>
      <c r="AZ46" s="6"/>
      <c r="BA46" s="6"/>
      <c r="BB46" s="6"/>
      <c r="BC46" s="7"/>
      <c r="BD46" s="7"/>
      <c r="BE46" s="7"/>
      <c r="BF46" s="7"/>
      <c r="BG46" s="7"/>
      <c r="BH46" s="7"/>
      <c r="BI46" s="7"/>
      <c r="BJ46" s="7"/>
      <c r="BK46" s="7"/>
      <c r="BL46" s="6"/>
      <c r="BM46" s="6"/>
      <c r="BN46" s="6"/>
      <c r="BO46" s="22">
        <f>(181+190.3)/2*0.5</f>
        <v>92.825000000000003</v>
      </c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36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5" t="s">
        <v>354</v>
      </c>
      <c r="CN46" s="5" t="s">
        <v>141</v>
      </c>
      <c r="CO46" s="28" t="s">
        <v>355</v>
      </c>
      <c r="CP46" s="26" t="s">
        <v>143</v>
      </c>
    </row>
    <row r="47" spans="1:94" x14ac:dyDescent="0.25">
      <c r="A47" s="5" t="s">
        <v>294</v>
      </c>
      <c r="B47" s="5" t="s">
        <v>356</v>
      </c>
      <c r="C47" s="6" t="s">
        <v>199</v>
      </c>
      <c r="D47" s="5" t="s">
        <v>357</v>
      </c>
      <c r="E47" s="5" t="s">
        <v>358</v>
      </c>
      <c r="F47" s="5">
        <v>2013</v>
      </c>
      <c r="G47" s="5">
        <v>2016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7">
        <v>15.9</v>
      </c>
      <c r="O47" s="13">
        <f>(N47-5)*12</f>
        <v>130.80000000000001</v>
      </c>
      <c r="P47" s="7">
        <v>1833</v>
      </c>
      <c r="Q47" s="22">
        <v>2.25</v>
      </c>
      <c r="R47" s="22">
        <v>84</v>
      </c>
      <c r="S47" s="22">
        <v>70.104166666666671</v>
      </c>
      <c r="T47" s="22">
        <v>2523.9333333333334</v>
      </c>
      <c r="U47" s="22">
        <v>2.8458333333333337</v>
      </c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5"/>
      <c r="AU47" s="7"/>
      <c r="AV47" s="23">
        <f>(8000+8500)/2</f>
        <v>8250</v>
      </c>
      <c r="AW47" s="23">
        <f>(11.1+11.6)/2</f>
        <v>11.35</v>
      </c>
      <c r="AX47" s="23"/>
      <c r="AY47" s="23">
        <f>(86.5+85.9)/2</f>
        <v>86.2</v>
      </c>
      <c r="AZ47" s="6"/>
      <c r="BA47" s="6"/>
      <c r="BB47" s="6"/>
      <c r="BC47" s="7"/>
      <c r="BD47" s="7"/>
      <c r="BE47" s="7"/>
      <c r="BF47" s="7"/>
      <c r="BG47" s="7"/>
      <c r="BH47" s="7"/>
      <c r="BI47" s="7"/>
      <c r="BJ47" s="7"/>
      <c r="BK47" s="7"/>
      <c r="BL47" s="6"/>
      <c r="BM47" s="6"/>
      <c r="BN47" s="6"/>
      <c r="BO47" s="22">
        <f>(222.6+220.1)/2*0.5</f>
        <v>110.675</v>
      </c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5" t="s">
        <v>359</v>
      </c>
      <c r="CN47" s="5" t="s">
        <v>360</v>
      </c>
      <c r="CO47" s="28" t="s">
        <v>361</v>
      </c>
      <c r="CP47" s="26" t="s">
        <v>172</v>
      </c>
    </row>
    <row r="48" spans="1:94" x14ac:dyDescent="0.25">
      <c r="A48" s="8" t="s">
        <v>294</v>
      </c>
      <c r="B48" s="8" t="s">
        <v>362</v>
      </c>
      <c r="C48" s="6" t="s">
        <v>281</v>
      </c>
      <c r="D48" s="5" t="s">
        <v>363</v>
      </c>
      <c r="E48" s="8" t="s">
        <v>364</v>
      </c>
      <c r="F48" s="29">
        <v>1983</v>
      </c>
      <c r="G48" s="29">
        <v>1987</v>
      </c>
      <c r="H48" s="5">
        <v>1</v>
      </c>
      <c r="I48" s="5">
        <v>0</v>
      </c>
      <c r="J48" s="5">
        <v>0</v>
      </c>
      <c r="K48" s="5">
        <v>0</v>
      </c>
      <c r="L48" s="5">
        <v>1</v>
      </c>
      <c r="M48" s="5">
        <v>0</v>
      </c>
      <c r="N48" s="13">
        <v>15.375</v>
      </c>
      <c r="O48" s="13">
        <v>127.08</v>
      </c>
      <c r="P48" s="13">
        <v>1487.6</v>
      </c>
      <c r="Q48" s="22">
        <v>27.2</v>
      </c>
      <c r="R48" s="13">
        <v>65</v>
      </c>
      <c r="S48" s="13">
        <v>65.75</v>
      </c>
      <c r="T48" s="13">
        <v>1989.38</v>
      </c>
      <c r="U48" s="13">
        <v>1.691667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9"/>
      <c r="AU48" s="23"/>
      <c r="AV48" s="22">
        <v>3000</v>
      </c>
      <c r="AW48" s="23"/>
      <c r="AX48" s="23"/>
      <c r="AY48" s="23"/>
      <c r="AZ48" s="24"/>
      <c r="BA48" s="24"/>
      <c r="BB48" s="24"/>
      <c r="BC48" s="23"/>
      <c r="BD48" s="23"/>
      <c r="BE48" s="23"/>
      <c r="BF48" s="23"/>
      <c r="BG48" s="23"/>
      <c r="BH48" s="23"/>
      <c r="BI48" s="23"/>
      <c r="BJ48" s="23"/>
      <c r="BK48" s="23"/>
      <c r="BL48" s="22">
        <f>22.8*50%</f>
        <v>11.4</v>
      </c>
      <c r="BM48" s="22">
        <f>15.5*50%</f>
        <v>7.75</v>
      </c>
      <c r="BN48" s="22">
        <f>30.2*50%</f>
        <v>15.1</v>
      </c>
      <c r="BO48" s="22">
        <f>80.3*50%</f>
        <v>40.15</v>
      </c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4">
        <f>22.8/5*50%</f>
        <v>2.2800000000000002</v>
      </c>
      <c r="CA48" s="24">
        <f>15.5/5*50%</f>
        <v>1.55</v>
      </c>
      <c r="CB48" s="24">
        <f>30.2/5*50%</f>
        <v>3.02</v>
      </c>
      <c r="CC48" s="24">
        <f>(589.9+652.3)/2*100*100/1000/1000*50%</f>
        <v>3.1054999999999997</v>
      </c>
      <c r="CD48" s="24">
        <f>80.3/5*50%</f>
        <v>8.0299999999999994</v>
      </c>
      <c r="CE48" s="23"/>
      <c r="CF48" s="23"/>
      <c r="CG48" s="23"/>
      <c r="CH48" s="23"/>
      <c r="CI48" s="23"/>
      <c r="CJ48" s="23"/>
      <c r="CK48" s="23"/>
      <c r="CL48" s="23"/>
      <c r="CM48" s="5" t="s">
        <v>365</v>
      </c>
      <c r="CN48" s="5" t="s">
        <v>366</v>
      </c>
      <c r="CO48" s="28" t="s">
        <v>367</v>
      </c>
      <c r="CP48" s="26" t="s">
        <v>368</v>
      </c>
    </row>
    <row r="49" spans="1:100" s="38" customFormat="1" x14ac:dyDescent="0.25">
      <c r="A49" s="8" t="s">
        <v>294</v>
      </c>
      <c r="B49" s="8" t="s">
        <v>362</v>
      </c>
      <c r="C49" s="6" t="s">
        <v>281</v>
      </c>
      <c r="D49" s="5" t="s">
        <v>369</v>
      </c>
      <c r="E49" s="8" t="s">
        <v>370</v>
      </c>
      <c r="F49" s="5">
        <v>1984</v>
      </c>
      <c r="G49" s="5">
        <v>1985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13">
        <v>15.304169999999999</v>
      </c>
      <c r="O49" s="13">
        <v>127.35</v>
      </c>
      <c r="P49" s="13">
        <v>1380.5</v>
      </c>
      <c r="Q49" s="22">
        <v>42.5</v>
      </c>
      <c r="R49" s="13">
        <v>65</v>
      </c>
      <c r="S49" s="13">
        <v>66.166669999999996</v>
      </c>
      <c r="T49" s="13">
        <v>1959.95</v>
      </c>
      <c r="U49" s="13">
        <v>1.745833</v>
      </c>
      <c r="V49" s="24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9"/>
      <c r="AU49" s="23"/>
      <c r="AV49" s="7">
        <f>(8536+8617+4803)/3</f>
        <v>7318.666666666667</v>
      </c>
      <c r="AW49" s="7">
        <f>(8.3+12.9+10)/3</f>
        <v>10.4</v>
      </c>
      <c r="AX49" s="23"/>
      <c r="AY49" s="7">
        <f>(31.9+108+42.1)/3</f>
        <v>60.666666666666664</v>
      </c>
      <c r="AZ49" s="24"/>
      <c r="BA49" s="24"/>
      <c r="BB49" s="24"/>
      <c r="BC49" s="23"/>
      <c r="BD49" s="23"/>
      <c r="BE49" s="23"/>
      <c r="BF49" s="23"/>
      <c r="BG49" s="23"/>
      <c r="BH49" s="23"/>
      <c r="BI49" s="23"/>
      <c r="BJ49" s="23"/>
      <c r="BK49" s="23"/>
      <c r="BL49" s="24"/>
      <c r="BM49" s="24"/>
      <c r="BN49" s="13">
        <f>(80.1+218+67.1)/3*50%</f>
        <v>60.866666666666674</v>
      </c>
      <c r="BO49" s="24"/>
      <c r="BP49" s="23"/>
      <c r="BQ49" s="23"/>
      <c r="BR49" s="23"/>
      <c r="BS49" s="23"/>
      <c r="BT49" s="23"/>
      <c r="BU49" s="23"/>
      <c r="BV49" s="23"/>
      <c r="BW49" s="23"/>
      <c r="BX49" s="23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3"/>
      <c r="CJ49" s="23"/>
      <c r="CK49" s="23"/>
      <c r="CL49" s="23"/>
      <c r="CM49" s="5" t="s">
        <v>371</v>
      </c>
      <c r="CN49" s="5" t="s">
        <v>366</v>
      </c>
      <c r="CO49" s="37" t="s">
        <v>372</v>
      </c>
      <c r="CP49" s="26" t="s">
        <v>172</v>
      </c>
      <c r="CQ49"/>
      <c r="CR49"/>
      <c r="CS49"/>
      <c r="CT49"/>
      <c r="CU49"/>
      <c r="CV49"/>
    </row>
    <row r="50" spans="1:100" x14ac:dyDescent="0.25">
      <c r="A50" s="8" t="s">
        <v>294</v>
      </c>
      <c r="B50" s="8" t="s">
        <v>362</v>
      </c>
      <c r="C50" s="6" t="s">
        <v>281</v>
      </c>
      <c r="D50" s="5" t="s">
        <v>373</v>
      </c>
      <c r="E50" s="31" t="s">
        <v>374</v>
      </c>
      <c r="F50" s="8">
        <v>2009</v>
      </c>
      <c r="G50" s="8">
        <v>2009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22">
        <v>16.100000000000001</v>
      </c>
      <c r="O50" s="22">
        <v>133.19999999999999</v>
      </c>
      <c r="P50" s="22">
        <v>1457.5</v>
      </c>
      <c r="Q50" s="22">
        <v>2</v>
      </c>
      <c r="R50" s="22">
        <v>132</v>
      </c>
      <c r="S50" s="22">
        <v>62</v>
      </c>
      <c r="T50" s="22">
        <v>1775</v>
      </c>
      <c r="U50" s="22">
        <v>2.0583330000000002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31"/>
      <c r="AU50" s="24"/>
      <c r="AV50" s="24">
        <v>5400</v>
      </c>
      <c r="AW50" s="24">
        <v>8</v>
      </c>
      <c r="AX50" s="24">
        <v>12.1</v>
      </c>
      <c r="AY50" s="22">
        <f>(AW50/2)^2*PI()*AV50/10000</f>
        <v>27.143360527015815</v>
      </c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>
        <f>2.6*5400/1000</f>
        <v>14.04</v>
      </c>
      <c r="BN50" s="24">
        <f>8.9*5400/1000</f>
        <v>48.06</v>
      </c>
      <c r="BO50" s="24">
        <f>11.6*5400/1000</f>
        <v>62.64</v>
      </c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3"/>
      <c r="CF50" s="23"/>
      <c r="CG50" s="23"/>
      <c r="CH50" s="23"/>
      <c r="CI50" s="23"/>
      <c r="CJ50" s="23"/>
      <c r="CK50" s="23"/>
      <c r="CL50" s="23"/>
      <c r="CM50" s="5" t="s">
        <v>375</v>
      </c>
      <c r="CN50" s="5" t="s">
        <v>366</v>
      </c>
      <c r="CO50" s="28" t="s">
        <v>376</v>
      </c>
      <c r="CP50" s="26" t="s">
        <v>172</v>
      </c>
    </row>
    <row r="51" spans="1:100" x14ac:dyDescent="0.25">
      <c r="A51" s="5" t="s">
        <v>294</v>
      </c>
      <c r="B51" s="5" t="s">
        <v>362</v>
      </c>
      <c r="C51" s="6" t="s">
        <v>281</v>
      </c>
      <c r="D51" s="5" t="s">
        <v>377</v>
      </c>
      <c r="E51" s="5" t="s">
        <v>378</v>
      </c>
      <c r="F51" s="5">
        <v>2019</v>
      </c>
      <c r="G51" s="5">
        <v>2019</v>
      </c>
      <c r="H51" s="5">
        <v>1</v>
      </c>
      <c r="I51" s="5">
        <v>0</v>
      </c>
      <c r="J51" s="5">
        <v>1</v>
      </c>
      <c r="K51" s="5">
        <v>1</v>
      </c>
      <c r="L51" s="5">
        <v>0</v>
      </c>
      <c r="M51" s="5">
        <v>0</v>
      </c>
      <c r="N51" s="7">
        <v>16.91</v>
      </c>
      <c r="O51" s="13">
        <v>142.9</v>
      </c>
      <c r="P51" s="7">
        <v>1407.5</v>
      </c>
      <c r="Q51" s="22">
        <v>7</v>
      </c>
      <c r="R51" s="22">
        <v>65</v>
      </c>
      <c r="S51" s="22">
        <v>66.75</v>
      </c>
      <c r="T51" s="22">
        <v>1817.3</v>
      </c>
      <c r="U51" s="22">
        <v>2.1</v>
      </c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5"/>
      <c r="AU51" s="7"/>
      <c r="AV51" s="23">
        <v>9184</v>
      </c>
      <c r="AW51" s="23">
        <v>9.6999999999999993</v>
      </c>
      <c r="AX51" s="23"/>
      <c r="AY51" s="23">
        <v>69.7</v>
      </c>
      <c r="AZ51" s="6"/>
      <c r="BA51" s="6"/>
      <c r="BB51" s="6"/>
      <c r="BC51" s="7"/>
      <c r="BD51" s="7"/>
      <c r="BE51" s="7"/>
      <c r="BF51" s="7"/>
      <c r="BG51" s="7"/>
      <c r="BH51" s="7"/>
      <c r="BI51" s="7"/>
      <c r="BJ51" s="7"/>
      <c r="BK51" s="7"/>
      <c r="BL51" s="6">
        <v>1.7</v>
      </c>
      <c r="BM51" s="6">
        <v>5.8</v>
      </c>
      <c r="BN51" s="6">
        <v>60.9</v>
      </c>
      <c r="BO51" s="22">
        <v>68.400000000000006</v>
      </c>
      <c r="BP51" s="7">
        <v>0.36</v>
      </c>
      <c r="BQ51" s="7">
        <v>5.0999999999999996</v>
      </c>
      <c r="BR51" s="7">
        <v>12.8</v>
      </c>
      <c r="BS51" s="7">
        <v>6.7</v>
      </c>
      <c r="BT51" s="7">
        <v>24.6</v>
      </c>
      <c r="BU51" s="7">
        <v>93</v>
      </c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5" t="s">
        <v>379</v>
      </c>
      <c r="CN51" s="5" t="s">
        <v>366</v>
      </c>
      <c r="CO51" s="28" t="s">
        <v>380</v>
      </c>
      <c r="CP51" s="26" t="s">
        <v>381</v>
      </c>
    </row>
    <row r="52" spans="1:100" s="19" customFormat="1" x14ac:dyDescent="0.25">
      <c r="A52" s="8" t="s">
        <v>294</v>
      </c>
      <c r="B52" s="8" t="s">
        <v>362</v>
      </c>
      <c r="C52" s="6" t="s">
        <v>329</v>
      </c>
      <c r="D52" s="5" t="s">
        <v>382</v>
      </c>
      <c r="E52" s="5" t="s">
        <v>383</v>
      </c>
      <c r="F52" s="5">
        <v>1971</v>
      </c>
      <c r="G52" s="5">
        <v>1971</v>
      </c>
      <c r="H52" s="5">
        <v>1</v>
      </c>
      <c r="I52" s="5">
        <v>0</v>
      </c>
      <c r="J52" s="5">
        <v>1</v>
      </c>
      <c r="K52" s="5">
        <v>0</v>
      </c>
      <c r="L52" s="5">
        <v>0</v>
      </c>
      <c r="M52" s="5">
        <v>0</v>
      </c>
      <c r="N52" s="7">
        <v>15</v>
      </c>
      <c r="O52" s="13">
        <v>124.5</v>
      </c>
      <c r="P52" s="7">
        <v>1600</v>
      </c>
      <c r="Q52" s="22">
        <v>17</v>
      </c>
      <c r="R52" s="13">
        <v>65</v>
      </c>
      <c r="S52" s="13">
        <v>65.75</v>
      </c>
      <c r="T52" s="13">
        <v>1810</v>
      </c>
      <c r="U52" s="13">
        <v>1.858333</v>
      </c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5"/>
      <c r="AU52" s="7"/>
      <c r="AV52" s="7">
        <f>(4500+5100+8800)/3</f>
        <v>6133.333333333333</v>
      </c>
      <c r="AW52" s="7">
        <f>(8.3+9.3+9.2)/3</f>
        <v>8.9333333333333336</v>
      </c>
      <c r="AX52" s="7">
        <f>(12+13.2+13.3)/3</f>
        <v>12.833333333333334</v>
      </c>
      <c r="AY52" s="13">
        <f>(AW52/2)^2*PI()*AV52/10000</f>
        <v>38.442668646540483</v>
      </c>
      <c r="AZ52" s="6"/>
      <c r="BA52" s="6"/>
      <c r="BB52" s="6"/>
      <c r="BC52" s="7"/>
      <c r="BD52" s="7"/>
      <c r="BE52" s="7"/>
      <c r="BF52" s="7"/>
      <c r="BG52" s="7"/>
      <c r="BH52" s="7"/>
      <c r="BI52" s="7"/>
      <c r="BJ52" s="7"/>
      <c r="BK52" s="7"/>
      <c r="BL52" s="6">
        <f>3.1*50%</f>
        <v>1.55</v>
      </c>
      <c r="BM52" s="6">
        <f>7.3*50%</f>
        <v>3.65</v>
      </c>
      <c r="BN52" s="6">
        <f>40.6*50%</f>
        <v>20.3</v>
      </c>
      <c r="BO52" s="6">
        <f>SUM(BL52:BN52)</f>
        <v>25.5</v>
      </c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6">
        <f>3.1*50%</f>
        <v>1.55</v>
      </c>
      <c r="CA52" s="6">
        <f>7.3*50%</f>
        <v>3.65</v>
      </c>
      <c r="CB52" s="6">
        <f>40.6*50%</f>
        <v>20.3</v>
      </c>
      <c r="CC52" s="6">
        <f>SUM(BY52:CA52)</f>
        <v>5.2</v>
      </c>
      <c r="CD52" s="6">
        <f>SUM(BZ52:CB52)</f>
        <v>25.5</v>
      </c>
      <c r="CE52" s="7">
        <f>(2.2+4.1+1.5)/3*50%</f>
        <v>1.3</v>
      </c>
      <c r="CF52" s="7">
        <f>(3.4+6.4+2.4)/3*50%</f>
        <v>2.0333333333333337</v>
      </c>
      <c r="CG52" s="7"/>
      <c r="CH52" s="7">
        <f>SUM(CE52:CG52)</f>
        <v>3.3333333333333339</v>
      </c>
      <c r="CI52" s="7">
        <f>CD52+CH52</f>
        <v>28.833333333333336</v>
      </c>
      <c r="CJ52" s="7"/>
      <c r="CK52" s="7"/>
      <c r="CL52" s="7"/>
      <c r="CM52" s="5" t="s">
        <v>384</v>
      </c>
      <c r="CN52" s="5" t="s">
        <v>366</v>
      </c>
      <c r="CO52" s="5" t="s">
        <v>385</v>
      </c>
      <c r="CP52" s="26" t="s">
        <v>172</v>
      </c>
      <c r="CQ52"/>
      <c r="CR52"/>
      <c r="CS52"/>
      <c r="CT52"/>
      <c r="CU52"/>
      <c r="CV52"/>
    </row>
    <row r="53" spans="1:100" s="19" customFormat="1" x14ac:dyDescent="0.25">
      <c r="A53" s="8" t="s">
        <v>294</v>
      </c>
      <c r="B53" s="8" t="s">
        <v>362</v>
      </c>
      <c r="C53" s="6" t="s">
        <v>386</v>
      </c>
      <c r="D53" s="5" t="s">
        <v>387</v>
      </c>
      <c r="E53" s="5" t="s">
        <v>388</v>
      </c>
      <c r="F53" s="29">
        <v>1983</v>
      </c>
      <c r="G53" s="29">
        <v>1987</v>
      </c>
      <c r="H53" s="5">
        <v>1</v>
      </c>
      <c r="I53" s="5">
        <v>0</v>
      </c>
      <c r="J53" s="5">
        <v>1</v>
      </c>
      <c r="K53" s="5">
        <v>0</v>
      </c>
      <c r="L53" s="5">
        <v>0</v>
      </c>
      <c r="M53" s="5">
        <v>0</v>
      </c>
      <c r="N53" s="13">
        <v>15.375</v>
      </c>
      <c r="O53" s="13">
        <v>127.08</v>
      </c>
      <c r="P53" s="13">
        <v>1487.6</v>
      </c>
      <c r="Q53" s="22">
        <v>27.2</v>
      </c>
      <c r="R53" s="13">
        <v>65</v>
      </c>
      <c r="S53" s="13">
        <v>65.75</v>
      </c>
      <c r="T53" s="13">
        <v>1989.38</v>
      </c>
      <c r="U53" s="13">
        <v>1.691667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9"/>
      <c r="AU53" s="23"/>
      <c r="AV53" s="22">
        <v>7200</v>
      </c>
      <c r="AW53" s="23"/>
      <c r="AX53" s="23"/>
      <c r="AY53" s="23"/>
      <c r="AZ53" s="24"/>
      <c r="BA53" s="24"/>
      <c r="BB53" s="24"/>
      <c r="BC53" s="23"/>
      <c r="BD53" s="23"/>
      <c r="BE53" s="23"/>
      <c r="BF53" s="23"/>
      <c r="BG53" s="23"/>
      <c r="BH53" s="23"/>
      <c r="BI53" s="23"/>
      <c r="BJ53" s="23"/>
      <c r="BK53" s="23"/>
      <c r="BL53" s="22">
        <f>28.4*50%+BL55*40%</f>
        <v>14.2</v>
      </c>
      <c r="BM53" s="22">
        <f>13.1*50%+BM55*40%</f>
        <v>6.55</v>
      </c>
      <c r="BN53" s="22">
        <f>25.4*50%+BN55*40%</f>
        <v>40</v>
      </c>
      <c r="BO53" s="22">
        <f>SUM(BL53:BN53)</f>
        <v>60.75</v>
      </c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4">
        <f>28.4/5*50%</f>
        <v>2.84</v>
      </c>
      <c r="CA53" s="24">
        <f>13.1/5*50%</f>
        <v>1.31</v>
      </c>
      <c r="CB53" s="24">
        <f>25.4/5*50%</f>
        <v>2.54</v>
      </c>
      <c r="CC53" s="24">
        <f>(628.8+657.9)/2*100*100/1000/1000*50%</f>
        <v>3.2167499999999993</v>
      </c>
      <c r="CD53" s="24">
        <f>78.6/5*50%</f>
        <v>7.8599999999999994</v>
      </c>
      <c r="CE53" s="23"/>
      <c r="CF53" s="23"/>
      <c r="CG53" s="23"/>
      <c r="CH53" s="23"/>
      <c r="CI53" s="23"/>
      <c r="CJ53" s="23"/>
      <c r="CK53" s="23"/>
      <c r="CL53" s="23"/>
      <c r="CM53" s="5" t="s">
        <v>389</v>
      </c>
      <c r="CN53" s="5" t="s">
        <v>366</v>
      </c>
      <c r="CO53" s="28" t="s">
        <v>367</v>
      </c>
      <c r="CP53" s="26" t="s">
        <v>143</v>
      </c>
      <c r="CQ53"/>
      <c r="CR53"/>
      <c r="CS53"/>
      <c r="CT53"/>
      <c r="CU53"/>
      <c r="CV53"/>
    </row>
    <row r="54" spans="1:100" s="19" customFormat="1" x14ac:dyDescent="0.25">
      <c r="A54" s="8" t="s">
        <v>294</v>
      </c>
      <c r="B54" s="8" t="s">
        <v>362</v>
      </c>
      <c r="C54" s="6" t="s">
        <v>281</v>
      </c>
      <c r="D54" s="5" t="s">
        <v>390</v>
      </c>
      <c r="E54" s="8" t="s">
        <v>391</v>
      </c>
      <c r="F54" s="5">
        <v>1984</v>
      </c>
      <c r="G54" s="5">
        <v>1985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13">
        <v>15.304169999999999</v>
      </c>
      <c r="O54" s="13">
        <v>127.35</v>
      </c>
      <c r="P54" s="13">
        <v>1380.5</v>
      </c>
      <c r="Q54" s="22">
        <v>42.5</v>
      </c>
      <c r="R54" s="13">
        <v>65</v>
      </c>
      <c r="S54" s="13">
        <v>66.166669999999996</v>
      </c>
      <c r="T54" s="13">
        <v>1959.95</v>
      </c>
      <c r="U54" s="13">
        <v>1.745833</v>
      </c>
      <c r="V54" s="24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9"/>
      <c r="AU54" s="23"/>
      <c r="AV54" s="7">
        <f>(6045+6014+5488+6611+5751)/5</f>
        <v>5981.8</v>
      </c>
      <c r="AW54" s="7">
        <f>(13.5+11.5+13.2+12.8+12.3)/5</f>
        <v>12.66</v>
      </c>
      <c r="AX54" s="23"/>
      <c r="AY54" s="7">
        <f>(71.9+53.7+60.9+77.7+66.2)/5</f>
        <v>66.08</v>
      </c>
      <c r="AZ54" s="24"/>
      <c r="BA54" s="24"/>
      <c r="BB54" s="24"/>
      <c r="BC54" s="23"/>
      <c r="BD54" s="23"/>
      <c r="BE54" s="23"/>
      <c r="BF54" s="23"/>
      <c r="BG54" s="23"/>
      <c r="BH54" s="23"/>
      <c r="BI54" s="23"/>
      <c r="BJ54" s="23"/>
      <c r="BK54" s="23"/>
      <c r="BL54" s="24"/>
      <c r="BM54" s="24"/>
      <c r="BN54" s="13">
        <f>(161.7+113+139.6+118.3+132.7)/5*50%</f>
        <v>66.53</v>
      </c>
      <c r="BO54" s="24"/>
      <c r="BP54" s="23"/>
      <c r="BQ54" s="23"/>
      <c r="BR54" s="23"/>
      <c r="BS54" s="23"/>
      <c r="BT54" s="23"/>
      <c r="BU54" s="23"/>
      <c r="BV54" s="23"/>
      <c r="BW54" s="23"/>
      <c r="BX54" s="23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3"/>
      <c r="CJ54" s="23"/>
      <c r="CK54" s="23"/>
      <c r="CL54" s="23"/>
      <c r="CM54" s="5" t="s">
        <v>392</v>
      </c>
      <c r="CN54" s="5" t="s">
        <v>393</v>
      </c>
      <c r="CO54" s="37" t="s">
        <v>372</v>
      </c>
      <c r="CP54" s="26" t="s">
        <v>172</v>
      </c>
      <c r="CQ54"/>
      <c r="CR54"/>
      <c r="CS54"/>
      <c r="CT54"/>
      <c r="CU54"/>
      <c r="CV54"/>
    </row>
    <row r="55" spans="1:100" s="39" customFormat="1" x14ac:dyDescent="0.25">
      <c r="A55" s="8" t="s">
        <v>294</v>
      </c>
      <c r="B55" s="8" t="s">
        <v>362</v>
      </c>
      <c r="C55" s="6" t="s">
        <v>281</v>
      </c>
      <c r="D55" s="5" t="s">
        <v>394</v>
      </c>
      <c r="E55" s="8" t="s">
        <v>395</v>
      </c>
      <c r="F55" s="5">
        <v>1984</v>
      </c>
      <c r="G55" s="5">
        <v>1985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13">
        <v>15.304169999999999</v>
      </c>
      <c r="O55" s="13">
        <v>127.35</v>
      </c>
      <c r="P55" s="13">
        <v>1380.5</v>
      </c>
      <c r="Q55" s="22">
        <v>42.5</v>
      </c>
      <c r="R55" s="13">
        <v>65</v>
      </c>
      <c r="S55" s="13">
        <v>66.166669999999996</v>
      </c>
      <c r="T55" s="13">
        <v>1959.95</v>
      </c>
      <c r="U55" s="13">
        <v>1.745833</v>
      </c>
      <c r="V55" s="24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9"/>
      <c r="AU55" s="23"/>
      <c r="AV55" s="7">
        <f>5181</f>
        <v>5181</v>
      </c>
      <c r="AW55" s="7">
        <f>12.7</f>
        <v>12.7</v>
      </c>
      <c r="AX55" s="23"/>
      <c r="AY55" s="7">
        <v>57.6</v>
      </c>
      <c r="AZ55" s="24"/>
      <c r="BA55" s="24"/>
      <c r="BB55" s="24"/>
      <c r="BC55" s="23"/>
      <c r="BD55" s="23"/>
      <c r="BE55" s="23"/>
      <c r="BF55" s="23"/>
      <c r="BG55" s="23"/>
      <c r="BH55" s="23"/>
      <c r="BI55" s="23"/>
      <c r="BJ55" s="23"/>
      <c r="BK55" s="23"/>
      <c r="BL55" s="24"/>
      <c r="BM55" s="24"/>
      <c r="BN55" s="13">
        <f>136.5*50%</f>
        <v>68.25</v>
      </c>
      <c r="BO55" s="24"/>
      <c r="BP55" s="23"/>
      <c r="BQ55" s="23"/>
      <c r="BR55" s="23"/>
      <c r="BS55" s="23"/>
      <c r="BT55" s="23"/>
      <c r="BU55" s="23"/>
      <c r="BV55" s="23"/>
      <c r="BW55" s="23"/>
      <c r="BX55" s="23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3"/>
      <c r="CJ55" s="23"/>
      <c r="CK55" s="23"/>
      <c r="CL55" s="23"/>
      <c r="CM55" s="5" t="s">
        <v>392</v>
      </c>
      <c r="CN55" s="5" t="s">
        <v>366</v>
      </c>
      <c r="CO55" s="37" t="s">
        <v>372</v>
      </c>
      <c r="CP55" s="26" t="s">
        <v>165</v>
      </c>
      <c r="CQ55"/>
      <c r="CR55"/>
      <c r="CS55"/>
      <c r="CT55"/>
      <c r="CU55"/>
      <c r="CV55"/>
    </row>
    <row r="56" spans="1:100" s="39" customFormat="1" x14ac:dyDescent="0.25">
      <c r="A56" s="8" t="s">
        <v>294</v>
      </c>
      <c r="B56" s="8" t="s">
        <v>362</v>
      </c>
      <c r="C56" s="6" t="s">
        <v>329</v>
      </c>
      <c r="D56" s="5" t="s">
        <v>396</v>
      </c>
      <c r="E56" s="5" t="s">
        <v>397</v>
      </c>
      <c r="F56" s="5">
        <v>1983</v>
      </c>
      <c r="G56" s="5">
        <v>1983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13">
        <v>15.39167</v>
      </c>
      <c r="O56" s="13">
        <v>125.4</v>
      </c>
      <c r="P56" s="13">
        <v>1928</v>
      </c>
      <c r="Q56" s="22">
        <v>12</v>
      </c>
      <c r="R56" s="13">
        <v>65</v>
      </c>
      <c r="S56" s="13">
        <v>65.75</v>
      </c>
      <c r="T56" s="13">
        <v>2046.8</v>
      </c>
      <c r="U56" s="13">
        <v>1.558333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5"/>
      <c r="AU56" s="7"/>
      <c r="AV56" s="7">
        <v>7200</v>
      </c>
      <c r="AW56" s="7">
        <v>9.6</v>
      </c>
      <c r="AX56" s="7">
        <v>13.6</v>
      </c>
      <c r="AY56" s="7">
        <v>53.9</v>
      </c>
      <c r="AZ56" s="6"/>
      <c r="BA56" s="6">
        <v>11.9</v>
      </c>
      <c r="BB56" s="6"/>
      <c r="BC56" s="7"/>
      <c r="BD56" s="7"/>
      <c r="BE56" s="7"/>
      <c r="BF56" s="7"/>
      <c r="BG56" s="7"/>
      <c r="BH56" s="7"/>
      <c r="BI56" s="7"/>
      <c r="BJ56" s="7"/>
      <c r="BK56" s="7"/>
      <c r="BL56" s="40">
        <f>5.3*50%</f>
        <v>2.65</v>
      </c>
      <c r="BM56" s="40">
        <f>13.2*50%</f>
        <v>6.6</v>
      </c>
      <c r="BN56" s="40">
        <f>76.6*50%</f>
        <v>38.299999999999997</v>
      </c>
      <c r="BO56" s="40">
        <f t="shared" ref="BO56:BO64" si="5">SUM(BL56:BN56)</f>
        <v>47.55</v>
      </c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41"/>
      <c r="CA56" s="41"/>
      <c r="CB56" s="41"/>
      <c r="CC56" s="41"/>
      <c r="CD56" s="41"/>
      <c r="CE56" s="23"/>
      <c r="CF56" s="23"/>
      <c r="CG56" s="23"/>
      <c r="CH56" s="23"/>
      <c r="CI56" s="23"/>
      <c r="CJ56" s="23"/>
      <c r="CK56" s="23"/>
      <c r="CL56" s="23"/>
      <c r="CM56" s="5" t="s">
        <v>398</v>
      </c>
      <c r="CN56" s="5" t="s">
        <v>366</v>
      </c>
      <c r="CO56" s="28" t="s">
        <v>367</v>
      </c>
      <c r="CP56" s="26" t="s">
        <v>172</v>
      </c>
      <c r="CQ56"/>
      <c r="CR56"/>
      <c r="CS56"/>
      <c r="CT56"/>
      <c r="CU56"/>
      <c r="CV56"/>
    </row>
    <row r="57" spans="1:100" x14ac:dyDescent="0.25">
      <c r="A57" s="8" t="s">
        <v>294</v>
      </c>
      <c r="B57" s="8" t="s">
        <v>362</v>
      </c>
      <c r="C57" s="6" t="s">
        <v>291</v>
      </c>
      <c r="D57" s="5" t="s">
        <v>399</v>
      </c>
      <c r="E57" s="5" t="s">
        <v>400</v>
      </c>
      <c r="F57" s="29">
        <v>1983</v>
      </c>
      <c r="G57" s="29">
        <v>1987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13">
        <v>15.375</v>
      </c>
      <c r="O57" s="13">
        <v>127.08</v>
      </c>
      <c r="P57" s="13">
        <v>1487.6</v>
      </c>
      <c r="Q57" s="22">
        <v>27.2</v>
      </c>
      <c r="R57" s="13">
        <v>65</v>
      </c>
      <c r="S57" s="13">
        <v>65.75</v>
      </c>
      <c r="T57" s="13">
        <v>1989.38</v>
      </c>
      <c r="U57" s="13">
        <v>1.691667</v>
      </c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5"/>
      <c r="AU57" s="7"/>
      <c r="AV57" s="22">
        <v>8000</v>
      </c>
      <c r="AW57" s="23"/>
      <c r="AX57" s="23"/>
      <c r="AY57" s="23"/>
      <c r="AZ57" s="6"/>
      <c r="BA57" s="6"/>
      <c r="BB57" s="6"/>
      <c r="BC57" s="7"/>
      <c r="BD57" s="7"/>
      <c r="BE57" s="7"/>
      <c r="BF57" s="7"/>
      <c r="BG57" s="7"/>
      <c r="BH57" s="7"/>
      <c r="BI57" s="7"/>
      <c r="BJ57" s="7"/>
      <c r="BK57" s="7"/>
      <c r="BL57" s="24">
        <f>37.6*50%+BL58</f>
        <v>21.5258</v>
      </c>
      <c r="BM57" s="24">
        <f>14.3*50%+BM58</f>
        <v>14.651999999999999</v>
      </c>
      <c r="BN57" s="24">
        <f>27.4*50%+BN58</f>
        <v>69.154000000000011</v>
      </c>
      <c r="BO57" s="24">
        <f t="shared" si="5"/>
        <v>105.33180000000002</v>
      </c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24">
        <f>37.6/5*50%</f>
        <v>3.7600000000000002</v>
      </c>
      <c r="CA57" s="24">
        <f>14.3/5*50%</f>
        <v>1.4300000000000002</v>
      </c>
      <c r="CB57" s="24">
        <f>27.4/5*50%</f>
        <v>2.7399999999999998</v>
      </c>
      <c r="CC57" s="24">
        <f>(753+717)*100*100/1000/1000*50%</f>
        <v>7.35</v>
      </c>
      <c r="CD57" s="24">
        <f>91.1/5*50%</f>
        <v>9.11</v>
      </c>
      <c r="CE57" s="7"/>
      <c r="CF57" s="7"/>
      <c r="CG57" s="7"/>
      <c r="CH57" s="7"/>
      <c r="CI57" s="7"/>
      <c r="CJ57" s="7"/>
      <c r="CK57" s="7"/>
      <c r="CL57" s="7"/>
      <c r="CM57" s="5" t="s">
        <v>398</v>
      </c>
      <c r="CN57" s="5" t="s">
        <v>366</v>
      </c>
      <c r="CO57" s="28" t="s">
        <v>367</v>
      </c>
      <c r="CP57" s="26" t="s">
        <v>172</v>
      </c>
    </row>
    <row r="58" spans="1:100" x14ac:dyDescent="0.25">
      <c r="A58" s="5" t="s">
        <v>294</v>
      </c>
      <c r="B58" s="5" t="s">
        <v>401</v>
      </c>
      <c r="C58" s="6" t="s">
        <v>329</v>
      </c>
      <c r="D58" s="5" t="s">
        <v>402</v>
      </c>
      <c r="E58" s="5" t="s">
        <v>403</v>
      </c>
      <c r="F58" s="5">
        <v>1982</v>
      </c>
      <c r="G58" s="5">
        <v>1991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7">
        <v>15.3</v>
      </c>
      <c r="O58" s="13">
        <f>(N58-5)*12</f>
        <v>123.60000000000001</v>
      </c>
      <c r="P58" s="7">
        <v>1581</v>
      </c>
      <c r="Q58" s="22">
        <v>20.5</v>
      </c>
      <c r="R58" s="6">
        <v>65</v>
      </c>
      <c r="S58" s="13">
        <v>67.00833333333334</v>
      </c>
      <c r="T58" s="13">
        <v>1872.7599999999998</v>
      </c>
      <c r="U58" s="13">
        <v>1.6700000000000008</v>
      </c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5"/>
      <c r="AU58" s="7"/>
      <c r="AV58" s="7">
        <v>7100</v>
      </c>
      <c r="AW58" s="7">
        <v>11.3</v>
      </c>
      <c r="AX58" s="7"/>
      <c r="AY58" s="7">
        <f>(AW58/2)^2*PI()*AV58/10000</f>
        <v>71.204118953796325</v>
      </c>
      <c r="AZ58" s="6"/>
      <c r="BA58" s="6"/>
      <c r="BB58" s="6"/>
      <c r="BC58" s="7">
        <v>46.2</v>
      </c>
      <c r="BD58" s="7">
        <v>48.4</v>
      </c>
      <c r="BE58" s="7">
        <v>47.6</v>
      </c>
      <c r="BF58" s="7">
        <v>40.1</v>
      </c>
      <c r="BG58" s="7"/>
      <c r="BH58" s="7">
        <v>44.8</v>
      </c>
      <c r="BI58" s="7"/>
      <c r="BJ58" s="7"/>
      <c r="BK58" s="7"/>
      <c r="BL58" s="6">
        <f>5.9*BC58/100</f>
        <v>2.7258000000000004</v>
      </c>
      <c r="BM58" s="6">
        <f>15.5*BD58/100</f>
        <v>7.5019999999999989</v>
      </c>
      <c r="BN58" s="6">
        <f>116.5*BE58/100</f>
        <v>55.454000000000008</v>
      </c>
      <c r="BO58" s="7">
        <f t="shared" si="5"/>
        <v>65.68180000000001</v>
      </c>
      <c r="BP58" s="7">
        <f>BT58/BO58</f>
        <v>0.2842416011741456</v>
      </c>
      <c r="BQ58" s="7">
        <f>27.9*BF58/100</f>
        <v>11.187899999999999</v>
      </c>
      <c r="BR58" s="7">
        <f>16.7*BH58/100</f>
        <v>7.4815999999999994</v>
      </c>
      <c r="BS58" s="7"/>
      <c r="BT58" s="7">
        <f>SUM(BQ58:BS58)</f>
        <v>18.669499999999999</v>
      </c>
      <c r="BU58" s="7">
        <f>BT58+BO58</f>
        <v>84.351300000000009</v>
      </c>
      <c r="BV58" s="7"/>
      <c r="BW58" s="7">
        <f>7+94.2</f>
        <v>101.2</v>
      </c>
      <c r="BX58" s="7"/>
      <c r="BY58" s="7">
        <f>BU58+BW58</f>
        <v>185.55130000000003</v>
      </c>
      <c r="BZ58" s="7">
        <f>2.06+0.99</f>
        <v>3.05</v>
      </c>
      <c r="CA58" s="7">
        <v>0.79</v>
      </c>
      <c r="CB58" s="7">
        <v>4.66</v>
      </c>
      <c r="CC58" s="7">
        <f>2+0.3+1</f>
        <v>3.3</v>
      </c>
      <c r="CD58" s="7">
        <f>SUM(BZ58:CC58)</f>
        <v>11.8</v>
      </c>
      <c r="CE58" s="7">
        <v>11</v>
      </c>
      <c r="CF58" s="7"/>
      <c r="CG58" s="7"/>
      <c r="CH58" s="7">
        <f>SUM(CE58:CG58)</f>
        <v>11</v>
      </c>
      <c r="CI58" s="7">
        <f>CH58+CD58</f>
        <v>22.8</v>
      </c>
      <c r="CJ58" s="7">
        <f>52.3*12/44</f>
        <v>14.263636363636362</v>
      </c>
      <c r="CK58" s="7">
        <f>10.7+2.6</f>
        <v>13.299999999999999</v>
      </c>
      <c r="CL58" s="7">
        <f>CI58-CK58</f>
        <v>9.5000000000000018</v>
      </c>
      <c r="CM58" s="5" t="s">
        <v>404</v>
      </c>
      <c r="CN58" s="5" t="s">
        <v>141</v>
      </c>
      <c r="CO58" s="28" t="s">
        <v>405</v>
      </c>
      <c r="CP58" s="26" t="s">
        <v>143</v>
      </c>
    </row>
    <row r="59" spans="1:100" x14ac:dyDescent="0.25">
      <c r="A59" s="29" t="s">
        <v>294</v>
      </c>
      <c r="B59" s="29" t="s">
        <v>406</v>
      </c>
      <c r="C59" s="6" t="s">
        <v>407</v>
      </c>
      <c r="D59" s="29" t="s">
        <v>408</v>
      </c>
      <c r="E59" s="29" t="s">
        <v>409</v>
      </c>
      <c r="F59" s="31">
        <v>2005</v>
      </c>
      <c r="G59" s="31">
        <v>2005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22">
        <v>16.058330000000002</v>
      </c>
      <c r="O59" s="22">
        <v>133.30000000000001</v>
      </c>
      <c r="P59" s="22">
        <v>953</v>
      </c>
      <c r="Q59" s="22">
        <v>21</v>
      </c>
      <c r="R59" s="6">
        <v>270</v>
      </c>
      <c r="S59" s="22">
        <v>62</v>
      </c>
      <c r="T59" s="22">
        <v>1667.3</v>
      </c>
      <c r="U59" s="22">
        <v>1.433333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8"/>
      <c r="AU59" s="6"/>
      <c r="AV59" s="24">
        <v>8133</v>
      </c>
      <c r="AW59" s="24">
        <f>(12.2*1033+12.8*7100)/8133</f>
        <v>12.723791958686832</v>
      </c>
      <c r="AX59" s="24">
        <f>(18*1033+18.5*7100)/8133</f>
        <v>18.436493298905692</v>
      </c>
      <c r="AY59" s="22">
        <f>(AW59/2)^2*PI()*AV59/10000</f>
        <v>103.41267510803563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22">
        <f>5.8*50%</f>
        <v>2.9</v>
      </c>
      <c r="BM59" s="22">
        <f>16.6*50%</f>
        <v>8.3000000000000007</v>
      </c>
      <c r="BN59" s="22">
        <f>194.8*50%</f>
        <v>97.4</v>
      </c>
      <c r="BO59" s="22">
        <f t="shared" si="5"/>
        <v>108.60000000000001</v>
      </c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16"/>
      <c r="CM59" s="29" t="s">
        <v>410</v>
      </c>
      <c r="CN59" s="29" t="s">
        <v>176</v>
      </c>
      <c r="CO59" s="42" t="s">
        <v>411</v>
      </c>
      <c r="CP59" s="34" t="s">
        <v>143</v>
      </c>
    </row>
    <row r="60" spans="1:100" x14ac:dyDescent="0.25">
      <c r="A60" s="29" t="s">
        <v>294</v>
      </c>
      <c r="B60" s="29" t="s">
        <v>406</v>
      </c>
      <c r="C60" s="6" t="s">
        <v>407</v>
      </c>
      <c r="D60" s="29" t="s">
        <v>412</v>
      </c>
      <c r="E60" s="29" t="s">
        <v>413</v>
      </c>
      <c r="F60" s="31">
        <v>2006</v>
      </c>
      <c r="G60" s="31">
        <v>2006</v>
      </c>
      <c r="H60" s="31">
        <v>1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22">
        <v>16.175000000000001</v>
      </c>
      <c r="O60" s="22">
        <v>134.80000000000001</v>
      </c>
      <c r="P60" s="22">
        <v>1568</v>
      </c>
      <c r="Q60" s="22">
        <v>6</v>
      </c>
      <c r="R60" s="6">
        <v>270</v>
      </c>
      <c r="S60" s="22">
        <v>64.083330000000004</v>
      </c>
      <c r="T60" s="22">
        <v>1480.5</v>
      </c>
      <c r="U60" s="22">
        <v>1.5833330000000001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8"/>
      <c r="AU60" s="6"/>
      <c r="AV60" s="24">
        <v>7967</v>
      </c>
      <c r="AW60" s="24">
        <f>(12.9*167+12.7*7800)/7967</f>
        <v>12.70419229320949</v>
      </c>
      <c r="AX60" s="24">
        <f>(18.6*167+18.4*7800)/7967</f>
        <v>18.404192293209491</v>
      </c>
      <c r="AY60" s="22">
        <f>(AW60/2)^2*PI()*AV60/10000</f>
        <v>100.99010318518286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22">
        <f>5.9*50%</f>
        <v>2.95</v>
      </c>
      <c r="BM60" s="22">
        <f>16.2*50%</f>
        <v>8.1</v>
      </c>
      <c r="BN60" s="22">
        <f>50%*195.2</f>
        <v>97.6</v>
      </c>
      <c r="BO60" s="22">
        <f t="shared" si="5"/>
        <v>108.64999999999999</v>
      </c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16"/>
      <c r="CM60" s="29" t="s">
        <v>414</v>
      </c>
      <c r="CN60" s="29" t="s">
        <v>141</v>
      </c>
      <c r="CO60" s="42" t="s">
        <v>415</v>
      </c>
      <c r="CP60" s="34" t="s">
        <v>143</v>
      </c>
    </row>
    <row r="61" spans="1:100" x14ac:dyDescent="0.25">
      <c r="A61" s="29" t="s">
        <v>294</v>
      </c>
      <c r="B61" s="29" t="s">
        <v>406</v>
      </c>
      <c r="C61" s="6" t="s">
        <v>407</v>
      </c>
      <c r="D61" s="29" t="s">
        <v>416</v>
      </c>
      <c r="E61" s="29" t="s">
        <v>417</v>
      </c>
      <c r="F61" s="31">
        <v>2007</v>
      </c>
      <c r="G61" s="31">
        <v>2007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22">
        <v>16.516670000000001</v>
      </c>
      <c r="O61" s="22">
        <v>138.19999999999999</v>
      </c>
      <c r="P61" s="22">
        <v>1234</v>
      </c>
      <c r="Q61" s="22">
        <v>0</v>
      </c>
      <c r="R61" s="6">
        <v>270</v>
      </c>
      <c r="S61" s="22">
        <v>61.833329999999997</v>
      </c>
      <c r="T61" s="22">
        <v>1997</v>
      </c>
      <c r="U61" s="22">
        <v>1.4583330000000001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8"/>
      <c r="AU61" s="6"/>
      <c r="AV61" s="24">
        <v>8133</v>
      </c>
      <c r="AW61" s="24">
        <f>(12.7*333+12.7*7800)/8133</f>
        <v>12.700000000000001</v>
      </c>
      <c r="AX61" s="24">
        <f>(18.5*333+18.4*7800)/8133</f>
        <v>18.404094430099594</v>
      </c>
      <c r="AY61" s="22">
        <f>(AW61/2)^2*PI()*AV61/10000</f>
        <v>103.02629818749874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22">
        <f>5.9*50%</f>
        <v>2.95</v>
      </c>
      <c r="BM61" s="22">
        <f>16.5*50%</f>
        <v>8.25</v>
      </c>
      <c r="BN61" s="22">
        <f>50%*197.4</f>
        <v>98.7</v>
      </c>
      <c r="BO61" s="22">
        <f t="shared" si="5"/>
        <v>109.9</v>
      </c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22">
        <f t="shared" ref="BZ61:CB62" si="6">BL61-BL60</f>
        <v>0</v>
      </c>
      <c r="CA61" s="22">
        <f t="shared" si="6"/>
        <v>0.15000000000000036</v>
      </c>
      <c r="CB61" s="22">
        <f t="shared" si="6"/>
        <v>1.1000000000000085</v>
      </c>
      <c r="CC61" s="16"/>
      <c r="CD61" s="22">
        <f>BO61-BO60</f>
        <v>1.2500000000000142</v>
      </c>
      <c r="CE61" s="6"/>
      <c r="CF61" s="6"/>
      <c r="CG61" s="6"/>
      <c r="CH61" s="6"/>
      <c r="CI61" s="6"/>
      <c r="CJ61" s="6"/>
      <c r="CK61" s="6"/>
      <c r="CL61" s="16"/>
      <c r="CM61" s="29" t="s">
        <v>414</v>
      </c>
      <c r="CN61" s="29" t="s">
        <v>141</v>
      </c>
      <c r="CO61" s="42" t="s">
        <v>418</v>
      </c>
      <c r="CP61" s="34" t="s">
        <v>143</v>
      </c>
      <c r="CT61" s="38"/>
      <c r="CU61" s="38"/>
      <c r="CV61" s="38"/>
    </row>
    <row r="62" spans="1:100" x14ac:dyDescent="0.25">
      <c r="A62" s="29" t="s">
        <v>294</v>
      </c>
      <c r="B62" s="29" t="s">
        <v>406</v>
      </c>
      <c r="C62" s="6" t="s">
        <v>407</v>
      </c>
      <c r="D62" s="29" t="s">
        <v>419</v>
      </c>
      <c r="E62" s="29" t="s">
        <v>420</v>
      </c>
      <c r="F62" s="29">
        <v>2008</v>
      </c>
      <c r="G62" s="29">
        <v>2008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43">
        <v>0</v>
      </c>
      <c r="N62" s="22">
        <v>16.033329999999999</v>
      </c>
      <c r="O62" s="22">
        <v>134</v>
      </c>
      <c r="P62" s="22">
        <v>1606</v>
      </c>
      <c r="Q62" s="22">
        <v>13</v>
      </c>
      <c r="R62" s="6">
        <v>270</v>
      </c>
      <c r="S62" s="22">
        <v>63.166670000000003</v>
      </c>
      <c r="T62" s="22">
        <v>1897.6</v>
      </c>
      <c r="U62" s="22">
        <v>1.375</v>
      </c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6"/>
      <c r="AP62" s="6"/>
      <c r="AQ62" s="6"/>
      <c r="AR62" s="6"/>
      <c r="AS62" s="6"/>
      <c r="AT62" s="5"/>
      <c r="AU62" s="6"/>
      <c r="AV62" s="23">
        <v>8300</v>
      </c>
      <c r="AW62" s="23">
        <f>(11.6*367+12.7*7933)/8300</f>
        <v>12.651361445783131</v>
      </c>
      <c r="AX62" s="23">
        <f>(17.4*367+18.5*7933)/8300</f>
        <v>18.451361445783132</v>
      </c>
      <c r="AY62" s="22">
        <f>(AW62/2)^2*PI()*AV62/10000</f>
        <v>104.33799836625894</v>
      </c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22">
        <f>6.1*50%</f>
        <v>3.05</v>
      </c>
      <c r="BM62" s="22">
        <f>(16.6+16.2+16.5+16.9)/4*50%</f>
        <v>8.2749999999999986</v>
      </c>
      <c r="BN62" s="22">
        <f>50%*201.4</f>
        <v>100.7</v>
      </c>
      <c r="BO62" s="22">
        <f t="shared" si="5"/>
        <v>112.02500000000001</v>
      </c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22">
        <f t="shared" si="6"/>
        <v>9.9999999999999645E-2</v>
      </c>
      <c r="CA62" s="22">
        <f t="shared" si="6"/>
        <v>2.4999999999998579E-2</v>
      </c>
      <c r="CB62" s="22">
        <f t="shared" si="6"/>
        <v>2</v>
      </c>
      <c r="CC62" s="10"/>
      <c r="CD62" s="22">
        <f>BO62-BO61</f>
        <v>2.125</v>
      </c>
      <c r="CE62" s="7"/>
      <c r="CF62" s="7"/>
      <c r="CG62" s="7"/>
      <c r="CH62" s="7"/>
      <c r="CI62" s="7"/>
      <c r="CJ62" s="7"/>
      <c r="CK62" s="7"/>
      <c r="CL62" s="10"/>
      <c r="CM62" s="29" t="s">
        <v>414</v>
      </c>
      <c r="CN62" s="29" t="s">
        <v>141</v>
      </c>
      <c r="CO62" s="42" t="s">
        <v>415</v>
      </c>
      <c r="CP62" s="34" t="s">
        <v>165</v>
      </c>
    </row>
    <row r="63" spans="1:100" x14ac:dyDescent="0.25">
      <c r="A63" s="5" t="s">
        <v>294</v>
      </c>
      <c r="B63" s="5" t="s">
        <v>406</v>
      </c>
      <c r="C63" s="6" t="s">
        <v>407</v>
      </c>
      <c r="D63" s="5" t="s">
        <v>421</v>
      </c>
      <c r="E63" s="29" t="s">
        <v>422</v>
      </c>
      <c r="F63" s="29">
        <v>2006</v>
      </c>
      <c r="G63" s="29">
        <v>2006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7">
        <v>15.3</v>
      </c>
      <c r="O63" s="13">
        <f>(N63-5)*12</f>
        <v>123.60000000000001</v>
      </c>
      <c r="P63" s="7">
        <v>1459</v>
      </c>
      <c r="Q63" s="22">
        <v>6</v>
      </c>
      <c r="R63" s="7">
        <v>280</v>
      </c>
      <c r="S63" s="22">
        <v>64.083330000000004</v>
      </c>
      <c r="T63" s="22">
        <v>1480.5</v>
      </c>
      <c r="U63" s="22">
        <v>1.5833330000000001</v>
      </c>
      <c r="V63" s="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5"/>
      <c r="AU63" s="7"/>
      <c r="AV63" s="7">
        <v>9675</v>
      </c>
      <c r="AW63" s="7">
        <v>10.52</v>
      </c>
      <c r="AX63" s="7"/>
      <c r="AY63" s="7">
        <v>88.3</v>
      </c>
      <c r="AZ63" s="6"/>
      <c r="BA63" s="6"/>
      <c r="BB63" s="6"/>
      <c r="BC63" s="7">
        <v>41.9</v>
      </c>
      <c r="BD63" s="7">
        <v>46.4</v>
      </c>
      <c r="BE63" s="7">
        <v>46.3</v>
      </c>
      <c r="BF63" s="7">
        <v>43.2</v>
      </c>
      <c r="BG63" s="7">
        <v>44.2</v>
      </c>
      <c r="BH63" s="7">
        <v>44.3</v>
      </c>
      <c r="BI63" s="7"/>
      <c r="BJ63" s="7">
        <v>3.34</v>
      </c>
      <c r="BK63" s="7">
        <v>2.11</v>
      </c>
      <c r="BL63" s="6">
        <v>2.1</v>
      </c>
      <c r="BM63" s="6">
        <v>6.9</v>
      </c>
      <c r="BN63" s="6">
        <v>75.900000000000006</v>
      </c>
      <c r="BO63" s="7">
        <f t="shared" si="5"/>
        <v>84.9</v>
      </c>
      <c r="BP63" s="7">
        <f>BT63/BO63</f>
        <v>0.65842167255594808</v>
      </c>
      <c r="BQ63" s="7">
        <f>10.9+16.9</f>
        <v>27.799999999999997</v>
      </c>
      <c r="BR63" s="7">
        <f>18.2</f>
        <v>18.2</v>
      </c>
      <c r="BS63" s="7">
        <v>9.9</v>
      </c>
      <c r="BT63" s="7">
        <f>SUM(BQ63:BS63)</f>
        <v>55.9</v>
      </c>
      <c r="BU63" s="7">
        <f>BT63+BO63</f>
        <v>140.80000000000001</v>
      </c>
      <c r="BV63" s="7"/>
      <c r="BW63" s="7">
        <f>1.4+0.5+4.4+16.9+30.9</f>
        <v>54.099999999999994</v>
      </c>
      <c r="BX63" s="7"/>
      <c r="BY63" s="7">
        <f>BU63+BW63</f>
        <v>194.9</v>
      </c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5" t="s">
        <v>423</v>
      </c>
      <c r="CN63" s="5" t="s">
        <v>176</v>
      </c>
      <c r="CO63" s="28" t="s">
        <v>424</v>
      </c>
      <c r="CP63" s="26" t="s">
        <v>425</v>
      </c>
    </row>
    <row r="64" spans="1:100" x14ac:dyDescent="0.25">
      <c r="A64" s="5" t="s">
        <v>426</v>
      </c>
      <c r="B64" s="5" t="s">
        <v>427</v>
      </c>
      <c r="C64" s="6" t="s">
        <v>407</v>
      </c>
      <c r="D64" s="8" t="s">
        <v>428</v>
      </c>
      <c r="E64" s="8" t="s">
        <v>429</v>
      </c>
      <c r="F64" s="8">
        <v>2004</v>
      </c>
      <c r="G64" s="8">
        <v>2005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44">
        <v>1</v>
      </c>
      <c r="N64" s="22">
        <v>15.446149999999999</v>
      </c>
      <c r="O64" s="22">
        <v>127.8</v>
      </c>
      <c r="P64" s="24">
        <v>2075</v>
      </c>
      <c r="Q64" s="22">
        <v>66</v>
      </c>
      <c r="R64" s="22">
        <v>30</v>
      </c>
      <c r="S64" s="22">
        <v>73</v>
      </c>
      <c r="T64" s="22">
        <v>1949.9</v>
      </c>
      <c r="U64" s="22">
        <v>3.4461539999999999</v>
      </c>
      <c r="V64" s="6"/>
      <c r="W64" s="24">
        <v>3.5</v>
      </c>
      <c r="X64" s="24">
        <v>4.7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24">
        <v>534</v>
      </c>
      <c r="AQ64" s="6"/>
      <c r="AR64" s="6">
        <v>91.3</v>
      </c>
      <c r="AS64" s="6">
        <v>432</v>
      </c>
      <c r="AT64" s="6">
        <f>AS64-AU64</f>
        <v>50</v>
      </c>
      <c r="AU64" s="6">
        <v>382</v>
      </c>
      <c r="AV64" s="6">
        <v>14867</v>
      </c>
      <c r="AW64" s="6">
        <v>5.9</v>
      </c>
      <c r="AX64" s="6">
        <v>9.5</v>
      </c>
      <c r="AY64" s="6">
        <v>46.4</v>
      </c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13">
        <f>4.56*50%</f>
        <v>2.2799999999999998</v>
      </c>
      <c r="BM64" s="13">
        <f>11.9*50%</f>
        <v>5.95</v>
      </c>
      <c r="BN64" s="13">
        <f>71.4*50%</f>
        <v>35.700000000000003</v>
      </c>
      <c r="BO64" s="13">
        <f t="shared" si="5"/>
        <v>43.930000000000007</v>
      </c>
      <c r="BP64" s="7"/>
      <c r="BQ64" s="7"/>
      <c r="BR64" s="7"/>
      <c r="BS64" s="7"/>
      <c r="BT64" s="7"/>
      <c r="BU64" s="7"/>
      <c r="BV64" s="7"/>
      <c r="BW64" s="7"/>
      <c r="BX64" s="6"/>
      <c r="BY64" s="6"/>
      <c r="BZ64" s="13">
        <f>(4.8+0.87)*50%</f>
        <v>2.835</v>
      </c>
      <c r="CA64" s="13">
        <f>3.07*50%</f>
        <v>1.5349999999999999</v>
      </c>
      <c r="CB64" s="13">
        <f>10*50%</f>
        <v>5</v>
      </c>
      <c r="CC64" s="22">
        <f>7.45*50%</f>
        <v>3.7250000000000001</v>
      </c>
      <c r="CD64" s="13">
        <f>SUM(BZ64:CB64)</f>
        <v>9.370000000000001</v>
      </c>
      <c r="CE64" s="6"/>
      <c r="CF64" s="6"/>
      <c r="CG64" s="6"/>
      <c r="CH64" s="6"/>
      <c r="CI64" s="6"/>
      <c r="CJ64" s="6"/>
      <c r="CK64" s="6"/>
      <c r="CL64" s="16"/>
      <c r="CM64" s="8" t="s">
        <v>430</v>
      </c>
      <c r="CN64" s="5" t="s">
        <v>141</v>
      </c>
      <c r="CO64" s="37" t="s">
        <v>431</v>
      </c>
      <c r="CP64" s="26" t="s">
        <v>143</v>
      </c>
    </row>
    <row r="65" spans="1:100" x14ac:dyDescent="0.25">
      <c r="A65" s="5" t="s">
        <v>432</v>
      </c>
      <c r="B65" s="5" t="s">
        <v>433</v>
      </c>
      <c r="C65" s="6" t="s">
        <v>434</v>
      </c>
      <c r="D65" s="5" t="s">
        <v>435</v>
      </c>
      <c r="E65" s="5" t="s">
        <v>436</v>
      </c>
      <c r="F65" s="5">
        <v>2016</v>
      </c>
      <c r="G65" s="5">
        <v>2016</v>
      </c>
      <c r="H65" s="5">
        <v>1</v>
      </c>
      <c r="I65" s="8">
        <v>1</v>
      </c>
      <c r="J65" s="12">
        <v>1</v>
      </c>
      <c r="K65" s="12">
        <v>1</v>
      </c>
      <c r="L65" s="5">
        <v>0</v>
      </c>
      <c r="M65" s="5">
        <v>0</v>
      </c>
      <c r="N65" s="7">
        <v>13.1</v>
      </c>
      <c r="O65" s="13">
        <f>(N65-5)*12</f>
        <v>97.199999999999989</v>
      </c>
      <c r="P65" s="7">
        <v>1512</v>
      </c>
      <c r="Q65" s="7"/>
      <c r="R65" s="7">
        <v>50</v>
      </c>
      <c r="S65" s="7"/>
      <c r="T65" s="7"/>
      <c r="U65" s="7"/>
      <c r="V65" s="6"/>
      <c r="W65" s="7"/>
      <c r="X65" s="7">
        <f>(4.59+4.45)/2</f>
        <v>4.5199999999999996</v>
      </c>
      <c r="Y65" s="7">
        <f>(0.23+0.2)/2</f>
        <v>0.21500000000000002</v>
      </c>
      <c r="Z65" s="7"/>
      <c r="AA65" s="7"/>
      <c r="AB65" s="13">
        <f>(174.5+132.2)/2</f>
        <v>153.35</v>
      </c>
      <c r="AC65" s="7"/>
      <c r="AD65" s="7"/>
      <c r="AE65" s="7">
        <f>(3.84+3.74)/2</f>
        <v>3.79</v>
      </c>
      <c r="AF65" s="7">
        <f>(3.49+2.49)/2</f>
        <v>2.99</v>
      </c>
      <c r="AG65" s="7">
        <f>(0.07+0.06)/2</f>
        <v>6.5000000000000002E-2</v>
      </c>
      <c r="AH65" s="7">
        <f>(53+47)/2</f>
        <v>50</v>
      </c>
      <c r="AI65" s="7">
        <f>(37+40)/2</f>
        <v>38.5</v>
      </c>
      <c r="AJ65" s="7">
        <f>(10+13)/2</f>
        <v>11.5</v>
      </c>
      <c r="AK65" s="7"/>
      <c r="AL65" s="7"/>
      <c r="AM65" s="7"/>
      <c r="AN65" s="7"/>
      <c r="AO65" s="7"/>
      <c r="AP65" s="7"/>
      <c r="AQ65" s="7"/>
      <c r="AR65" s="7"/>
      <c r="AS65" s="7"/>
      <c r="AT65" s="5"/>
      <c r="AU65" s="7"/>
      <c r="AV65" s="7">
        <v>4633</v>
      </c>
      <c r="AW65" s="7">
        <v>10.8</v>
      </c>
      <c r="AX65" s="7"/>
      <c r="AY65" s="13">
        <f>(AW65/2)^2*PI()*AV65/10000</f>
        <v>42.442376396061697</v>
      </c>
      <c r="AZ65" s="6"/>
      <c r="BA65" s="6"/>
      <c r="BB65" s="6"/>
      <c r="BC65" s="7"/>
      <c r="BD65" s="7"/>
      <c r="BE65" s="7"/>
      <c r="BF65" s="7">
        <v>42.9</v>
      </c>
      <c r="BG65" s="7"/>
      <c r="BH65" s="7">
        <v>45</v>
      </c>
      <c r="BI65" s="7"/>
      <c r="BJ65" s="7">
        <v>2.48</v>
      </c>
      <c r="BK65" s="7">
        <v>2.0299999999999998</v>
      </c>
      <c r="BL65" s="6">
        <v>1.738</v>
      </c>
      <c r="BM65" s="6">
        <v>3.7831000000000001</v>
      </c>
      <c r="BN65" s="6">
        <v>20.810500000000001</v>
      </c>
      <c r="BO65" s="6">
        <v>26.331600000000002</v>
      </c>
      <c r="BP65" s="7">
        <f>BT65/BO65</f>
        <v>9.2235185100791442E-2</v>
      </c>
      <c r="BQ65" s="6">
        <v>1.0106999999999999</v>
      </c>
      <c r="BR65" s="6">
        <v>1.4179999999999999</v>
      </c>
      <c r="BS65" s="7"/>
      <c r="BT65" s="6">
        <f>BQ65+BR65</f>
        <v>2.4287000000000001</v>
      </c>
      <c r="BU65" s="6">
        <f>BT65+BO65</f>
        <v>28.760300000000001</v>
      </c>
      <c r="BV65" s="6"/>
      <c r="BW65" s="7"/>
      <c r="BX65" s="7"/>
      <c r="BY65" s="7"/>
      <c r="BZ65" s="13"/>
      <c r="CA65" s="13"/>
      <c r="CB65" s="13"/>
      <c r="CC65" s="13"/>
      <c r="CD65" s="13"/>
      <c r="CE65" s="13"/>
      <c r="CF65" s="13"/>
      <c r="CG65" s="6"/>
      <c r="CH65" s="13"/>
      <c r="CI65" s="13"/>
      <c r="CJ65" s="13"/>
      <c r="CK65" s="13"/>
      <c r="CL65" s="13"/>
      <c r="CM65" s="5" t="s">
        <v>437</v>
      </c>
      <c r="CN65" s="10" t="s">
        <v>438</v>
      </c>
      <c r="CO65" s="14"/>
      <c r="CP65" s="11" t="s">
        <v>143</v>
      </c>
    </row>
    <row r="66" spans="1:100" x14ac:dyDescent="0.25">
      <c r="A66" s="5" t="s">
        <v>439</v>
      </c>
      <c r="B66" s="5" t="s">
        <v>440</v>
      </c>
      <c r="C66" s="6" t="s">
        <v>441</v>
      </c>
      <c r="D66" s="5" t="s">
        <v>13</v>
      </c>
      <c r="E66" s="5" t="s">
        <v>442</v>
      </c>
      <c r="F66" s="5">
        <v>2005</v>
      </c>
      <c r="G66" s="5">
        <v>2005</v>
      </c>
      <c r="H66" s="5">
        <v>1</v>
      </c>
      <c r="I66" s="12">
        <v>1</v>
      </c>
      <c r="J66" s="12">
        <v>1</v>
      </c>
      <c r="K66" s="12">
        <v>1</v>
      </c>
      <c r="L66" s="5">
        <v>0</v>
      </c>
      <c r="M66" s="5">
        <v>0</v>
      </c>
      <c r="N66" s="7">
        <f>(0.3+26)/2</f>
        <v>13.15</v>
      </c>
      <c r="O66" s="13">
        <f>(N66-5)*12</f>
        <v>97.800000000000011</v>
      </c>
      <c r="P66" s="7">
        <v>1503</v>
      </c>
      <c r="Q66" s="7"/>
      <c r="R66" s="13">
        <v>33</v>
      </c>
      <c r="S66" s="13"/>
      <c r="T66" s="13"/>
      <c r="U66" s="13"/>
      <c r="V66" s="6"/>
      <c r="W66" s="13"/>
      <c r="X66" s="6">
        <v>4.45</v>
      </c>
      <c r="Y66" s="6">
        <v>0.97</v>
      </c>
      <c r="Z66" s="6"/>
      <c r="AA66" s="6"/>
      <c r="AB66" s="13">
        <v>382.85</v>
      </c>
      <c r="AC66" s="6"/>
      <c r="AD66" s="6">
        <v>6.1</v>
      </c>
      <c r="AE66" s="6">
        <v>0.28999999999999998</v>
      </c>
      <c r="AF66" s="6">
        <v>2</v>
      </c>
      <c r="AG66" s="6">
        <v>0.53</v>
      </c>
      <c r="AH66" s="6"/>
      <c r="AI66" s="6"/>
      <c r="AJ66" s="6"/>
      <c r="AK66" s="6">
        <v>45.1</v>
      </c>
      <c r="AL66" s="6">
        <v>17.3</v>
      </c>
      <c r="AM66" s="6">
        <v>6.1</v>
      </c>
      <c r="AN66" s="6">
        <v>3.6</v>
      </c>
      <c r="AO66" s="6">
        <v>3.5</v>
      </c>
      <c r="AP66" s="6"/>
      <c r="AQ66" s="6"/>
      <c r="AR66" s="6"/>
      <c r="AS66" s="6"/>
      <c r="AT66" s="5"/>
      <c r="AU66" s="6"/>
      <c r="AV66" s="7">
        <v>6133</v>
      </c>
      <c r="AW66" s="7">
        <v>8.3000000000000007</v>
      </c>
      <c r="AX66" s="7">
        <v>12</v>
      </c>
      <c r="AY66" s="13">
        <f>(AW66/2)^2*PI()*AV66/10000</f>
        <v>33.183258542906927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13">
        <f>16.29/2</f>
        <v>8.1449999999999996</v>
      </c>
      <c r="BM66" s="13">
        <f>11.17/2</f>
        <v>5.585</v>
      </c>
      <c r="BN66" s="13">
        <f>40.98/2</f>
        <v>20.49</v>
      </c>
      <c r="BO66" s="13">
        <f>69.65/2</f>
        <v>34.825000000000003</v>
      </c>
      <c r="BP66" s="7">
        <f>BT66/BO66</f>
        <v>0.3043790380473797</v>
      </c>
      <c r="BQ66" s="13">
        <f>7.45/2</f>
        <v>3.7250000000000001</v>
      </c>
      <c r="BR66" s="13">
        <f>13.72/2</f>
        <v>6.86</v>
      </c>
      <c r="BS66" s="7"/>
      <c r="BT66" s="13">
        <f>(13.7+7.5)/2</f>
        <v>10.6</v>
      </c>
      <c r="BU66" s="13">
        <f>BT66+BO66</f>
        <v>45.425000000000004</v>
      </c>
      <c r="BV66" s="6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5" t="s">
        <v>443</v>
      </c>
      <c r="CN66" s="10" t="s">
        <v>444</v>
      </c>
      <c r="CO66" s="14" t="s">
        <v>445</v>
      </c>
      <c r="CP66" s="11" t="s">
        <v>143</v>
      </c>
    </row>
    <row r="67" spans="1:100" x14ac:dyDescent="0.25">
      <c r="A67" s="5" t="s">
        <v>446</v>
      </c>
      <c r="B67" s="5" t="s">
        <v>447</v>
      </c>
      <c r="C67" s="6" t="s">
        <v>441</v>
      </c>
      <c r="D67" s="5" t="s">
        <v>448</v>
      </c>
      <c r="E67" s="5" t="s">
        <v>449</v>
      </c>
      <c r="F67" s="5">
        <v>2016</v>
      </c>
      <c r="G67" s="5">
        <v>2016</v>
      </c>
      <c r="H67" s="5">
        <v>1</v>
      </c>
      <c r="I67" s="8">
        <v>0</v>
      </c>
      <c r="J67" s="12">
        <v>1</v>
      </c>
      <c r="K67" s="12">
        <v>0</v>
      </c>
      <c r="L67" s="5">
        <v>0</v>
      </c>
      <c r="M67" s="5">
        <v>0</v>
      </c>
      <c r="N67" s="7">
        <v>13.1</v>
      </c>
      <c r="O67" s="13">
        <f>(N67-5)*12</f>
        <v>97.199999999999989</v>
      </c>
      <c r="P67" s="7">
        <v>1512</v>
      </c>
      <c r="Q67" s="7"/>
      <c r="R67" s="7">
        <v>67</v>
      </c>
      <c r="S67" s="7"/>
      <c r="T67" s="7"/>
      <c r="U67" s="7"/>
      <c r="V67" s="6"/>
      <c r="W67" s="7"/>
      <c r="X67" s="7">
        <f>(4.69+4.56)/2</f>
        <v>4.625</v>
      </c>
      <c r="Y67" s="7">
        <f>(0.21+0.19)/2</f>
        <v>0.2</v>
      </c>
      <c r="Z67" s="7"/>
      <c r="AA67" s="7"/>
      <c r="AB67" s="13">
        <f>(6.22+5.2)/2</f>
        <v>5.71</v>
      </c>
      <c r="AC67" s="7"/>
      <c r="AD67" s="7"/>
      <c r="AE67" s="7">
        <f>(3.18+2.27)/2</f>
        <v>2.7250000000000001</v>
      </c>
      <c r="AF67" s="7">
        <f>(1.32+1.31)/2</f>
        <v>1.3149999999999999</v>
      </c>
      <c r="AG67" s="7">
        <f>(0.03+0.03)/2</f>
        <v>0.03</v>
      </c>
      <c r="AH67" s="7">
        <f>(63+56)/2</f>
        <v>59.5</v>
      </c>
      <c r="AI67" s="7">
        <f>(29+31)/2</f>
        <v>30</v>
      </c>
      <c r="AJ67" s="7">
        <f>(8+12)/2</f>
        <v>10</v>
      </c>
      <c r="AK67" s="7"/>
      <c r="AL67" s="7"/>
      <c r="AM67" s="7"/>
      <c r="AN67" s="7"/>
      <c r="AO67" s="7"/>
      <c r="AP67" s="7"/>
      <c r="AQ67" s="7"/>
      <c r="AR67" s="7"/>
      <c r="AS67" s="7"/>
      <c r="AT67" s="5"/>
      <c r="AU67" s="7"/>
      <c r="AV67" s="7">
        <v>6833</v>
      </c>
      <c r="AW67" s="7">
        <v>10.7</v>
      </c>
      <c r="AX67" s="7"/>
      <c r="AY67" s="13">
        <f>(AW67/2)^2*PI()*AV67/10000</f>
        <v>61.442497072514541</v>
      </c>
      <c r="AZ67" s="6"/>
      <c r="BA67" s="6"/>
      <c r="BB67" s="6"/>
      <c r="BC67" s="7"/>
      <c r="BD67" s="7"/>
      <c r="BE67" s="7"/>
      <c r="BF67" s="7">
        <v>36.4</v>
      </c>
      <c r="BG67" s="7"/>
      <c r="BH67" s="7">
        <v>45.6</v>
      </c>
      <c r="BI67" s="7"/>
      <c r="BJ67" s="7">
        <v>2.46</v>
      </c>
      <c r="BK67" s="7">
        <v>2.31</v>
      </c>
      <c r="BL67" s="6">
        <v>2.9476</v>
      </c>
      <c r="BM67" s="6">
        <v>6.3715999999999999</v>
      </c>
      <c r="BN67" s="6">
        <v>39.851300000000002</v>
      </c>
      <c r="BO67" s="6">
        <v>48.900399999999998</v>
      </c>
      <c r="BP67" s="7">
        <f>BT67/BO67</f>
        <v>0.15130142084727324</v>
      </c>
      <c r="BQ67" s="6">
        <v>4.1403999999999996</v>
      </c>
      <c r="BR67" s="6">
        <v>3.2583000000000002</v>
      </c>
      <c r="BS67" s="7"/>
      <c r="BT67" s="6">
        <f>BQ67+BR67</f>
        <v>7.3986999999999998</v>
      </c>
      <c r="BU67" s="6">
        <f>BT67+BO67</f>
        <v>56.299099999999996</v>
      </c>
      <c r="BV67" s="6"/>
      <c r="BW67" s="7"/>
      <c r="BX67" s="7"/>
      <c r="BY67" s="7"/>
      <c r="BZ67" s="13"/>
      <c r="CA67" s="13"/>
      <c r="CB67" s="13"/>
      <c r="CC67" s="13"/>
      <c r="CD67" s="13"/>
      <c r="CE67" s="13"/>
      <c r="CF67" s="13"/>
      <c r="CG67" s="6"/>
      <c r="CH67" s="13"/>
      <c r="CI67" s="13"/>
      <c r="CJ67" s="13"/>
      <c r="CK67" s="13"/>
      <c r="CL67" s="13"/>
      <c r="CM67" s="5" t="s">
        <v>437</v>
      </c>
      <c r="CN67" s="10" t="s">
        <v>141</v>
      </c>
      <c r="CO67" s="14"/>
      <c r="CP67" s="11" t="s">
        <v>143</v>
      </c>
    </row>
    <row r="68" spans="1:100" x14ac:dyDescent="0.25">
      <c r="A68" s="5" t="s">
        <v>446</v>
      </c>
      <c r="B68" s="5" t="s">
        <v>450</v>
      </c>
      <c r="C68" s="6" t="s">
        <v>434</v>
      </c>
      <c r="D68" s="5" t="s">
        <v>451</v>
      </c>
      <c r="E68" s="5" t="s">
        <v>452</v>
      </c>
      <c r="F68" s="5">
        <v>2011</v>
      </c>
      <c r="G68" s="5">
        <v>2011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7">
        <f>(0.3+26)/2</f>
        <v>13.15</v>
      </c>
      <c r="O68" s="13">
        <f>(N68-5)*12</f>
        <v>97.800000000000011</v>
      </c>
      <c r="P68" s="7">
        <v>1503</v>
      </c>
      <c r="Q68" s="7"/>
      <c r="R68" s="13">
        <v>33</v>
      </c>
      <c r="S68" s="13"/>
      <c r="T68" s="13"/>
      <c r="U68" s="13"/>
      <c r="V68" s="6"/>
      <c r="W68" s="13"/>
      <c r="X68" s="13">
        <v>4.45</v>
      </c>
      <c r="Y68" s="13">
        <v>0.97</v>
      </c>
      <c r="Z68" s="13"/>
      <c r="AA68" s="13"/>
      <c r="AB68" s="13">
        <v>382.85</v>
      </c>
      <c r="AC68" s="13"/>
      <c r="AD68" s="13">
        <v>6.1</v>
      </c>
      <c r="AE68" s="13">
        <v>0.28999999999999998</v>
      </c>
      <c r="AF68" s="13">
        <v>2</v>
      </c>
      <c r="AG68" s="13">
        <v>0.53</v>
      </c>
      <c r="AH68" s="13"/>
      <c r="AI68" s="13"/>
      <c r="AJ68" s="13"/>
      <c r="AK68" s="13">
        <v>45.1</v>
      </c>
      <c r="AL68" s="13">
        <v>17.3</v>
      </c>
      <c r="AM68" s="13">
        <v>6.1</v>
      </c>
      <c r="AN68" s="13">
        <v>3.6</v>
      </c>
      <c r="AO68" s="13">
        <v>3.5</v>
      </c>
      <c r="AP68" s="6"/>
      <c r="AQ68" s="6"/>
      <c r="AR68" s="6"/>
      <c r="AS68" s="6"/>
      <c r="AT68" s="8"/>
      <c r="AU68" s="6"/>
      <c r="AV68" s="7">
        <v>3050</v>
      </c>
      <c r="AW68" s="7">
        <v>8.9</v>
      </c>
      <c r="AX68" s="7">
        <v>13.2</v>
      </c>
      <c r="AY68" s="13">
        <f>(AW68/2)^2*PI()*AV68/10000</f>
        <v>18.974473499427123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13">
        <f>8.01/2</f>
        <v>4.0049999999999999</v>
      </c>
      <c r="BM68" s="13">
        <f>9.29/2</f>
        <v>4.6449999999999996</v>
      </c>
      <c r="BN68" s="13">
        <f>40.47/2</f>
        <v>20.234999999999999</v>
      </c>
      <c r="BO68" s="13">
        <f>57.77/2</f>
        <v>28.885000000000002</v>
      </c>
      <c r="BP68" s="7">
        <f>BT68/BO68</f>
        <v>0.92348970053661072</v>
      </c>
      <c r="BQ68" s="13">
        <f>9.93/2</f>
        <v>4.9649999999999999</v>
      </c>
      <c r="BR68" s="13">
        <f>43.43/2</f>
        <v>21.715</v>
      </c>
      <c r="BS68" s="7"/>
      <c r="BT68" s="13">
        <f>53.35/2</f>
        <v>26.675000000000001</v>
      </c>
      <c r="BU68" s="13">
        <f>BT68+BO68</f>
        <v>55.56</v>
      </c>
      <c r="BV68" s="6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5" t="s">
        <v>453</v>
      </c>
      <c r="CN68" s="10" t="s">
        <v>454</v>
      </c>
      <c r="CO68" s="14" t="s">
        <v>455</v>
      </c>
      <c r="CP68" s="11" t="s">
        <v>456</v>
      </c>
    </row>
    <row r="69" spans="1:100" x14ac:dyDescent="0.25">
      <c r="A69" s="5" t="s">
        <v>446</v>
      </c>
      <c r="B69" s="5" t="s">
        <v>457</v>
      </c>
      <c r="C69" s="6" t="s">
        <v>291</v>
      </c>
      <c r="D69" s="5" t="s">
        <v>451</v>
      </c>
      <c r="E69" s="5" t="s">
        <v>458</v>
      </c>
      <c r="F69" s="5">
        <v>1996</v>
      </c>
      <c r="G69" s="5">
        <v>1996</v>
      </c>
      <c r="H69" s="5">
        <v>0</v>
      </c>
      <c r="I69" s="12">
        <v>0</v>
      </c>
      <c r="J69" s="12">
        <v>0</v>
      </c>
      <c r="K69" s="12">
        <v>0</v>
      </c>
      <c r="L69" s="5">
        <v>0</v>
      </c>
      <c r="M69" s="5"/>
      <c r="N69" s="7">
        <f>(5+15)/2</f>
        <v>10</v>
      </c>
      <c r="O69" s="13">
        <f>(N69-5)*12</f>
        <v>60</v>
      </c>
      <c r="P69" s="7"/>
      <c r="Q69" s="7"/>
      <c r="R69" s="7">
        <v>150</v>
      </c>
      <c r="S69" s="7"/>
      <c r="T69" s="7"/>
      <c r="U69" s="7"/>
      <c r="V69" s="6"/>
      <c r="W69" s="7"/>
      <c r="X69" s="7">
        <v>4.8</v>
      </c>
      <c r="Y69" s="7">
        <v>0.34200000000000003</v>
      </c>
      <c r="Z69" s="7"/>
      <c r="AA69" s="7"/>
      <c r="AB69" s="13">
        <v>281.10000000000002</v>
      </c>
      <c r="AC69" s="7"/>
      <c r="AD69" s="7"/>
      <c r="AE69" s="7">
        <v>0.35</v>
      </c>
      <c r="AF69" s="7">
        <v>1.48</v>
      </c>
      <c r="AG69" s="7">
        <v>0.2</v>
      </c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5"/>
      <c r="AU69" s="7"/>
      <c r="AV69" s="7">
        <v>7500</v>
      </c>
      <c r="AW69" s="7">
        <v>8.1999999999999993</v>
      </c>
      <c r="AX69" s="7">
        <v>11.9</v>
      </c>
      <c r="AY69" s="7">
        <v>40.5</v>
      </c>
      <c r="AZ69" s="6"/>
      <c r="BA69" s="6"/>
      <c r="BB69" s="6"/>
      <c r="BC69" s="7"/>
      <c r="BD69" s="7"/>
      <c r="BE69" s="7"/>
      <c r="BF69" s="7"/>
      <c r="BG69" s="7"/>
      <c r="BH69" s="7"/>
      <c r="BI69" s="7"/>
      <c r="BJ69" s="7"/>
      <c r="BK69" s="7"/>
      <c r="BL69" s="13">
        <f>3.849/2</f>
        <v>1.9245000000000001</v>
      </c>
      <c r="BM69" s="13">
        <f>6.499/2</f>
        <v>3.2494999999999998</v>
      </c>
      <c r="BN69" s="13">
        <f>61.428/2</f>
        <v>30.713999999999999</v>
      </c>
      <c r="BO69" s="13">
        <f>71.76/2</f>
        <v>35.880000000000003</v>
      </c>
      <c r="BP69" s="7">
        <f>BT69/BO69</f>
        <v>0.44377090301003341</v>
      </c>
      <c r="BQ69" s="13">
        <f>9.928/2</f>
        <v>4.9640000000000004</v>
      </c>
      <c r="BR69" s="13">
        <f>21.917/2</f>
        <v>10.958500000000001</v>
      </c>
      <c r="BS69" s="7"/>
      <c r="BT69" s="13">
        <f>31.845/2</f>
        <v>15.922499999999999</v>
      </c>
      <c r="BU69" s="13">
        <f>BT69+BO69</f>
        <v>51.802500000000002</v>
      </c>
      <c r="BV69" s="6"/>
      <c r="BW69" s="7"/>
      <c r="BX69" s="7"/>
      <c r="BY69" s="7"/>
      <c r="BZ69" s="13">
        <f>1.366/2</f>
        <v>0.68300000000000005</v>
      </c>
      <c r="CA69" s="13">
        <f>0.69/2</f>
        <v>0.34499999999999997</v>
      </c>
      <c r="CB69" s="13">
        <f>6.115/2</f>
        <v>3.0575000000000001</v>
      </c>
      <c r="CC69" s="13"/>
      <c r="CD69" s="13">
        <f>8.171/2</f>
        <v>4.0854999999999997</v>
      </c>
      <c r="CE69" s="13">
        <f>1.027/2</f>
        <v>0.51349999999999996</v>
      </c>
      <c r="CF69" s="13">
        <f>2.266/2</f>
        <v>1.133</v>
      </c>
      <c r="CG69" s="6"/>
      <c r="CH69" s="13">
        <f>3.293/2</f>
        <v>1.6465000000000001</v>
      </c>
      <c r="CI69" s="13">
        <f>CD69+CH69</f>
        <v>5.7319999999999993</v>
      </c>
      <c r="CJ69" s="13"/>
      <c r="CK69" s="13"/>
      <c r="CL69" s="13"/>
      <c r="CM69" s="5" t="s">
        <v>459</v>
      </c>
      <c r="CN69" s="10" t="s">
        <v>444</v>
      </c>
      <c r="CO69" s="14" t="s">
        <v>460</v>
      </c>
      <c r="CP69" s="11" t="s">
        <v>143</v>
      </c>
    </row>
    <row r="70" spans="1:100" x14ac:dyDescent="0.25">
      <c r="A70" s="5" t="s">
        <v>461</v>
      </c>
      <c r="B70" s="5" t="s">
        <v>462</v>
      </c>
      <c r="C70" s="7" t="s">
        <v>463</v>
      </c>
      <c r="D70" s="5" t="s">
        <v>464</v>
      </c>
      <c r="E70" s="5" t="s">
        <v>465</v>
      </c>
      <c r="F70" s="5">
        <v>2007</v>
      </c>
      <c r="G70" s="5">
        <v>2007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7">
        <v>15.3</v>
      </c>
      <c r="O70" s="7">
        <v>123.60000000000001</v>
      </c>
      <c r="P70" s="7">
        <v>4618</v>
      </c>
      <c r="Q70" s="13">
        <v>0</v>
      </c>
      <c r="R70" s="7">
        <v>1300</v>
      </c>
      <c r="S70" s="7">
        <v>87.9</v>
      </c>
      <c r="T70" s="22">
        <v>1449.4</v>
      </c>
      <c r="U70" s="22">
        <v>1.233333</v>
      </c>
      <c r="V70" s="6"/>
      <c r="W70" s="7">
        <f>(3.8+4.04)/2</f>
        <v>3.92</v>
      </c>
      <c r="X70" s="7">
        <f>(4.6+5.1)/2</f>
        <v>4.8499999999999996</v>
      </c>
      <c r="Y70" s="7">
        <f>(0.68+0.56)/2</f>
        <v>0.62000000000000011</v>
      </c>
      <c r="Z70" s="7"/>
      <c r="AA70" s="7"/>
      <c r="AB70" s="7">
        <f>1.96*(16*5+30*2)/30</f>
        <v>9.1466666666666665</v>
      </c>
      <c r="AC70" s="7"/>
      <c r="AD70" s="7">
        <f>(2.93+2.52)/2</f>
        <v>2.7250000000000001</v>
      </c>
      <c r="AE70" s="7">
        <f>(0.3415+0.4335)/2</f>
        <v>0.38750000000000001</v>
      </c>
      <c r="AF70" s="7">
        <f>(0.5951+0.7592)/2</f>
        <v>0.67714999999999992</v>
      </c>
      <c r="AG70" s="7">
        <f>(0.1174+0.1507)/2</f>
        <v>0.13405</v>
      </c>
      <c r="AH70" s="7">
        <f>(28+33.4)/2</f>
        <v>30.7</v>
      </c>
      <c r="AI70" s="7">
        <f>(34.8+24.6)/2</f>
        <v>29.7</v>
      </c>
      <c r="AJ70" s="7">
        <f>(37.2+42)/2</f>
        <v>39.6</v>
      </c>
      <c r="AK70" s="7"/>
      <c r="AL70" s="7"/>
      <c r="AM70" s="7"/>
      <c r="AN70" s="7"/>
      <c r="AO70" s="7"/>
      <c r="AP70" s="7"/>
      <c r="AQ70" s="7"/>
      <c r="AR70" s="7"/>
      <c r="AS70" s="7"/>
      <c r="AT70" s="5"/>
      <c r="AU70" s="7"/>
      <c r="AV70" s="7">
        <v>8344</v>
      </c>
      <c r="AW70" s="7">
        <v>10.6</v>
      </c>
      <c r="AX70" s="7">
        <v>21.4</v>
      </c>
      <c r="AY70" s="13">
        <f t="shared" ref="AY70:AY85" si="7">(AW70/2)^2*PI()*AV70/10000</f>
        <v>73.633578526263037</v>
      </c>
      <c r="AZ70" s="6"/>
      <c r="BA70" s="6"/>
      <c r="BB70" s="6"/>
      <c r="BC70" s="7">
        <v>45.67</v>
      </c>
      <c r="BD70" s="7">
        <v>48.27</v>
      </c>
      <c r="BE70" s="7">
        <v>48.34</v>
      </c>
      <c r="BF70" s="7"/>
      <c r="BG70" s="7"/>
      <c r="BH70" s="7"/>
      <c r="BI70" s="7"/>
      <c r="BJ70" s="45">
        <v>5.74</v>
      </c>
      <c r="BK70" s="45">
        <v>4</v>
      </c>
      <c r="BL70" s="6">
        <f>4.4*BC70/100</f>
        <v>2.0094800000000004</v>
      </c>
      <c r="BM70" s="6">
        <f>12*BD70/100</f>
        <v>5.7923999999999998</v>
      </c>
      <c r="BN70" s="6">
        <f>151.7*BE70/100</f>
        <v>73.331779999999995</v>
      </c>
      <c r="BO70" s="7">
        <f>BL70+BM70+BN70</f>
        <v>81.133659999999992</v>
      </c>
      <c r="BP70" s="7"/>
      <c r="BQ70" s="7"/>
      <c r="BR70" s="7"/>
      <c r="BS70" s="7"/>
      <c r="BT70" s="7"/>
      <c r="BU70" s="7"/>
      <c r="BV70" s="6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5" t="s">
        <v>466</v>
      </c>
      <c r="CN70" s="10" t="s">
        <v>141</v>
      </c>
      <c r="CO70" s="14" t="s">
        <v>467</v>
      </c>
      <c r="CP70" s="11" t="s">
        <v>143</v>
      </c>
    </row>
    <row r="71" spans="1:100" s="1" customFormat="1" x14ac:dyDescent="0.25">
      <c r="A71" s="5" t="s">
        <v>461</v>
      </c>
      <c r="B71" s="5" t="s">
        <v>468</v>
      </c>
      <c r="C71" s="7" t="s">
        <v>469</v>
      </c>
      <c r="D71" s="5" t="s">
        <v>470</v>
      </c>
      <c r="E71" s="5" t="s">
        <v>471</v>
      </c>
      <c r="F71" s="5">
        <v>2008</v>
      </c>
      <c r="G71" s="5">
        <v>2009</v>
      </c>
      <c r="H71" s="5">
        <v>1</v>
      </c>
      <c r="I71" s="5">
        <v>0</v>
      </c>
      <c r="J71" s="5">
        <v>0</v>
      </c>
      <c r="K71" s="5">
        <v>1</v>
      </c>
      <c r="L71" s="5">
        <v>0</v>
      </c>
      <c r="M71" s="5">
        <v>1</v>
      </c>
      <c r="N71" s="7">
        <v>23</v>
      </c>
      <c r="O71" s="13">
        <f>(N71-5)*12</f>
        <v>216</v>
      </c>
      <c r="P71" s="7">
        <v>2600</v>
      </c>
      <c r="Q71" s="13">
        <v>0</v>
      </c>
      <c r="R71" s="7">
        <v>1135</v>
      </c>
      <c r="S71" s="22">
        <v>81.458330000000004</v>
      </c>
      <c r="T71" s="22">
        <v>1222</v>
      </c>
      <c r="U71" s="22">
        <v>0.65833299999999995</v>
      </c>
      <c r="V71" s="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5"/>
      <c r="AU71" s="7"/>
      <c r="AV71" s="7">
        <v>3767</v>
      </c>
      <c r="AW71" s="7">
        <v>9.9</v>
      </c>
      <c r="AX71" s="7">
        <v>13.4</v>
      </c>
      <c r="AY71" s="13">
        <f t="shared" si="7"/>
        <v>28.99718843375976</v>
      </c>
      <c r="AZ71" s="6">
        <v>25.1</v>
      </c>
      <c r="BA71" s="6">
        <v>6.1</v>
      </c>
      <c r="BB71" s="6">
        <v>4.5999999999999996</v>
      </c>
      <c r="BC71" s="7"/>
      <c r="BD71" s="7"/>
      <c r="BE71" s="7"/>
      <c r="BF71" s="7"/>
      <c r="BG71" s="7"/>
      <c r="BH71" s="7"/>
      <c r="BI71" s="7"/>
      <c r="BJ71" s="7"/>
      <c r="BK71" s="7"/>
      <c r="BL71" s="13">
        <f>3.2*0.5</f>
        <v>1.6</v>
      </c>
      <c r="BM71" s="13">
        <f>10.1*0.5</f>
        <v>5.05</v>
      </c>
      <c r="BN71" s="13">
        <f>60.6*0.5</f>
        <v>30.3</v>
      </c>
      <c r="BO71" s="13">
        <f>SUM(BL71:BN71)</f>
        <v>36.950000000000003</v>
      </c>
      <c r="BP71" s="7">
        <f>BT71/BO71</f>
        <v>1.23680649526387</v>
      </c>
      <c r="BQ71" s="13">
        <f>6.4*0.5</f>
        <v>3.2</v>
      </c>
      <c r="BR71" s="13">
        <f>67.1*0.5</f>
        <v>33.549999999999997</v>
      </c>
      <c r="BS71" s="13">
        <f>17.9*0.5</f>
        <v>8.9499999999999993</v>
      </c>
      <c r="BT71" s="13">
        <f>SUM(BQ71:BS71)</f>
        <v>45.7</v>
      </c>
      <c r="BU71" s="13">
        <f>BT71+BO71</f>
        <v>82.65</v>
      </c>
      <c r="BV71" s="6"/>
      <c r="BW71" s="7"/>
      <c r="BX71" s="7"/>
      <c r="BY71" s="7"/>
      <c r="BZ71" s="13">
        <f>0.3*0.5</f>
        <v>0.15</v>
      </c>
      <c r="CA71" s="13">
        <f>1.1*0.5</f>
        <v>0.55000000000000004</v>
      </c>
      <c r="CB71" s="13">
        <f>6.9*0.5</f>
        <v>3.45</v>
      </c>
      <c r="CC71" s="7"/>
      <c r="CD71" s="13">
        <f>SUM(BZ71:CC71)</f>
        <v>4.1500000000000004</v>
      </c>
      <c r="CE71" s="7"/>
      <c r="CF71" s="7"/>
      <c r="CG71" s="7"/>
      <c r="CH71" s="7"/>
      <c r="CI71" s="7"/>
      <c r="CJ71" s="7"/>
      <c r="CK71" s="7"/>
      <c r="CL71" s="7"/>
      <c r="CM71" s="5" t="s">
        <v>472</v>
      </c>
      <c r="CN71" s="10" t="s">
        <v>176</v>
      </c>
      <c r="CO71" s="14" t="s">
        <v>473</v>
      </c>
      <c r="CP71" s="11" t="s">
        <v>143</v>
      </c>
      <c r="CQ71"/>
      <c r="CR71"/>
      <c r="CS71"/>
      <c r="CT71"/>
      <c r="CU71"/>
      <c r="CV71"/>
    </row>
    <row r="72" spans="1:100" s="1" customFormat="1" x14ac:dyDescent="0.25">
      <c r="A72" s="5" t="s">
        <v>461</v>
      </c>
      <c r="B72" s="5" t="s">
        <v>468</v>
      </c>
      <c r="C72" s="7" t="s">
        <v>469</v>
      </c>
      <c r="D72" s="5" t="s">
        <v>474</v>
      </c>
      <c r="E72" s="46" t="s">
        <v>475</v>
      </c>
      <c r="F72" s="5">
        <v>2008</v>
      </c>
      <c r="G72" s="5">
        <v>2009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7">
        <v>23</v>
      </c>
      <c r="O72" s="13">
        <f>(N72-5)*12</f>
        <v>216</v>
      </c>
      <c r="P72" s="7">
        <v>2600</v>
      </c>
      <c r="Q72" s="13">
        <v>0</v>
      </c>
      <c r="R72" s="7">
        <v>1135</v>
      </c>
      <c r="S72" s="22">
        <v>81.458330000000004</v>
      </c>
      <c r="T72" s="22">
        <v>1222</v>
      </c>
      <c r="U72" s="22">
        <v>0.65833299999999995</v>
      </c>
      <c r="V72" s="6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5"/>
      <c r="AU72" s="7"/>
      <c r="AV72" s="7">
        <v>5000</v>
      </c>
      <c r="AW72" s="7">
        <v>9.6999999999999993</v>
      </c>
      <c r="AX72" s="7">
        <v>13.6</v>
      </c>
      <c r="AY72" s="13">
        <f t="shared" si="7"/>
        <v>36.94905659703295</v>
      </c>
      <c r="AZ72" s="6">
        <v>24.6</v>
      </c>
      <c r="BA72" s="6">
        <v>5.4</v>
      </c>
      <c r="BB72" s="6">
        <v>5.6</v>
      </c>
      <c r="BC72" s="7"/>
      <c r="BD72" s="7"/>
      <c r="BE72" s="7"/>
      <c r="BF72" s="7"/>
      <c r="BG72" s="7"/>
      <c r="BH72" s="7"/>
      <c r="BI72" s="7"/>
      <c r="BJ72" s="7"/>
      <c r="BK72" s="7"/>
      <c r="BL72" s="13">
        <f>3.8*0.5</f>
        <v>1.9</v>
      </c>
      <c r="BM72" s="13">
        <f>12.4*0.5</f>
        <v>6.2</v>
      </c>
      <c r="BN72" s="13">
        <f>75.7*0.5</f>
        <v>37.85</v>
      </c>
      <c r="BO72" s="13">
        <f>SUM(BL72:BN72)</f>
        <v>45.95</v>
      </c>
      <c r="BP72" s="7">
        <f>BT72/BO72</f>
        <v>1.0228509249183895</v>
      </c>
      <c r="BQ72" s="13">
        <f>6.2*0.5</f>
        <v>3.1</v>
      </c>
      <c r="BR72" s="13">
        <f>64.8*0.5</f>
        <v>32.4</v>
      </c>
      <c r="BS72" s="13">
        <f>23*0.5</f>
        <v>11.5</v>
      </c>
      <c r="BT72" s="13">
        <f>SUM(BQ72:BS72)</f>
        <v>47</v>
      </c>
      <c r="BU72" s="13">
        <f>BT72+BO72</f>
        <v>92.95</v>
      </c>
      <c r="BV72" s="6"/>
      <c r="BW72" s="7"/>
      <c r="BX72" s="7"/>
      <c r="BY72" s="7"/>
      <c r="BZ72" s="13">
        <f>0.4*0.5</f>
        <v>0.2</v>
      </c>
      <c r="CA72" s="13">
        <f>1.6*0.5</f>
        <v>0.8</v>
      </c>
      <c r="CB72" s="13">
        <f>9.2*0.5</f>
        <v>4.5999999999999996</v>
      </c>
      <c r="CC72" s="7"/>
      <c r="CD72" s="13">
        <f>SUM(BZ72:CC72)</f>
        <v>5.6</v>
      </c>
      <c r="CE72" s="7"/>
      <c r="CF72" s="7"/>
      <c r="CG72" s="7"/>
      <c r="CH72" s="7"/>
      <c r="CI72" s="7"/>
      <c r="CJ72" s="7"/>
      <c r="CK72" s="7"/>
      <c r="CL72" s="7"/>
      <c r="CM72" s="5" t="s">
        <v>476</v>
      </c>
      <c r="CN72" s="10" t="s">
        <v>141</v>
      </c>
      <c r="CO72" s="14" t="s">
        <v>473</v>
      </c>
      <c r="CP72" s="11" t="s">
        <v>425</v>
      </c>
      <c r="CQ72"/>
      <c r="CR72"/>
      <c r="CS72"/>
      <c r="CT72"/>
      <c r="CU72"/>
      <c r="CV72"/>
    </row>
    <row r="73" spans="1:100" s="1" customFormat="1" ht="25.5" x14ac:dyDescent="0.25">
      <c r="A73" s="5" t="s">
        <v>461</v>
      </c>
      <c r="B73" s="5" t="s">
        <v>468</v>
      </c>
      <c r="C73" s="7" t="s">
        <v>469</v>
      </c>
      <c r="D73" s="46" t="s">
        <v>477</v>
      </c>
      <c r="E73" s="46" t="s">
        <v>478</v>
      </c>
      <c r="F73" s="5">
        <v>2008</v>
      </c>
      <c r="G73" s="5">
        <v>2009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7">
        <v>23</v>
      </c>
      <c r="O73" s="13">
        <f>(N73-5)*12</f>
        <v>216</v>
      </c>
      <c r="P73" s="7">
        <v>2600</v>
      </c>
      <c r="Q73" s="13">
        <v>0</v>
      </c>
      <c r="R73" s="7">
        <v>1135</v>
      </c>
      <c r="S73" s="22">
        <v>81.458330000000004</v>
      </c>
      <c r="T73" s="22">
        <v>1222</v>
      </c>
      <c r="U73" s="22">
        <v>0.65833299999999995</v>
      </c>
      <c r="V73" s="6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5"/>
      <c r="AU73" s="7"/>
      <c r="AV73" s="7">
        <v>5167</v>
      </c>
      <c r="AW73" s="7">
        <v>7.6</v>
      </c>
      <c r="AX73" s="7">
        <v>12.3</v>
      </c>
      <c r="AY73" s="13">
        <f t="shared" si="7"/>
        <v>23.439887744146176</v>
      </c>
      <c r="AZ73" s="6">
        <v>37.1</v>
      </c>
      <c r="BA73" s="6">
        <v>4.9000000000000004</v>
      </c>
      <c r="BB73" s="6">
        <v>1.9</v>
      </c>
      <c r="BC73" s="7"/>
      <c r="BD73" s="7"/>
      <c r="BE73" s="7"/>
      <c r="BF73" s="7"/>
      <c r="BG73" s="7"/>
      <c r="BH73" s="7"/>
      <c r="BI73" s="7"/>
      <c r="BJ73" s="7"/>
      <c r="BK73" s="7"/>
      <c r="BL73" s="13">
        <f>1.3*0.5</f>
        <v>0.65</v>
      </c>
      <c r="BM73" s="13">
        <f>5.5*0.5</f>
        <v>2.75</v>
      </c>
      <c r="BN73" s="13">
        <f>36.5*0.5</f>
        <v>18.25</v>
      </c>
      <c r="BO73" s="13">
        <f>SUM(BL73:BN73)</f>
        <v>21.65</v>
      </c>
      <c r="BP73" s="7">
        <f>BT73/BO73</f>
        <v>1.9769053117782913</v>
      </c>
      <c r="BQ73" s="13">
        <f>6.2*0.5</f>
        <v>3.1</v>
      </c>
      <c r="BR73" s="13">
        <f>64.5*0.5</f>
        <v>32.25</v>
      </c>
      <c r="BS73" s="13">
        <f>14.9*0.5</f>
        <v>7.45</v>
      </c>
      <c r="BT73" s="13">
        <f>SUM(BQ73:BS73)</f>
        <v>42.800000000000004</v>
      </c>
      <c r="BU73" s="13">
        <f>BT73+BO73</f>
        <v>64.45</v>
      </c>
      <c r="BV73" s="6"/>
      <c r="BW73" s="7"/>
      <c r="BX73" s="7"/>
      <c r="BY73" s="7"/>
      <c r="BZ73" s="13">
        <f>0.2*0.5</f>
        <v>0.1</v>
      </c>
      <c r="CA73" s="13">
        <f>0.9*0.5</f>
        <v>0.45</v>
      </c>
      <c r="CB73" s="13">
        <f>6.4*0.5</f>
        <v>3.2</v>
      </c>
      <c r="CC73" s="7"/>
      <c r="CD73" s="13">
        <f>SUM(BZ73:CC73)</f>
        <v>3.75</v>
      </c>
      <c r="CE73" s="7"/>
      <c r="CF73" s="7"/>
      <c r="CG73" s="7"/>
      <c r="CH73" s="7"/>
      <c r="CI73" s="7"/>
      <c r="CJ73" s="7"/>
      <c r="CK73" s="7"/>
      <c r="CL73" s="7"/>
      <c r="CM73" s="5" t="s">
        <v>472</v>
      </c>
      <c r="CN73" s="10" t="s">
        <v>479</v>
      </c>
      <c r="CO73" s="14" t="s">
        <v>473</v>
      </c>
      <c r="CP73" s="11" t="s">
        <v>480</v>
      </c>
      <c r="CQ73"/>
      <c r="CR73"/>
      <c r="CS73"/>
    </row>
    <row r="74" spans="1:100" s="1" customFormat="1" x14ac:dyDescent="0.25">
      <c r="A74" s="5" t="s">
        <v>461</v>
      </c>
      <c r="B74" s="5" t="s">
        <v>481</v>
      </c>
      <c r="C74" s="7" t="s">
        <v>469</v>
      </c>
      <c r="D74" s="5" t="s">
        <v>13</v>
      </c>
      <c r="E74" s="5" t="s">
        <v>482</v>
      </c>
      <c r="F74" s="5">
        <v>2004</v>
      </c>
      <c r="G74" s="5">
        <v>2007</v>
      </c>
      <c r="H74" s="5">
        <v>1</v>
      </c>
      <c r="I74" s="5">
        <v>1</v>
      </c>
      <c r="J74" s="5">
        <v>1</v>
      </c>
      <c r="K74" s="5">
        <v>1</v>
      </c>
      <c r="L74" s="5">
        <v>0</v>
      </c>
      <c r="M74" s="5">
        <v>0</v>
      </c>
      <c r="N74" s="13">
        <f>(11+22)/2</f>
        <v>16.5</v>
      </c>
      <c r="O74" s="13">
        <f>(N74-5)*12</f>
        <v>138</v>
      </c>
      <c r="P74" s="13">
        <f>(1900+2500)/2</f>
        <v>2200</v>
      </c>
      <c r="Q74" s="13">
        <v>0</v>
      </c>
      <c r="R74" s="7">
        <f>(1200+1500)/2</f>
        <v>1350</v>
      </c>
      <c r="S74" s="22">
        <v>82.666669999999996</v>
      </c>
      <c r="T74" s="22">
        <v>1561.7</v>
      </c>
      <c r="U74" s="22">
        <v>1.2250000000000001</v>
      </c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5"/>
      <c r="AU74" s="7"/>
      <c r="AV74" s="7">
        <v>7050</v>
      </c>
      <c r="AW74" s="7">
        <v>8.66</v>
      </c>
      <c r="AX74" s="7"/>
      <c r="AY74" s="13">
        <f t="shared" si="7"/>
        <v>41.525491584537221</v>
      </c>
      <c r="AZ74" s="6"/>
      <c r="BA74" s="6"/>
      <c r="BB74" s="6"/>
      <c r="BC74" s="13">
        <v>45.44</v>
      </c>
      <c r="BD74" s="13">
        <v>48.15</v>
      </c>
      <c r="BE74" s="13">
        <v>46.28</v>
      </c>
      <c r="BF74" s="13"/>
      <c r="BG74" s="13"/>
      <c r="BH74" s="13"/>
      <c r="BI74" s="13"/>
      <c r="BJ74" s="13"/>
      <c r="BK74" s="13"/>
      <c r="BL74" s="6">
        <f>3.19*BC74/100</f>
        <v>1.4495359999999999</v>
      </c>
      <c r="BM74" s="6">
        <f>10.19*BD74/100</f>
        <v>4.906485</v>
      </c>
      <c r="BN74" s="6">
        <f>71.94*BE74/100</f>
        <v>33.293831999999995</v>
      </c>
      <c r="BO74" s="7">
        <f>BL74+BM74+BN74</f>
        <v>39.649852999999993</v>
      </c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5" t="s">
        <v>483</v>
      </c>
      <c r="CN74" s="10" t="s">
        <v>484</v>
      </c>
      <c r="CO74" s="14" t="s">
        <v>485</v>
      </c>
      <c r="CP74" s="11" t="s">
        <v>143</v>
      </c>
      <c r="CQ74"/>
      <c r="CR74"/>
      <c r="CS74"/>
    </row>
    <row r="75" spans="1:100" s="1" customFormat="1" x14ac:dyDescent="0.25">
      <c r="A75" s="5" t="s">
        <v>461</v>
      </c>
      <c r="B75" s="5" t="s">
        <v>486</v>
      </c>
      <c r="C75" s="7" t="s">
        <v>487</v>
      </c>
      <c r="D75" s="5" t="s">
        <v>488</v>
      </c>
      <c r="E75" s="5" t="s">
        <v>489</v>
      </c>
      <c r="F75" s="5">
        <v>2007</v>
      </c>
      <c r="G75" s="5">
        <v>2007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7">
        <v>20.3</v>
      </c>
      <c r="O75" s="7">
        <v>183.60000000000002</v>
      </c>
      <c r="P75" s="7">
        <v>3389</v>
      </c>
      <c r="Q75" s="13">
        <v>0</v>
      </c>
      <c r="R75" s="7">
        <v>667</v>
      </c>
      <c r="S75" s="7">
        <v>85.2</v>
      </c>
      <c r="T75" s="22">
        <v>1599.1</v>
      </c>
      <c r="U75" s="22">
        <v>1.26</v>
      </c>
      <c r="V75" s="6"/>
      <c r="W75" s="7">
        <f>(3.75+3.8)/2</f>
        <v>3.7749999999999999</v>
      </c>
      <c r="X75" s="7">
        <f>(4.6+4.6)/2</f>
        <v>4.5999999999999996</v>
      </c>
      <c r="Y75" s="7">
        <f>(0.55+0.4)/2</f>
        <v>0.47500000000000003</v>
      </c>
      <c r="Z75" s="7"/>
      <c r="AA75" s="7"/>
      <c r="AB75" s="7">
        <f>0.4*(16*5+30*2)/30</f>
        <v>1.8666666666666667</v>
      </c>
      <c r="AC75" s="7"/>
      <c r="AD75" s="7">
        <f>(2.42+2.34)/2</f>
        <v>2.38</v>
      </c>
      <c r="AE75" s="7">
        <f>(0.5877+0.4611)/2</f>
        <v>0.52439999999999998</v>
      </c>
      <c r="AF75" s="7">
        <f>(1.2162+1.2237)/2</f>
        <v>1.2199499999999999</v>
      </c>
      <c r="AG75" s="7">
        <f>(0.7169+0.8386)/2</f>
        <v>0.77774999999999994</v>
      </c>
      <c r="AH75" s="7">
        <f>(36+38)/2</f>
        <v>37</v>
      </c>
      <c r="AI75" s="7">
        <f>(36.8+33)/2</f>
        <v>34.9</v>
      </c>
      <c r="AJ75" s="7">
        <f>(27.2+37.2)/2</f>
        <v>32.200000000000003</v>
      </c>
      <c r="AK75" s="7"/>
      <c r="AL75" s="7"/>
      <c r="AM75" s="7"/>
      <c r="AN75" s="7"/>
      <c r="AO75" s="7"/>
      <c r="AP75" s="7"/>
      <c r="AQ75" s="7"/>
      <c r="AR75" s="7"/>
      <c r="AS75" s="7"/>
      <c r="AT75" s="5"/>
      <c r="AU75" s="7"/>
      <c r="AV75" s="7">
        <v>7933</v>
      </c>
      <c r="AW75" s="7">
        <v>6.8</v>
      </c>
      <c r="AX75" s="7">
        <v>10.3</v>
      </c>
      <c r="AY75" s="13">
        <f t="shared" si="7"/>
        <v>28.810126226192569</v>
      </c>
      <c r="AZ75" s="6"/>
      <c r="BA75" s="6"/>
      <c r="BB75" s="6"/>
      <c r="BC75" s="7">
        <v>45.44</v>
      </c>
      <c r="BD75" s="7">
        <v>48.15</v>
      </c>
      <c r="BE75" s="7">
        <v>46.28</v>
      </c>
      <c r="BF75" s="47">
        <v>44.87</v>
      </c>
      <c r="BG75" s="47">
        <v>44.87</v>
      </c>
      <c r="BH75" s="47">
        <v>43.54</v>
      </c>
      <c r="BI75" s="47"/>
      <c r="BJ75" s="47">
        <v>3.52</v>
      </c>
      <c r="BK75" s="47">
        <v>2.27</v>
      </c>
      <c r="BL75" s="6">
        <f>3.6*BC75/100</f>
        <v>1.63584</v>
      </c>
      <c r="BM75" s="6">
        <f>9.7*BD75/100</f>
        <v>4.6705499999999995</v>
      </c>
      <c r="BN75" s="6">
        <f>43.1*BE75/100</f>
        <v>19.946680000000001</v>
      </c>
      <c r="BO75" s="7">
        <f>BL75+BM75+BN75</f>
        <v>26.253070000000001</v>
      </c>
      <c r="BP75" s="47">
        <f>BT75/BO75</f>
        <v>0.133317741506041</v>
      </c>
      <c r="BQ75" s="47">
        <v>0.9</v>
      </c>
      <c r="BR75" s="47">
        <v>0.5</v>
      </c>
      <c r="BS75" s="47">
        <v>2.1</v>
      </c>
      <c r="BT75" s="47">
        <f>SUM(BQ75:BS75)</f>
        <v>3.5</v>
      </c>
      <c r="BU75" s="47">
        <f>BT75+BO75</f>
        <v>29.753070000000001</v>
      </c>
      <c r="BV75" s="47"/>
      <c r="BW75" s="47">
        <v>172.8</v>
      </c>
      <c r="BX75" s="47"/>
      <c r="BY75" s="47">
        <f>BU75+BW75</f>
        <v>202.55307000000002</v>
      </c>
      <c r="BZ75" s="7"/>
      <c r="CA75" s="7"/>
      <c r="CB75" s="7"/>
      <c r="CC75" s="7"/>
      <c r="CD75" s="13">
        <f>CD77</f>
        <v>4</v>
      </c>
      <c r="CE75" s="7"/>
      <c r="CF75" s="7"/>
      <c r="CG75" s="7"/>
      <c r="CH75" s="7"/>
      <c r="CI75" s="7"/>
      <c r="CJ75" s="7"/>
      <c r="CK75" s="7"/>
      <c r="CL75" s="7"/>
      <c r="CM75" s="5" t="s">
        <v>490</v>
      </c>
      <c r="CN75" s="10" t="s">
        <v>484</v>
      </c>
      <c r="CO75" s="14" t="s">
        <v>467</v>
      </c>
      <c r="CP75" s="11" t="s">
        <v>143</v>
      </c>
      <c r="CQ75"/>
      <c r="CR75"/>
      <c r="CS75"/>
    </row>
    <row r="76" spans="1:100" s="1" customFormat="1" x14ac:dyDescent="0.25">
      <c r="A76" s="5" t="s">
        <v>461</v>
      </c>
      <c r="B76" s="5" t="s">
        <v>491</v>
      </c>
      <c r="C76" s="7" t="s">
        <v>487</v>
      </c>
      <c r="D76" s="5" t="s">
        <v>492</v>
      </c>
      <c r="E76" s="5" t="s">
        <v>493</v>
      </c>
      <c r="F76" s="5">
        <v>2007</v>
      </c>
      <c r="G76" s="5">
        <v>2009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7">
        <v>20.3</v>
      </c>
      <c r="O76" s="7">
        <v>183.60000000000002</v>
      </c>
      <c r="P76" s="7">
        <v>3389</v>
      </c>
      <c r="Q76" s="13">
        <v>0</v>
      </c>
      <c r="R76" s="7">
        <v>667</v>
      </c>
      <c r="S76" s="7">
        <v>85.2</v>
      </c>
      <c r="T76" s="22">
        <v>1657.133</v>
      </c>
      <c r="U76" s="22">
        <v>1.2944439999999999</v>
      </c>
      <c r="V76" s="6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5"/>
      <c r="AU76" s="7"/>
      <c r="AV76" s="7">
        <v>11467</v>
      </c>
      <c r="AW76" s="7">
        <v>5.9</v>
      </c>
      <c r="AX76" s="7">
        <v>9.5</v>
      </c>
      <c r="AY76" s="13">
        <f t="shared" si="7"/>
        <v>31.350445534820999</v>
      </c>
      <c r="AZ76" s="6"/>
      <c r="BA76" s="6"/>
      <c r="BB76" s="6"/>
      <c r="BC76" s="13">
        <v>45.44</v>
      </c>
      <c r="BD76" s="13">
        <v>48.15</v>
      </c>
      <c r="BE76" s="13">
        <v>46.28</v>
      </c>
      <c r="BF76" s="6"/>
      <c r="BG76" s="6"/>
      <c r="BH76" s="6"/>
      <c r="BI76" s="6"/>
      <c r="BJ76" s="6"/>
      <c r="BK76" s="6"/>
      <c r="BL76" s="6"/>
      <c r="BM76" s="6"/>
      <c r="BN76" s="6"/>
      <c r="BO76" s="7">
        <v>29.5</v>
      </c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>
        <f>(4.1+1.7)/2</f>
        <v>2.9</v>
      </c>
      <c r="CE76" s="7"/>
      <c r="CF76" s="7"/>
      <c r="CG76" s="7"/>
      <c r="CH76" s="7"/>
      <c r="CI76" s="7"/>
      <c r="CJ76" s="7"/>
      <c r="CK76" s="7"/>
      <c r="CL76" s="7"/>
      <c r="CM76" s="5" t="s">
        <v>494</v>
      </c>
      <c r="CN76" s="10" t="s">
        <v>208</v>
      </c>
      <c r="CO76" s="14" t="s">
        <v>495</v>
      </c>
      <c r="CP76" s="11" t="s">
        <v>143</v>
      </c>
      <c r="CQ76"/>
      <c r="CR76"/>
      <c r="CS76"/>
    </row>
    <row r="77" spans="1:100" s="1" customFormat="1" x14ac:dyDescent="0.25">
      <c r="A77" s="5" t="s">
        <v>461</v>
      </c>
      <c r="B77" s="5" t="s">
        <v>496</v>
      </c>
      <c r="C77" s="7" t="s">
        <v>487</v>
      </c>
      <c r="D77" s="5" t="s">
        <v>497</v>
      </c>
      <c r="E77" s="5" t="s">
        <v>498</v>
      </c>
      <c r="F77" s="5">
        <v>2007</v>
      </c>
      <c r="G77" s="5">
        <v>2009</v>
      </c>
      <c r="H77" s="5">
        <v>1</v>
      </c>
      <c r="I77" s="5">
        <v>0</v>
      </c>
      <c r="J77" s="5">
        <v>1</v>
      </c>
      <c r="K77" s="5">
        <v>0</v>
      </c>
      <c r="L77" s="5">
        <v>1</v>
      </c>
      <c r="M77" s="5">
        <v>0</v>
      </c>
      <c r="N77" s="7">
        <v>20.3</v>
      </c>
      <c r="O77" s="7">
        <v>183.60000000000002</v>
      </c>
      <c r="P77" s="7">
        <v>3389</v>
      </c>
      <c r="Q77" s="13">
        <v>0</v>
      </c>
      <c r="R77" s="7">
        <v>667</v>
      </c>
      <c r="S77" s="7">
        <v>85.2</v>
      </c>
      <c r="T77" s="22">
        <v>1657.133</v>
      </c>
      <c r="U77" s="22">
        <v>1.2944439999999999</v>
      </c>
      <c r="V77" s="6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5"/>
      <c r="AU77" s="7"/>
      <c r="AV77" s="7">
        <v>5567</v>
      </c>
      <c r="AW77" s="7">
        <v>4.8</v>
      </c>
      <c r="AX77" s="7">
        <v>8</v>
      </c>
      <c r="AY77" s="13">
        <f t="shared" si="7"/>
        <v>10.073805870259802</v>
      </c>
      <c r="AZ77" s="6"/>
      <c r="BA77" s="6"/>
      <c r="BB77" s="6"/>
      <c r="BC77" s="13">
        <v>45.44</v>
      </c>
      <c r="BD77" s="13">
        <v>48.15</v>
      </c>
      <c r="BE77" s="13">
        <v>46.28</v>
      </c>
      <c r="BF77" s="13"/>
      <c r="BG77" s="13"/>
      <c r="BH77" s="13"/>
      <c r="BI77" s="13"/>
      <c r="BJ77" s="13"/>
      <c r="BK77" s="13"/>
      <c r="BL77" s="6"/>
      <c r="BM77" s="6"/>
      <c r="BN77" s="6"/>
      <c r="BO77" s="7">
        <v>8</v>
      </c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>
        <f>(2.2+5.8)/2</f>
        <v>4</v>
      </c>
      <c r="CE77" s="7"/>
      <c r="CF77" s="7"/>
      <c r="CG77" s="7"/>
      <c r="CH77" s="7"/>
      <c r="CI77" s="7"/>
      <c r="CJ77" s="7"/>
      <c r="CK77" s="7"/>
      <c r="CL77" s="7"/>
      <c r="CM77" s="5" t="s">
        <v>499</v>
      </c>
      <c r="CN77" s="10" t="s">
        <v>141</v>
      </c>
      <c r="CO77" s="14" t="s">
        <v>495</v>
      </c>
      <c r="CP77" s="11" t="s">
        <v>143</v>
      </c>
      <c r="CQ77"/>
      <c r="CR77"/>
      <c r="CS77"/>
    </row>
    <row r="78" spans="1:100" s="1" customFormat="1" x14ac:dyDescent="0.25">
      <c r="A78" s="5" t="s">
        <v>461</v>
      </c>
      <c r="B78" s="5" t="s">
        <v>500</v>
      </c>
      <c r="C78" s="7" t="s">
        <v>487</v>
      </c>
      <c r="D78" s="5" t="s">
        <v>501</v>
      </c>
      <c r="E78" s="5" t="s">
        <v>502</v>
      </c>
      <c r="F78" s="5">
        <v>2007</v>
      </c>
      <c r="G78" s="5">
        <v>2009</v>
      </c>
      <c r="H78" s="5">
        <v>1</v>
      </c>
      <c r="I78" s="5">
        <v>0</v>
      </c>
      <c r="J78" s="5">
        <v>1</v>
      </c>
      <c r="K78" s="5">
        <v>0</v>
      </c>
      <c r="L78" s="5">
        <v>0</v>
      </c>
      <c r="M78" s="5">
        <v>0</v>
      </c>
      <c r="N78" s="7">
        <v>20.3</v>
      </c>
      <c r="O78" s="7">
        <v>183.60000000000002</v>
      </c>
      <c r="P78" s="7">
        <v>3389</v>
      </c>
      <c r="Q78" s="13">
        <v>0</v>
      </c>
      <c r="R78" s="7">
        <v>667</v>
      </c>
      <c r="S78" s="7">
        <v>85.2</v>
      </c>
      <c r="T78" s="22">
        <v>1657.133</v>
      </c>
      <c r="U78" s="22">
        <v>1.2944439999999999</v>
      </c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5"/>
      <c r="AU78" s="7"/>
      <c r="AV78" s="7">
        <v>10633</v>
      </c>
      <c r="AW78" s="7">
        <v>5.9</v>
      </c>
      <c r="AX78" s="7">
        <v>9.5</v>
      </c>
      <c r="AY78" s="13">
        <f t="shared" si="7"/>
        <v>29.070313715161038</v>
      </c>
      <c r="AZ78" s="6"/>
      <c r="BA78" s="6"/>
      <c r="BB78" s="6"/>
      <c r="BC78" s="13">
        <v>45.44</v>
      </c>
      <c r="BD78" s="13">
        <v>48.15</v>
      </c>
      <c r="BE78" s="13">
        <v>46.28</v>
      </c>
      <c r="BF78" s="13"/>
      <c r="BG78" s="13"/>
      <c r="BH78" s="13"/>
      <c r="BI78" s="13"/>
      <c r="BJ78" s="13"/>
      <c r="BK78" s="13"/>
      <c r="BL78" s="6"/>
      <c r="BM78" s="6"/>
      <c r="BN78" s="6"/>
      <c r="BO78" s="7">
        <v>28.4</v>
      </c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>
        <f>(6.7+1.5)/2</f>
        <v>4.0999999999999996</v>
      </c>
      <c r="CE78" s="7"/>
      <c r="CF78" s="7"/>
      <c r="CG78" s="7"/>
      <c r="CH78" s="7"/>
      <c r="CI78" s="7"/>
      <c r="CJ78" s="7"/>
      <c r="CK78" s="7"/>
      <c r="CL78" s="7"/>
      <c r="CM78" s="5" t="s">
        <v>494</v>
      </c>
      <c r="CN78" s="10" t="s">
        <v>141</v>
      </c>
      <c r="CO78" s="14" t="s">
        <v>495</v>
      </c>
      <c r="CP78" s="11" t="s">
        <v>143</v>
      </c>
      <c r="CQ78"/>
      <c r="CR78"/>
      <c r="CS78"/>
    </row>
    <row r="79" spans="1:100" x14ac:dyDescent="0.25">
      <c r="A79" s="5" t="s">
        <v>461</v>
      </c>
      <c r="B79" s="5" t="s">
        <v>503</v>
      </c>
      <c r="C79" s="7" t="s">
        <v>487</v>
      </c>
      <c r="D79" s="5" t="s">
        <v>504</v>
      </c>
      <c r="E79" s="5" t="s">
        <v>505</v>
      </c>
      <c r="F79" s="5">
        <v>2004</v>
      </c>
      <c r="G79" s="5">
        <v>2007</v>
      </c>
      <c r="H79" s="5">
        <v>1</v>
      </c>
      <c r="I79" s="5">
        <v>1</v>
      </c>
      <c r="J79" s="5">
        <v>1</v>
      </c>
      <c r="K79" s="5">
        <v>1</v>
      </c>
      <c r="L79" s="5">
        <v>0</v>
      </c>
      <c r="M79" s="5">
        <v>0</v>
      </c>
      <c r="N79" s="13">
        <f>(11+22)/2</f>
        <v>16.5</v>
      </c>
      <c r="O79" s="13">
        <f t="shared" ref="O79:O86" si="8">(N79-5)*12</f>
        <v>138</v>
      </c>
      <c r="P79" s="13">
        <f>(1900+2500)/2</f>
        <v>2200</v>
      </c>
      <c r="Q79" s="13">
        <v>0</v>
      </c>
      <c r="R79" s="7">
        <f>(600+900)/2</f>
        <v>750</v>
      </c>
      <c r="S79" s="22">
        <v>82.666669999999996</v>
      </c>
      <c r="T79" s="22">
        <v>1561.7</v>
      </c>
      <c r="U79" s="22">
        <v>1.2250000000000001</v>
      </c>
      <c r="V79" s="6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5"/>
      <c r="AU79" s="7"/>
      <c r="AV79" s="7">
        <v>6996</v>
      </c>
      <c r="AW79" s="7">
        <v>8.73</v>
      </c>
      <c r="AX79" s="7"/>
      <c r="AY79" s="13">
        <f t="shared" si="7"/>
        <v>41.876287192360493</v>
      </c>
      <c r="AZ79" s="6"/>
      <c r="BA79" s="6"/>
      <c r="BB79" s="6"/>
      <c r="BC79" s="13">
        <v>45.44</v>
      </c>
      <c r="BD79" s="13">
        <v>48.15</v>
      </c>
      <c r="BE79" s="13">
        <v>46.28</v>
      </c>
      <c r="BF79" s="13"/>
      <c r="BG79" s="13"/>
      <c r="BH79" s="13"/>
      <c r="BI79" s="13"/>
      <c r="BJ79" s="13"/>
      <c r="BK79" s="13"/>
      <c r="BL79" s="6">
        <f>3.65*BC79/100</f>
        <v>1.65856</v>
      </c>
      <c r="BM79" s="6">
        <f>11.33*BD79/100</f>
        <v>5.4553949999999993</v>
      </c>
      <c r="BN79" s="6">
        <f>79.42*BE79/100</f>
        <v>36.755575999999998</v>
      </c>
      <c r="BO79" s="7">
        <f>BL79+BM79+BN79</f>
        <v>43.869530999999995</v>
      </c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5" t="s">
        <v>506</v>
      </c>
      <c r="CN79" s="10" t="s">
        <v>507</v>
      </c>
      <c r="CO79" s="14" t="s">
        <v>485</v>
      </c>
      <c r="CP79" s="11" t="s">
        <v>508</v>
      </c>
    </row>
    <row r="80" spans="1:100" x14ac:dyDescent="0.25">
      <c r="A80" s="5" t="s">
        <v>461</v>
      </c>
      <c r="B80" s="5" t="s">
        <v>509</v>
      </c>
      <c r="C80" s="7" t="s">
        <v>469</v>
      </c>
      <c r="D80" s="5" t="s">
        <v>13</v>
      </c>
      <c r="E80" s="5" t="s">
        <v>510</v>
      </c>
      <c r="F80" s="5">
        <v>2004</v>
      </c>
      <c r="G80" s="5">
        <v>2007</v>
      </c>
      <c r="H80" s="5">
        <v>1</v>
      </c>
      <c r="I80" s="5">
        <v>1</v>
      </c>
      <c r="J80" s="5">
        <v>1</v>
      </c>
      <c r="K80" s="5">
        <v>1</v>
      </c>
      <c r="L80" s="5">
        <v>0</v>
      </c>
      <c r="M80" s="5">
        <v>0</v>
      </c>
      <c r="N80" s="13">
        <f>(11+22)/2</f>
        <v>16.5</v>
      </c>
      <c r="O80" s="13">
        <f t="shared" si="8"/>
        <v>138</v>
      </c>
      <c r="P80" s="13">
        <f>(1900+2500)/2</f>
        <v>2200</v>
      </c>
      <c r="Q80" s="13">
        <v>0</v>
      </c>
      <c r="R80" s="7">
        <f>(900+1200)/2</f>
        <v>1050</v>
      </c>
      <c r="S80" s="22">
        <v>82.666669999999996</v>
      </c>
      <c r="T80" s="22">
        <v>1561.7</v>
      </c>
      <c r="U80" s="22">
        <v>1.2250000000000001</v>
      </c>
      <c r="V80" s="6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5"/>
      <c r="AU80" s="7"/>
      <c r="AV80" s="7">
        <v>7188</v>
      </c>
      <c r="AW80" s="7">
        <v>8.8699999999999992</v>
      </c>
      <c r="AX80" s="7"/>
      <c r="AY80" s="13">
        <f t="shared" si="7"/>
        <v>44.41658755718521</v>
      </c>
      <c r="AZ80" s="6"/>
      <c r="BA80" s="6"/>
      <c r="BB80" s="6"/>
      <c r="BC80" s="13">
        <v>45.44</v>
      </c>
      <c r="BD80" s="13">
        <v>48.15</v>
      </c>
      <c r="BE80" s="13">
        <v>46.28</v>
      </c>
      <c r="BF80" s="13"/>
      <c r="BG80" s="13"/>
      <c r="BH80" s="13"/>
      <c r="BI80" s="13"/>
      <c r="BJ80" s="13"/>
      <c r="BK80" s="13"/>
      <c r="BL80" s="6">
        <f>2.89*BC80/100</f>
        <v>1.3132159999999999</v>
      </c>
      <c r="BM80" s="6">
        <f>9.91*BD80/100</f>
        <v>4.7716649999999996</v>
      </c>
      <c r="BN80" s="6">
        <f>67.23*BE80/100</f>
        <v>31.114044000000003</v>
      </c>
      <c r="BO80" s="7">
        <f>BL80+BM80+BN80</f>
        <v>37.198925000000003</v>
      </c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5" t="s">
        <v>483</v>
      </c>
      <c r="CN80" s="10" t="s">
        <v>507</v>
      </c>
      <c r="CO80" s="14" t="s">
        <v>485</v>
      </c>
      <c r="CP80" s="11" t="s">
        <v>143</v>
      </c>
    </row>
    <row r="81" spans="1:97" x14ac:dyDescent="0.25">
      <c r="A81" s="5" t="s">
        <v>461</v>
      </c>
      <c r="B81" s="5" t="s">
        <v>468</v>
      </c>
      <c r="C81" s="7" t="s">
        <v>469</v>
      </c>
      <c r="D81" s="5" t="s">
        <v>511</v>
      </c>
      <c r="E81" s="5" t="s">
        <v>512</v>
      </c>
      <c r="F81" s="5">
        <v>2008</v>
      </c>
      <c r="G81" s="5">
        <v>2009</v>
      </c>
      <c r="H81" s="5">
        <v>1</v>
      </c>
      <c r="I81" s="5">
        <v>1</v>
      </c>
      <c r="J81" s="5">
        <v>0</v>
      </c>
      <c r="K81" s="5">
        <v>1</v>
      </c>
      <c r="L81" s="5">
        <v>0</v>
      </c>
      <c r="M81" s="5">
        <v>0</v>
      </c>
      <c r="N81" s="7">
        <v>23</v>
      </c>
      <c r="O81" s="13">
        <f t="shared" si="8"/>
        <v>216</v>
      </c>
      <c r="P81" s="7">
        <v>2600</v>
      </c>
      <c r="Q81" s="13">
        <v>0</v>
      </c>
      <c r="R81" s="7">
        <v>1135</v>
      </c>
      <c r="S81" s="22">
        <v>81.458330000000004</v>
      </c>
      <c r="T81" s="22">
        <v>1222</v>
      </c>
      <c r="U81" s="22">
        <v>0.65833299999999995</v>
      </c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5"/>
      <c r="AU81" s="7"/>
      <c r="AV81" s="7">
        <v>5167</v>
      </c>
      <c r="AW81" s="7">
        <v>8.9</v>
      </c>
      <c r="AX81" s="7">
        <v>12.6</v>
      </c>
      <c r="AY81" s="13">
        <f t="shared" si="7"/>
        <v>32.144624449685232</v>
      </c>
      <c r="AZ81" s="6"/>
      <c r="BA81" s="6"/>
      <c r="BB81" s="6"/>
      <c r="BC81" s="7"/>
      <c r="BD81" s="7"/>
      <c r="BE81" s="7"/>
      <c r="BF81" s="7"/>
      <c r="BG81" s="7"/>
      <c r="BH81" s="7"/>
      <c r="BI81" s="7"/>
      <c r="BJ81" s="7"/>
      <c r="BK81" s="7"/>
      <c r="BL81" s="13">
        <f>2.8*0.5</f>
        <v>1.4</v>
      </c>
      <c r="BM81" s="13">
        <f>9.7*0.5</f>
        <v>4.8499999999999996</v>
      </c>
      <c r="BN81" s="13">
        <f>61*0.5</f>
        <v>30.5</v>
      </c>
      <c r="BO81" s="13">
        <f>SUM(BL81:BN81)</f>
        <v>36.75</v>
      </c>
      <c r="BP81" s="7">
        <f>BT81/BO81</f>
        <v>1.2394557823129251</v>
      </c>
      <c r="BQ81" s="13">
        <f>6.2*0.5</f>
        <v>3.1</v>
      </c>
      <c r="BR81" s="13">
        <f>64.5*0.5</f>
        <v>32.25</v>
      </c>
      <c r="BS81" s="13">
        <f>20.4*0.5</f>
        <v>10.199999999999999</v>
      </c>
      <c r="BT81" s="13">
        <f>SUM(BQ81:BS81)</f>
        <v>45.55</v>
      </c>
      <c r="BU81" s="13">
        <f>BT81+BO81</f>
        <v>82.3</v>
      </c>
      <c r="BV81" s="13"/>
      <c r="BW81" s="7"/>
      <c r="BX81" s="7"/>
      <c r="BY81" s="7"/>
      <c r="BZ81" s="13">
        <f>0.3*0.5</f>
        <v>0.15</v>
      </c>
      <c r="CA81" s="13">
        <f>1.2*0.5</f>
        <v>0.6</v>
      </c>
      <c r="CB81" s="13">
        <f>7.8*0.5</f>
        <v>3.9</v>
      </c>
      <c r="CC81" s="7"/>
      <c r="CD81" s="13">
        <f>SUM(BZ81:CC81)</f>
        <v>4.6500000000000004</v>
      </c>
      <c r="CE81" s="7"/>
      <c r="CF81" s="7"/>
      <c r="CG81" s="7"/>
      <c r="CH81" s="7"/>
      <c r="CI81" s="7"/>
      <c r="CJ81" s="7"/>
      <c r="CK81" s="7"/>
      <c r="CL81" s="7"/>
      <c r="CM81" s="5" t="s">
        <v>513</v>
      </c>
      <c r="CN81" s="10" t="s">
        <v>514</v>
      </c>
      <c r="CO81" s="14" t="s">
        <v>515</v>
      </c>
      <c r="CP81" s="11" t="s">
        <v>143</v>
      </c>
    </row>
    <row r="82" spans="1:97" x14ac:dyDescent="0.25">
      <c r="A82" s="5" t="s">
        <v>461</v>
      </c>
      <c r="B82" s="5" t="s">
        <v>468</v>
      </c>
      <c r="C82" s="7" t="s">
        <v>469</v>
      </c>
      <c r="D82" s="5" t="s">
        <v>516</v>
      </c>
      <c r="E82" s="5" t="s">
        <v>517</v>
      </c>
      <c r="F82" s="5">
        <v>2008</v>
      </c>
      <c r="G82" s="5">
        <v>2009</v>
      </c>
      <c r="H82" s="5">
        <v>1</v>
      </c>
      <c r="I82" s="5">
        <v>1</v>
      </c>
      <c r="J82" s="5">
        <v>0</v>
      </c>
      <c r="K82" s="5">
        <v>1</v>
      </c>
      <c r="L82" s="5">
        <v>0</v>
      </c>
      <c r="M82" s="5">
        <v>0</v>
      </c>
      <c r="N82" s="7">
        <v>23</v>
      </c>
      <c r="O82" s="13">
        <f t="shared" si="8"/>
        <v>216</v>
      </c>
      <c r="P82" s="7">
        <v>2600</v>
      </c>
      <c r="Q82" s="13">
        <v>0</v>
      </c>
      <c r="R82" s="7">
        <v>1135</v>
      </c>
      <c r="S82" s="22">
        <v>81.458330000000004</v>
      </c>
      <c r="T82" s="22">
        <v>1222</v>
      </c>
      <c r="U82" s="22">
        <v>0.65833299999999995</v>
      </c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5"/>
      <c r="AU82" s="7"/>
      <c r="AV82" s="7">
        <v>5733</v>
      </c>
      <c r="AW82" s="7">
        <v>9.1</v>
      </c>
      <c r="AX82" s="7">
        <v>13.2</v>
      </c>
      <c r="AY82" s="13">
        <f t="shared" si="7"/>
        <v>37.286756601543445</v>
      </c>
      <c r="AZ82" s="6"/>
      <c r="BA82" s="6"/>
      <c r="BB82" s="6"/>
      <c r="BC82" s="7"/>
      <c r="BD82" s="7"/>
      <c r="BE82" s="7"/>
      <c r="BF82" s="7"/>
      <c r="BG82" s="7"/>
      <c r="BH82" s="7"/>
      <c r="BI82" s="7"/>
      <c r="BJ82" s="7"/>
      <c r="BK82" s="7"/>
      <c r="BL82" s="13">
        <f>3.2*0.5</f>
        <v>1.6</v>
      </c>
      <c r="BM82" s="13">
        <f>10.8*0.5</f>
        <v>5.4</v>
      </c>
      <c r="BN82" s="13">
        <f>69.9*0.5</f>
        <v>34.950000000000003</v>
      </c>
      <c r="BO82" s="13">
        <f>SUM(BL82:BN82)</f>
        <v>41.95</v>
      </c>
      <c r="BP82" s="7">
        <f>BT82/BO82</f>
        <v>1.1108462455303934</v>
      </c>
      <c r="BQ82" s="13">
        <f>6.1*0.5</f>
        <v>3.05</v>
      </c>
      <c r="BR82" s="13">
        <f>63.4*0.5</f>
        <v>31.7</v>
      </c>
      <c r="BS82" s="13">
        <f>23.7*0.5</f>
        <v>11.85</v>
      </c>
      <c r="BT82" s="13">
        <f>SUM(BQ82:BS82)</f>
        <v>46.6</v>
      </c>
      <c r="BU82" s="13">
        <f>BT82+BO82</f>
        <v>88.550000000000011</v>
      </c>
      <c r="BV82" s="13"/>
      <c r="BW82" s="7"/>
      <c r="BX82" s="7"/>
      <c r="BY82" s="7"/>
      <c r="BZ82" s="13">
        <f>0.2*0.5</f>
        <v>0.1</v>
      </c>
      <c r="CA82" s="13">
        <f>0.9*0.5</f>
        <v>0.45</v>
      </c>
      <c r="CB82" s="13">
        <f>5.8*0.5</f>
        <v>2.9</v>
      </c>
      <c r="CC82" s="7"/>
      <c r="CD82" s="13">
        <f>SUM(BZ82:CC82)</f>
        <v>3.45</v>
      </c>
      <c r="CE82" s="7"/>
      <c r="CF82" s="7"/>
      <c r="CG82" s="7"/>
      <c r="CH82" s="7"/>
      <c r="CI82" s="7"/>
      <c r="CJ82" s="7"/>
      <c r="CK82" s="7"/>
      <c r="CL82" s="7"/>
      <c r="CM82" s="5" t="s">
        <v>476</v>
      </c>
      <c r="CN82" s="10" t="s">
        <v>141</v>
      </c>
      <c r="CO82" s="14" t="s">
        <v>473</v>
      </c>
      <c r="CP82" s="11" t="s">
        <v>143</v>
      </c>
    </row>
    <row r="83" spans="1:97" x14ac:dyDescent="0.25">
      <c r="A83" s="5" t="s">
        <v>461</v>
      </c>
      <c r="B83" s="5" t="s">
        <v>518</v>
      </c>
      <c r="C83" s="7" t="s">
        <v>487</v>
      </c>
      <c r="D83" s="5" t="s">
        <v>519</v>
      </c>
      <c r="E83" s="5" t="s">
        <v>520</v>
      </c>
      <c r="F83" s="5">
        <v>2008</v>
      </c>
      <c r="G83" s="5">
        <v>2008</v>
      </c>
      <c r="H83" s="5">
        <v>1</v>
      </c>
      <c r="I83" s="5">
        <v>1</v>
      </c>
      <c r="J83" s="5">
        <v>0</v>
      </c>
      <c r="K83" s="5">
        <v>1</v>
      </c>
      <c r="L83" s="5">
        <v>0</v>
      </c>
      <c r="M83" s="5">
        <v>0</v>
      </c>
      <c r="N83" s="7">
        <v>15.3</v>
      </c>
      <c r="O83" s="13">
        <f t="shared" si="8"/>
        <v>123.60000000000001</v>
      </c>
      <c r="P83" s="7">
        <v>1558</v>
      </c>
      <c r="Q83" s="13">
        <v>0</v>
      </c>
      <c r="R83" s="7">
        <v>769</v>
      </c>
      <c r="S83" s="22">
        <v>82.666669999999996</v>
      </c>
      <c r="T83" s="22">
        <v>1561.7</v>
      </c>
      <c r="U83" s="22">
        <v>1.2250000000000001</v>
      </c>
      <c r="V83" s="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5"/>
      <c r="AU83" s="7"/>
      <c r="AV83" s="7">
        <v>5733</v>
      </c>
      <c r="AW83" s="7">
        <v>6.3</v>
      </c>
      <c r="AX83" s="7"/>
      <c r="AY83" s="13">
        <f t="shared" si="7"/>
        <v>17.871167365236797</v>
      </c>
      <c r="AZ83" s="6"/>
      <c r="BA83" s="6"/>
      <c r="BB83" s="6"/>
      <c r="BC83" s="7"/>
      <c r="BD83" s="7"/>
      <c r="BE83" s="7"/>
      <c r="BF83" s="7"/>
      <c r="BG83" s="7"/>
      <c r="BH83" s="7"/>
      <c r="BI83" s="7"/>
      <c r="BJ83" s="7"/>
      <c r="BK83" s="7"/>
      <c r="BL83" s="6"/>
      <c r="BM83" s="6"/>
      <c r="BN83" s="6"/>
      <c r="BO83" s="6">
        <v>38.4</v>
      </c>
      <c r="BP83" s="6"/>
      <c r="BQ83" s="6"/>
      <c r="BR83" s="6"/>
      <c r="BS83" s="6"/>
      <c r="BT83" s="6"/>
      <c r="BU83" s="6"/>
      <c r="BV83" s="6"/>
      <c r="BW83" s="7"/>
      <c r="BX83" s="7"/>
      <c r="BY83" s="6"/>
      <c r="BZ83" s="6"/>
      <c r="CA83" s="6"/>
      <c r="CB83" s="6"/>
      <c r="CC83" s="7"/>
      <c r="CD83" s="6"/>
      <c r="CE83" s="7"/>
      <c r="CF83" s="7"/>
      <c r="CG83" s="7"/>
      <c r="CH83" s="7"/>
      <c r="CI83" s="7"/>
      <c r="CJ83" s="7"/>
      <c r="CK83" s="7"/>
      <c r="CL83" s="7"/>
      <c r="CM83" s="5" t="s">
        <v>521</v>
      </c>
      <c r="CN83" s="10" t="s">
        <v>141</v>
      </c>
      <c r="CO83" s="14" t="s">
        <v>522</v>
      </c>
      <c r="CP83" s="11" t="s">
        <v>143</v>
      </c>
    </row>
    <row r="84" spans="1:97" x14ac:dyDescent="0.25">
      <c r="A84" s="5" t="s">
        <v>461</v>
      </c>
      <c r="B84" s="5" t="s">
        <v>523</v>
      </c>
      <c r="C84" s="7" t="s">
        <v>487</v>
      </c>
      <c r="D84" s="5" t="s">
        <v>524</v>
      </c>
      <c r="E84" s="5" t="s">
        <v>525</v>
      </c>
      <c r="F84" s="5">
        <v>2008</v>
      </c>
      <c r="G84" s="5">
        <v>2014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7">
        <v>15.3</v>
      </c>
      <c r="O84" s="13">
        <f t="shared" si="8"/>
        <v>123.60000000000001</v>
      </c>
      <c r="P84" s="7">
        <v>1558</v>
      </c>
      <c r="Q84" s="13">
        <v>0</v>
      </c>
      <c r="R84" s="7">
        <v>769</v>
      </c>
      <c r="S84" s="22">
        <v>82.666669999999996</v>
      </c>
      <c r="T84" s="22">
        <v>1561.7</v>
      </c>
      <c r="U84" s="22">
        <v>1.2250000000000001</v>
      </c>
      <c r="V84" s="6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5"/>
      <c r="AU84" s="7"/>
      <c r="AV84" s="7">
        <v>13067</v>
      </c>
      <c r="AW84" s="7">
        <v>5.5</v>
      </c>
      <c r="AX84" s="7"/>
      <c r="AY84" s="13">
        <f t="shared" si="7"/>
        <v>31.044963348371233</v>
      </c>
      <c r="AZ84" s="6"/>
      <c r="BA84" s="6"/>
      <c r="BB84" s="6"/>
      <c r="BC84" s="7"/>
      <c r="BD84" s="7"/>
      <c r="BE84" s="7"/>
      <c r="BF84" s="7"/>
      <c r="BG84" s="7"/>
      <c r="BH84" s="7"/>
      <c r="BI84" s="7"/>
      <c r="BJ84" s="7"/>
      <c r="BK84" s="7"/>
      <c r="BL84" s="6"/>
      <c r="BM84" s="6"/>
      <c r="BN84" s="6"/>
      <c r="BO84" s="6">
        <v>60.4</v>
      </c>
      <c r="BP84" s="6"/>
      <c r="BQ84" s="6"/>
      <c r="BR84" s="6"/>
      <c r="BS84" s="6"/>
      <c r="BT84" s="6"/>
      <c r="BU84" s="6"/>
      <c r="BV84" s="6"/>
      <c r="BW84" s="7"/>
      <c r="BX84" s="7"/>
      <c r="BY84" s="6"/>
      <c r="BZ84" s="6"/>
      <c r="CA84" s="6"/>
      <c r="CB84" s="6"/>
      <c r="CC84" s="7"/>
      <c r="CD84" s="6">
        <f>((51.7-53.2)+(53.2-60.4)+(60.4-59.2)+(59.2-49.8)+(49.8-46.7)+(46.7-38.4))/6</f>
        <v>2.2166666666666672</v>
      </c>
      <c r="CE84" s="7"/>
      <c r="CF84" s="7"/>
      <c r="CG84" s="7"/>
      <c r="CH84" s="7"/>
      <c r="CI84" s="7"/>
      <c r="CJ84" s="7"/>
      <c r="CK84" s="7"/>
      <c r="CL84" s="7"/>
      <c r="CM84" s="5" t="s">
        <v>526</v>
      </c>
      <c r="CN84" s="10" t="s">
        <v>141</v>
      </c>
      <c r="CO84" s="14" t="s">
        <v>522</v>
      </c>
      <c r="CP84" s="11" t="s">
        <v>480</v>
      </c>
    </row>
    <row r="85" spans="1:97" x14ac:dyDescent="0.25">
      <c r="A85" s="5" t="s">
        <v>461</v>
      </c>
      <c r="B85" s="5" t="s">
        <v>527</v>
      </c>
      <c r="C85" s="7" t="s">
        <v>469</v>
      </c>
      <c r="D85" s="5" t="s">
        <v>528</v>
      </c>
      <c r="E85" s="46" t="s">
        <v>529</v>
      </c>
      <c r="F85" s="5">
        <v>2012</v>
      </c>
      <c r="G85" s="5">
        <v>2012</v>
      </c>
      <c r="H85" s="5">
        <v>1</v>
      </c>
      <c r="I85" s="5">
        <v>1</v>
      </c>
      <c r="J85" s="5">
        <v>1</v>
      </c>
      <c r="K85" s="5">
        <v>0</v>
      </c>
      <c r="L85" s="5">
        <v>0</v>
      </c>
      <c r="M85" s="5">
        <v>0</v>
      </c>
      <c r="N85" s="6">
        <v>17.2</v>
      </c>
      <c r="O85" s="22">
        <f t="shared" si="8"/>
        <v>146.39999999999998</v>
      </c>
      <c r="P85" s="7">
        <v>3030</v>
      </c>
      <c r="Q85" s="22">
        <v>0</v>
      </c>
      <c r="R85" s="23">
        <v>1120</v>
      </c>
      <c r="S85" s="22">
        <v>83.666666666666671</v>
      </c>
      <c r="T85" s="22">
        <v>1388.8000000000002</v>
      </c>
      <c r="U85" s="22">
        <v>1.1000000000000003</v>
      </c>
      <c r="V85" s="6"/>
      <c r="W85" s="7"/>
      <c r="X85" s="7">
        <v>4.0999999999999996</v>
      </c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5"/>
      <c r="AU85" s="7"/>
      <c r="AV85" s="7">
        <v>3954</v>
      </c>
      <c r="AW85" s="7">
        <v>8.4</v>
      </c>
      <c r="AX85" s="7">
        <v>12</v>
      </c>
      <c r="AY85" s="13">
        <f t="shared" si="7"/>
        <v>21.912156369446688</v>
      </c>
      <c r="AZ85" s="6"/>
      <c r="BA85" s="6"/>
      <c r="BB85" s="6"/>
      <c r="BC85" s="7">
        <v>47.6</v>
      </c>
      <c r="BD85" s="7">
        <v>43.5</v>
      </c>
      <c r="BE85" s="7">
        <v>49.5</v>
      </c>
      <c r="BF85" s="7">
        <v>43.4</v>
      </c>
      <c r="BG85" s="7">
        <v>49.4</v>
      </c>
      <c r="BH85" s="7">
        <v>48.4</v>
      </c>
      <c r="BI85" s="22">
        <v>49.5</v>
      </c>
      <c r="BJ85" s="7">
        <v>4.05</v>
      </c>
      <c r="BK85" s="7">
        <f>(2.57+1.93)/2</f>
        <v>2.25</v>
      </c>
      <c r="BL85" s="6">
        <v>2.06</v>
      </c>
      <c r="BM85" s="6">
        <v>3.73</v>
      </c>
      <c r="BN85" s="6">
        <v>21.47</v>
      </c>
      <c r="BO85" s="7">
        <f>SUM(BL85:BN85)</f>
        <v>27.259999999999998</v>
      </c>
      <c r="BP85" s="6"/>
      <c r="BQ85" s="6"/>
      <c r="BR85" s="6"/>
      <c r="BS85" s="6"/>
      <c r="BT85" s="6"/>
      <c r="BU85" s="6"/>
      <c r="BV85" s="6"/>
      <c r="BW85" s="7"/>
      <c r="BX85" s="7"/>
      <c r="BY85" s="6"/>
      <c r="BZ85" s="6">
        <v>0.38</v>
      </c>
      <c r="CA85" s="6">
        <v>0.69</v>
      </c>
      <c r="CB85" s="6">
        <v>4.05</v>
      </c>
      <c r="CC85" s="7">
        <v>1.99</v>
      </c>
      <c r="CD85" s="7">
        <f>SUM(BZ85:CC85)</f>
        <v>7.1099999999999994</v>
      </c>
      <c r="CE85" s="7">
        <v>0.8</v>
      </c>
      <c r="CF85" s="7">
        <v>0.59</v>
      </c>
      <c r="CG85" s="7"/>
      <c r="CH85" s="7">
        <f>SUM(CE85:CG85)</f>
        <v>1.3900000000000001</v>
      </c>
      <c r="CI85" s="7">
        <f>CH85+CD85</f>
        <v>8.5</v>
      </c>
      <c r="CJ85" s="7">
        <v>11.21</v>
      </c>
      <c r="CK85" s="7">
        <v>4.4800000000000004</v>
      </c>
      <c r="CL85" s="7">
        <f>CI85-CK85</f>
        <v>4.0199999999999996</v>
      </c>
      <c r="CM85" s="5" t="s">
        <v>530</v>
      </c>
      <c r="CN85" s="10" t="s">
        <v>484</v>
      </c>
      <c r="CO85" s="14" t="s">
        <v>531</v>
      </c>
      <c r="CP85" s="11" t="s">
        <v>165</v>
      </c>
    </row>
    <row r="86" spans="1:97" x14ac:dyDescent="0.25">
      <c r="A86" s="5" t="s">
        <v>461</v>
      </c>
      <c r="B86" s="5" t="s">
        <v>527</v>
      </c>
      <c r="C86" s="7" t="s">
        <v>469</v>
      </c>
      <c r="D86" s="5" t="s">
        <v>532</v>
      </c>
      <c r="E86" s="46" t="s">
        <v>533</v>
      </c>
      <c r="F86" s="5">
        <v>2012</v>
      </c>
      <c r="G86" s="5">
        <v>2015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7">
        <v>18.600000000000001</v>
      </c>
      <c r="O86" s="22">
        <f t="shared" si="8"/>
        <v>163.20000000000002</v>
      </c>
      <c r="P86" s="7">
        <v>2407</v>
      </c>
      <c r="Q86" s="22">
        <v>0</v>
      </c>
      <c r="R86" s="23">
        <v>1120</v>
      </c>
      <c r="S86" s="22">
        <v>83.104169999999996</v>
      </c>
      <c r="T86" s="22">
        <v>1541.15</v>
      </c>
      <c r="U86" s="22">
        <v>1.077083</v>
      </c>
      <c r="V86" s="6"/>
      <c r="W86" s="7"/>
      <c r="X86" s="7">
        <v>4.0999999999999996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5"/>
      <c r="AU86" s="7"/>
      <c r="AV86" s="7">
        <v>6000</v>
      </c>
      <c r="AW86" s="7"/>
      <c r="AX86" s="7"/>
      <c r="AY86" s="6"/>
      <c r="AZ86" s="6"/>
      <c r="BA86" s="6"/>
      <c r="BB86" s="6"/>
      <c r="BC86" s="7">
        <v>47.6</v>
      </c>
      <c r="BD86" s="7">
        <v>43.5</v>
      </c>
      <c r="BE86" s="7">
        <v>49.5</v>
      </c>
      <c r="BF86" s="7">
        <v>43.4</v>
      </c>
      <c r="BG86" s="7">
        <v>49.4</v>
      </c>
      <c r="BH86" s="7">
        <v>48.4</v>
      </c>
      <c r="BI86" s="22">
        <v>49.5</v>
      </c>
      <c r="BJ86" s="7">
        <v>4.05</v>
      </c>
      <c r="BK86" s="7">
        <f>(2.57+1.93)/2</f>
        <v>2.25</v>
      </c>
      <c r="BL86" s="6">
        <v>3.13</v>
      </c>
      <c r="BM86" s="6">
        <v>5.65</v>
      </c>
      <c r="BN86" s="6">
        <v>33.26</v>
      </c>
      <c r="BO86" s="7">
        <f>SUM(BL86:BN86)</f>
        <v>42.04</v>
      </c>
      <c r="BP86" s="7">
        <f>BT86/BO86</f>
        <v>0.80137963843958127</v>
      </c>
      <c r="BQ86" s="7">
        <v>6.48</v>
      </c>
      <c r="BR86" s="7">
        <v>27.21</v>
      </c>
      <c r="BS86" s="7"/>
      <c r="BT86" s="7">
        <f>SUM(BQ86:BS86)</f>
        <v>33.69</v>
      </c>
      <c r="BU86" s="7">
        <f>BT86+BO86</f>
        <v>75.72999999999999</v>
      </c>
      <c r="BV86" s="7"/>
      <c r="BW86" s="7">
        <v>70.25</v>
      </c>
      <c r="BX86" s="7"/>
      <c r="BY86" s="7">
        <f>BU86+BW86</f>
        <v>145.97999999999999</v>
      </c>
      <c r="BZ86" s="7">
        <v>0.41</v>
      </c>
      <c r="CA86" s="7">
        <v>0.75</v>
      </c>
      <c r="CB86" s="7">
        <v>4.42</v>
      </c>
      <c r="CC86" s="7">
        <v>2.1800000000000002</v>
      </c>
      <c r="CD86" s="7">
        <f>SUM(BZ86:CC86)</f>
        <v>7.76</v>
      </c>
      <c r="CE86" s="7">
        <v>0.71</v>
      </c>
      <c r="CF86" s="7">
        <v>0.4</v>
      </c>
      <c r="CG86" s="7"/>
      <c r="CH86" s="7">
        <f>SUM(CE86:CG86)</f>
        <v>1.1099999999999999</v>
      </c>
      <c r="CI86" s="7">
        <f>CH86+CD86</f>
        <v>8.8699999999999992</v>
      </c>
      <c r="CJ86" s="7">
        <v>11.41</v>
      </c>
      <c r="CK86" s="7">
        <v>4.55</v>
      </c>
      <c r="CL86" s="7">
        <f>CI86-CK86</f>
        <v>4.3199999999999994</v>
      </c>
      <c r="CM86" s="5" t="s">
        <v>530</v>
      </c>
      <c r="CN86" s="10" t="s">
        <v>141</v>
      </c>
      <c r="CO86" s="14" t="s">
        <v>531</v>
      </c>
      <c r="CP86" s="11" t="s">
        <v>143</v>
      </c>
    </row>
    <row r="87" spans="1:97" x14ac:dyDescent="0.25">
      <c r="A87" s="48" t="s">
        <v>534</v>
      </c>
      <c r="B87" s="48"/>
      <c r="C87" s="48"/>
      <c r="D87" s="48"/>
      <c r="E87" s="49"/>
      <c r="F87" s="48">
        <f>COUNT(F4:F86)/80</f>
        <v>1.0375000000000001</v>
      </c>
      <c r="G87" s="48">
        <f t="shared" ref="G87:BU87" si="9">COUNT(G4:G86)/80</f>
        <v>1.0375000000000001</v>
      </c>
      <c r="H87" s="48">
        <f t="shared" si="9"/>
        <v>1.0375000000000001</v>
      </c>
      <c r="I87" s="48">
        <f t="shared" si="9"/>
        <v>1.0375000000000001</v>
      </c>
      <c r="J87" s="48">
        <f t="shared" si="9"/>
        <v>1.0375000000000001</v>
      </c>
      <c r="K87" s="48">
        <f t="shared" si="9"/>
        <v>1.0375000000000001</v>
      </c>
      <c r="L87" s="48">
        <f t="shared" si="9"/>
        <v>1.0375000000000001</v>
      </c>
      <c r="M87" s="48">
        <f t="shared" si="9"/>
        <v>1.0249999999999999</v>
      </c>
      <c r="N87" s="48">
        <f t="shared" si="9"/>
        <v>1.0375000000000001</v>
      </c>
      <c r="O87" s="48">
        <f t="shared" si="9"/>
        <v>1.0375000000000001</v>
      </c>
      <c r="P87" s="48">
        <f t="shared" si="9"/>
        <v>1.0249999999999999</v>
      </c>
      <c r="Q87" s="48">
        <f t="shared" si="9"/>
        <v>0.625</v>
      </c>
      <c r="R87" s="48">
        <f t="shared" si="9"/>
        <v>0.9</v>
      </c>
      <c r="S87" s="48">
        <f t="shared" si="9"/>
        <v>0.625</v>
      </c>
      <c r="T87" s="48">
        <f t="shared" si="9"/>
        <v>0.71250000000000002</v>
      </c>
      <c r="U87" s="48">
        <f t="shared" si="9"/>
        <v>0.63749999999999996</v>
      </c>
      <c r="V87" s="48">
        <f t="shared" si="9"/>
        <v>3.7499999999999999E-2</v>
      </c>
      <c r="W87" s="48">
        <f t="shared" si="9"/>
        <v>3.7499999999999999E-2</v>
      </c>
      <c r="X87" s="48">
        <f t="shared" si="9"/>
        <v>0.17499999999999999</v>
      </c>
      <c r="Y87" s="48">
        <f t="shared" si="9"/>
        <v>0.13750000000000001</v>
      </c>
      <c r="Z87" s="48">
        <f t="shared" si="9"/>
        <v>0.05</v>
      </c>
      <c r="AA87" s="48">
        <f t="shared" si="9"/>
        <v>0.05</v>
      </c>
      <c r="AB87" s="48">
        <f t="shared" si="9"/>
        <v>0.1</v>
      </c>
      <c r="AC87" s="48">
        <f t="shared" si="9"/>
        <v>3.7499999999999999E-2</v>
      </c>
      <c r="AD87" s="48">
        <f t="shared" si="9"/>
        <v>0.05</v>
      </c>
      <c r="AE87" s="48">
        <f t="shared" si="9"/>
        <v>8.7499999999999994E-2</v>
      </c>
      <c r="AF87" s="48">
        <f t="shared" si="9"/>
        <v>8.7499999999999994E-2</v>
      </c>
      <c r="AG87" s="48">
        <f t="shared" si="9"/>
        <v>8.7499999999999994E-2</v>
      </c>
      <c r="AH87" s="48"/>
      <c r="AI87" s="48"/>
      <c r="AJ87" s="48"/>
      <c r="AK87" s="48">
        <f t="shared" si="9"/>
        <v>2.5000000000000001E-2</v>
      </c>
      <c r="AL87" s="48">
        <f t="shared" si="9"/>
        <v>2.5000000000000001E-2</v>
      </c>
      <c r="AM87" s="48">
        <f t="shared" si="9"/>
        <v>2.5000000000000001E-2</v>
      </c>
      <c r="AN87" s="48">
        <f t="shared" si="9"/>
        <v>2.5000000000000001E-2</v>
      </c>
      <c r="AO87" s="48">
        <f t="shared" si="9"/>
        <v>2.5000000000000001E-2</v>
      </c>
      <c r="AP87" s="48">
        <f t="shared" si="9"/>
        <v>6.25E-2</v>
      </c>
      <c r="AQ87" s="48">
        <f t="shared" si="9"/>
        <v>3.7499999999999999E-2</v>
      </c>
      <c r="AR87" s="48">
        <f t="shared" si="9"/>
        <v>1.2500000000000001E-2</v>
      </c>
      <c r="AS87" s="48">
        <f t="shared" si="9"/>
        <v>2.5000000000000001E-2</v>
      </c>
      <c r="AT87" s="48">
        <f t="shared" si="9"/>
        <v>2.5000000000000001E-2</v>
      </c>
      <c r="AU87" s="48">
        <f t="shared" si="9"/>
        <v>6.25E-2</v>
      </c>
      <c r="AV87" s="48">
        <f t="shared" si="9"/>
        <v>0.85</v>
      </c>
      <c r="AW87" s="48">
        <f t="shared" si="9"/>
        <v>0.77500000000000002</v>
      </c>
      <c r="AX87" s="48">
        <f t="shared" si="9"/>
        <v>0.36249999999999999</v>
      </c>
      <c r="AY87" s="48">
        <f t="shared" si="9"/>
        <v>0.73750000000000004</v>
      </c>
      <c r="AZ87" s="48">
        <f t="shared" si="9"/>
        <v>3.7499999999999999E-2</v>
      </c>
      <c r="BA87" s="48">
        <f t="shared" si="9"/>
        <v>6.25E-2</v>
      </c>
      <c r="BB87" s="48">
        <f t="shared" si="9"/>
        <v>6.25E-2</v>
      </c>
      <c r="BC87" s="48">
        <f t="shared" si="9"/>
        <v>0.1875</v>
      </c>
      <c r="BD87" s="48">
        <f t="shared" si="9"/>
        <v>0.1875</v>
      </c>
      <c r="BE87" s="48">
        <f t="shared" si="9"/>
        <v>0.1875</v>
      </c>
      <c r="BF87" s="48">
        <f t="shared" si="9"/>
        <v>0.125</v>
      </c>
      <c r="BG87" s="48">
        <f t="shared" si="9"/>
        <v>0.05</v>
      </c>
      <c r="BH87" s="48">
        <f t="shared" si="9"/>
        <v>0.125</v>
      </c>
      <c r="BI87" s="48">
        <f t="shared" si="9"/>
        <v>2.5000000000000001E-2</v>
      </c>
      <c r="BJ87" s="48">
        <f t="shared" si="9"/>
        <v>0.125</v>
      </c>
      <c r="BK87" s="48">
        <f t="shared" si="9"/>
        <v>0.125</v>
      </c>
      <c r="BL87" s="48">
        <f t="shared" si="9"/>
        <v>0.48749999999999999</v>
      </c>
      <c r="BM87" s="48">
        <f t="shared" si="9"/>
        <v>0.61250000000000004</v>
      </c>
      <c r="BN87" s="48">
        <f t="shared" si="9"/>
        <v>0.65</v>
      </c>
      <c r="BO87" s="48">
        <f t="shared" si="9"/>
        <v>0.98750000000000004</v>
      </c>
      <c r="BP87" s="48">
        <f t="shared" si="9"/>
        <v>0.45</v>
      </c>
      <c r="BQ87" s="48">
        <f t="shared" si="9"/>
        <v>0.42499999999999999</v>
      </c>
      <c r="BR87" s="48">
        <f t="shared" si="9"/>
        <v>0.35</v>
      </c>
      <c r="BS87" s="48">
        <f t="shared" si="9"/>
        <v>0.22500000000000001</v>
      </c>
      <c r="BT87" s="48">
        <f t="shared" si="9"/>
        <v>0.51249999999999996</v>
      </c>
      <c r="BU87" s="48">
        <f t="shared" si="9"/>
        <v>0.52500000000000002</v>
      </c>
      <c r="BV87" s="48">
        <f t="shared" ref="BV87:CL87" si="10">COUNT(BV4:BV86)/80</f>
        <v>1.2500000000000001E-2</v>
      </c>
      <c r="BW87" s="48">
        <f t="shared" si="10"/>
        <v>0.25</v>
      </c>
      <c r="BX87" s="48">
        <f t="shared" si="10"/>
        <v>1.2500000000000001E-2</v>
      </c>
      <c r="BY87" s="48">
        <f t="shared" si="10"/>
        <v>0.23749999999999999</v>
      </c>
      <c r="BZ87" s="48">
        <f t="shared" si="10"/>
        <v>0.21249999999999999</v>
      </c>
      <c r="CA87" s="48">
        <f t="shared" si="10"/>
        <v>0.25</v>
      </c>
      <c r="CB87" s="48">
        <f t="shared" si="10"/>
        <v>0.27500000000000002</v>
      </c>
      <c r="CC87" s="48">
        <f t="shared" si="10"/>
        <v>0.3125</v>
      </c>
      <c r="CD87" s="48">
        <f t="shared" si="10"/>
        <v>0.41249999999999998</v>
      </c>
      <c r="CE87" s="48">
        <f t="shared" si="10"/>
        <v>8.7499999999999994E-2</v>
      </c>
      <c r="CF87" s="48">
        <f t="shared" si="10"/>
        <v>6.25E-2</v>
      </c>
      <c r="CG87" s="48">
        <f t="shared" si="10"/>
        <v>1.2500000000000001E-2</v>
      </c>
      <c r="CH87" s="48">
        <f t="shared" si="10"/>
        <v>0.13750000000000001</v>
      </c>
      <c r="CI87" s="48">
        <f t="shared" si="10"/>
        <v>0.13750000000000001</v>
      </c>
      <c r="CJ87" s="48">
        <f t="shared" si="10"/>
        <v>0.05</v>
      </c>
      <c r="CK87" s="48">
        <f t="shared" si="10"/>
        <v>0.1</v>
      </c>
      <c r="CL87" s="48">
        <f t="shared" si="10"/>
        <v>0.1</v>
      </c>
      <c r="CM87" s="48"/>
      <c r="CN87" s="50"/>
      <c r="CO87" s="51"/>
      <c r="CP87" s="52"/>
      <c r="CQ87" s="38"/>
      <c r="CR87" s="38"/>
      <c r="CS87" s="38"/>
    </row>
    <row r="88" spans="1:97" x14ac:dyDescent="0.25">
      <c r="A88" s="1" t="s">
        <v>535</v>
      </c>
      <c r="C88" s="53"/>
      <c r="F88" s="53">
        <f>1-F87</f>
        <v>-3.7500000000000089E-2</v>
      </c>
      <c r="G88" s="53">
        <f t="shared" ref="G88:AG88" si="11">1-G87</f>
        <v>-3.7500000000000089E-2</v>
      </c>
      <c r="H88" s="53">
        <f t="shared" si="11"/>
        <v>-3.7500000000000089E-2</v>
      </c>
      <c r="I88" s="53">
        <f t="shared" si="11"/>
        <v>-3.7500000000000089E-2</v>
      </c>
      <c r="J88" s="53">
        <f t="shared" si="11"/>
        <v>-3.7500000000000089E-2</v>
      </c>
      <c r="K88" s="53">
        <f t="shared" si="11"/>
        <v>-3.7500000000000089E-2</v>
      </c>
      <c r="L88" s="53">
        <f t="shared" si="11"/>
        <v>-3.7500000000000089E-2</v>
      </c>
      <c r="M88" s="53">
        <f t="shared" si="11"/>
        <v>-2.4999999999999911E-2</v>
      </c>
      <c r="N88" s="53">
        <f t="shared" si="11"/>
        <v>-3.7500000000000089E-2</v>
      </c>
      <c r="O88" s="53">
        <f t="shared" si="11"/>
        <v>-3.7500000000000089E-2</v>
      </c>
      <c r="P88" s="53">
        <f t="shared" si="11"/>
        <v>-2.4999999999999911E-2</v>
      </c>
      <c r="Q88" s="54">
        <f t="shared" si="11"/>
        <v>0.375</v>
      </c>
      <c r="R88" s="53">
        <f t="shared" si="11"/>
        <v>9.9999999999999978E-2</v>
      </c>
      <c r="S88" s="54">
        <f t="shared" si="11"/>
        <v>0.375</v>
      </c>
      <c r="T88" s="54">
        <f t="shared" si="11"/>
        <v>0.28749999999999998</v>
      </c>
      <c r="U88" s="54">
        <f t="shared" si="11"/>
        <v>0.36250000000000004</v>
      </c>
      <c r="V88" s="54">
        <f t="shared" si="11"/>
        <v>0.96250000000000002</v>
      </c>
      <c r="W88" s="54">
        <f t="shared" si="11"/>
        <v>0.96250000000000002</v>
      </c>
      <c r="X88" s="54">
        <f t="shared" si="11"/>
        <v>0.82499999999999996</v>
      </c>
      <c r="Y88" s="54">
        <f t="shared" si="11"/>
        <v>0.86250000000000004</v>
      </c>
      <c r="Z88" s="54">
        <f t="shared" si="11"/>
        <v>0.95</v>
      </c>
      <c r="AA88" s="54">
        <f t="shared" si="11"/>
        <v>0.95</v>
      </c>
      <c r="AB88" s="54">
        <f t="shared" si="11"/>
        <v>0.9</v>
      </c>
      <c r="AC88" s="54">
        <f t="shared" si="11"/>
        <v>0.96250000000000002</v>
      </c>
      <c r="AD88" s="54">
        <f t="shared" si="11"/>
        <v>0.95</v>
      </c>
      <c r="AE88" s="54">
        <f t="shared" si="11"/>
        <v>0.91249999999999998</v>
      </c>
      <c r="AF88" s="54">
        <f t="shared" si="11"/>
        <v>0.91249999999999998</v>
      </c>
      <c r="AG88" s="54">
        <f t="shared" si="11"/>
        <v>0.91249999999999998</v>
      </c>
      <c r="AH88" s="54"/>
      <c r="AI88" s="54"/>
      <c r="AJ88" s="54"/>
      <c r="AK88" s="54">
        <f t="shared" ref="AK88:CL88" si="12">1-AK87</f>
        <v>0.97499999999999998</v>
      </c>
      <c r="AL88" s="54">
        <f t="shared" si="12"/>
        <v>0.97499999999999998</v>
      </c>
      <c r="AM88" s="54">
        <f t="shared" si="12"/>
        <v>0.97499999999999998</v>
      </c>
      <c r="AN88" s="54">
        <f t="shared" si="12"/>
        <v>0.97499999999999998</v>
      </c>
      <c r="AO88" s="54">
        <f t="shared" si="12"/>
        <v>0.97499999999999998</v>
      </c>
      <c r="AP88" s="54">
        <f t="shared" si="12"/>
        <v>0.9375</v>
      </c>
      <c r="AQ88" s="54">
        <f t="shared" si="12"/>
        <v>0.96250000000000002</v>
      </c>
      <c r="AR88" s="54">
        <f t="shared" si="12"/>
        <v>0.98750000000000004</v>
      </c>
      <c r="AS88" s="54">
        <f t="shared" si="12"/>
        <v>0.97499999999999998</v>
      </c>
      <c r="AT88" s="54">
        <f t="shared" si="12"/>
        <v>0.97499999999999998</v>
      </c>
      <c r="AU88" s="54">
        <f t="shared" si="12"/>
        <v>0.9375</v>
      </c>
      <c r="AV88" s="53">
        <f t="shared" si="12"/>
        <v>0.15000000000000002</v>
      </c>
      <c r="AW88" s="53">
        <f t="shared" si="12"/>
        <v>0.22499999999999998</v>
      </c>
      <c r="AX88" s="54">
        <f t="shared" si="12"/>
        <v>0.63749999999999996</v>
      </c>
      <c r="AY88" s="53">
        <f t="shared" si="12"/>
        <v>0.26249999999999996</v>
      </c>
      <c r="AZ88" s="54">
        <f t="shared" si="12"/>
        <v>0.96250000000000002</v>
      </c>
      <c r="BA88" s="54">
        <f t="shared" si="12"/>
        <v>0.9375</v>
      </c>
      <c r="BB88" s="54">
        <f t="shared" si="12"/>
        <v>0.9375</v>
      </c>
      <c r="BC88" s="54">
        <f t="shared" si="12"/>
        <v>0.8125</v>
      </c>
      <c r="BD88" s="54">
        <f t="shared" si="12"/>
        <v>0.8125</v>
      </c>
      <c r="BE88" s="54">
        <f t="shared" si="12"/>
        <v>0.8125</v>
      </c>
      <c r="BF88" s="54">
        <f t="shared" si="12"/>
        <v>0.875</v>
      </c>
      <c r="BG88" s="54">
        <f t="shared" si="12"/>
        <v>0.95</v>
      </c>
      <c r="BH88" s="54">
        <f t="shared" si="12"/>
        <v>0.875</v>
      </c>
      <c r="BI88" s="54">
        <f t="shared" si="12"/>
        <v>0.97499999999999998</v>
      </c>
      <c r="BJ88" s="54">
        <f t="shared" si="12"/>
        <v>0.875</v>
      </c>
      <c r="BK88" s="54">
        <f t="shared" si="12"/>
        <v>0.875</v>
      </c>
      <c r="BL88" s="55">
        <f t="shared" si="12"/>
        <v>0.51249999999999996</v>
      </c>
      <c r="BM88" s="55">
        <f t="shared" si="12"/>
        <v>0.38749999999999996</v>
      </c>
      <c r="BN88" s="55">
        <f t="shared" si="12"/>
        <v>0.35</v>
      </c>
      <c r="BO88" s="53">
        <f t="shared" si="12"/>
        <v>1.2499999999999956E-2</v>
      </c>
      <c r="BP88" s="55">
        <f t="shared" si="12"/>
        <v>0.55000000000000004</v>
      </c>
      <c r="BQ88" s="55">
        <f t="shared" si="12"/>
        <v>0.57499999999999996</v>
      </c>
      <c r="BR88" s="55">
        <f t="shared" si="12"/>
        <v>0.65</v>
      </c>
      <c r="BS88" s="55">
        <f t="shared" si="12"/>
        <v>0.77500000000000002</v>
      </c>
      <c r="BT88" s="53">
        <f t="shared" si="12"/>
        <v>0.48750000000000004</v>
      </c>
      <c r="BU88" s="53">
        <f t="shared" si="12"/>
        <v>0.47499999999999998</v>
      </c>
      <c r="BV88" s="54">
        <f t="shared" si="12"/>
        <v>0.98750000000000004</v>
      </c>
      <c r="BW88" s="55">
        <f t="shared" si="12"/>
        <v>0.75</v>
      </c>
      <c r="BX88" s="54">
        <f t="shared" si="12"/>
        <v>0.98750000000000004</v>
      </c>
      <c r="BY88" s="55">
        <f t="shared" si="12"/>
        <v>0.76249999999999996</v>
      </c>
      <c r="BZ88" s="54">
        <f t="shared" si="12"/>
        <v>0.78749999999999998</v>
      </c>
      <c r="CA88" s="54">
        <f t="shared" si="12"/>
        <v>0.75</v>
      </c>
      <c r="CB88" s="54">
        <f t="shared" si="12"/>
        <v>0.72499999999999998</v>
      </c>
      <c r="CC88" s="55">
        <f t="shared" si="12"/>
        <v>0.6875</v>
      </c>
      <c r="CD88" s="53">
        <f t="shared" si="12"/>
        <v>0.58750000000000002</v>
      </c>
      <c r="CE88" s="54">
        <f t="shared" si="12"/>
        <v>0.91249999999999998</v>
      </c>
      <c r="CF88" s="54">
        <f t="shared" si="12"/>
        <v>0.9375</v>
      </c>
      <c r="CG88" s="54">
        <f t="shared" si="12"/>
        <v>0.98750000000000004</v>
      </c>
      <c r="CH88" s="54">
        <f t="shared" si="12"/>
        <v>0.86250000000000004</v>
      </c>
      <c r="CI88" s="54">
        <f t="shared" si="12"/>
        <v>0.86250000000000004</v>
      </c>
      <c r="CJ88" s="54">
        <f t="shared" si="12"/>
        <v>0.95</v>
      </c>
      <c r="CK88" s="54">
        <f t="shared" si="12"/>
        <v>0.9</v>
      </c>
      <c r="CL88" s="54">
        <f t="shared" si="12"/>
        <v>0.9</v>
      </c>
    </row>
    <row r="89" spans="1:97" x14ac:dyDescent="0.25">
      <c r="A89" s="1" t="s">
        <v>536</v>
      </c>
      <c r="BA89" s="3" t="s">
        <v>537</v>
      </c>
      <c r="BB89" s="3" t="s">
        <v>538</v>
      </c>
      <c r="BC89" s="2">
        <f t="shared" ref="BC89:BF89" si="13">AVERAGE(BC4:BC86)</f>
        <v>45.510000000000005</v>
      </c>
      <c r="BD89" s="2">
        <f t="shared" si="13"/>
        <v>47.447999999999993</v>
      </c>
      <c r="BE89" s="2">
        <f t="shared" si="13"/>
        <v>47.459999999999987</v>
      </c>
      <c r="BF89" s="2">
        <f t="shared" si="13"/>
        <v>42.86699999999999</v>
      </c>
      <c r="BG89" s="2">
        <f>AVERAGE(BG4:BG86)</f>
        <v>46.967500000000001</v>
      </c>
      <c r="BH89" s="2">
        <f>AVERAGE(BH4:BH86)</f>
        <v>45.684000000000005</v>
      </c>
      <c r="BI89" s="2">
        <f>AVERAGE(BI4:BI86)</f>
        <v>49.5</v>
      </c>
      <c r="BJ89" s="2">
        <f t="shared" ref="BJ89:BW89" si="14">AVERAGE(BJ4:BJ86)</f>
        <v>3.3238999999999996</v>
      </c>
      <c r="BK89" s="2">
        <f t="shared" si="14"/>
        <v>2.4819</v>
      </c>
      <c r="BL89" s="2">
        <f t="shared" si="14"/>
        <v>3.2829585128205121</v>
      </c>
      <c r="BM89" s="2">
        <f t="shared" si="14"/>
        <v>6.0399845918367348</v>
      </c>
      <c r="BN89" s="2">
        <f t="shared" si="14"/>
        <v>41.504375871794871</v>
      </c>
      <c r="BO89" s="2">
        <f t="shared" si="14"/>
        <v>46.018336857978241</v>
      </c>
      <c r="BP89" s="2">
        <f t="shared" si="14"/>
        <v>0.72707516745762846</v>
      </c>
      <c r="BQ89" s="2">
        <f t="shared" si="14"/>
        <v>8.6912147058823557</v>
      </c>
      <c r="BR89" s="2">
        <f t="shared" si="14"/>
        <v>14.018264285714283</v>
      </c>
      <c r="BS89" s="2">
        <f t="shared" si="14"/>
        <v>7.0311611111111114</v>
      </c>
      <c r="BT89" s="2">
        <f t="shared" si="14"/>
        <v>24.789892682926826</v>
      </c>
      <c r="BU89" s="2">
        <f>BT89+BO89</f>
        <v>70.808229540905074</v>
      </c>
      <c r="BV89" s="2">
        <f t="shared" si="14"/>
        <v>0.74</v>
      </c>
      <c r="BW89" s="2">
        <f t="shared" si="14"/>
        <v>91.001749999999987</v>
      </c>
    </row>
    <row r="90" spans="1:97" x14ac:dyDescent="0.25">
      <c r="A90" s="1" t="s">
        <v>539</v>
      </c>
      <c r="R90" s="2" t="s">
        <v>540</v>
      </c>
      <c r="S90" s="2">
        <v>11.1</v>
      </c>
      <c r="T90" s="56">
        <f>(S96-T91)^2</f>
        <v>0</v>
      </c>
      <c r="U90" s="56">
        <f>(U91-S90)^2+(U91-S91)^2+(S96-U91)^2</f>
        <v>81.206666666666678</v>
      </c>
      <c r="BC90" s="2">
        <f>MAX(BC4:BC86)</f>
        <v>47.6</v>
      </c>
      <c r="BD90" s="2">
        <f t="shared" ref="BD90:BW90" si="15">MAX(BD4:BD86)</f>
        <v>48.4</v>
      </c>
      <c r="BE90" s="2">
        <f t="shared" si="15"/>
        <v>49.5</v>
      </c>
      <c r="BF90" s="2">
        <f t="shared" si="15"/>
        <v>44.87</v>
      </c>
      <c r="BG90" s="2">
        <f t="shared" si="15"/>
        <v>49.4</v>
      </c>
      <c r="BH90" s="2">
        <f t="shared" si="15"/>
        <v>48.4</v>
      </c>
      <c r="BI90" s="2">
        <f t="shared" si="15"/>
        <v>49.5</v>
      </c>
      <c r="BJ90" s="2">
        <f t="shared" si="15"/>
        <v>5.74</v>
      </c>
      <c r="BK90" s="2">
        <f t="shared" si="15"/>
        <v>4</v>
      </c>
      <c r="BL90" s="2">
        <f t="shared" si="15"/>
        <v>21.5258</v>
      </c>
      <c r="BM90" s="2">
        <f t="shared" si="15"/>
        <v>14.651999999999999</v>
      </c>
      <c r="BN90" s="2">
        <f t="shared" si="15"/>
        <v>100.7</v>
      </c>
      <c r="BO90" s="2">
        <f t="shared" si="15"/>
        <v>112.02500000000001</v>
      </c>
      <c r="BP90" s="2">
        <f t="shared" si="15"/>
        <v>2.1804878048780485</v>
      </c>
      <c r="BQ90" s="2">
        <f t="shared" si="15"/>
        <v>27.799999999999997</v>
      </c>
      <c r="BR90" s="2">
        <f t="shared" si="15"/>
        <v>33.549999999999997</v>
      </c>
      <c r="BS90" s="2">
        <f t="shared" si="15"/>
        <v>12.6</v>
      </c>
      <c r="BT90" s="2">
        <f t="shared" si="15"/>
        <v>55.9</v>
      </c>
      <c r="BU90" s="2">
        <f t="shared" si="15"/>
        <v>140.80000000000001</v>
      </c>
      <c r="BV90" s="2">
        <f t="shared" si="15"/>
        <v>0.74</v>
      </c>
      <c r="BW90" s="2">
        <f t="shared" si="15"/>
        <v>172.8</v>
      </c>
    </row>
    <row r="91" spans="1:97" x14ac:dyDescent="0.25">
      <c r="A91" s="1" t="s">
        <v>541</v>
      </c>
      <c r="R91" s="2" t="s">
        <v>540</v>
      </c>
      <c r="S91" s="2">
        <v>13.1</v>
      </c>
      <c r="T91" s="2">
        <f>(23)/1</f>
        <v>23</v>
      </c>
      <c r="U91" s="2">
        <f>(S90+S91+S96)/3</f>
        <v>15.733333333333334</v>
      </c>
      <c r="BC91" s="2">
        <f>MIN(BC4:BC86)</f>
        <v>41.9</v>
      </c>
      <c r="BD91" s="2">
        <f t="shared" ref="BD91:BW91" si="16">MIN(BD4:BD86)</f>
        <v>43.5</v>
      </c>
      <c r="BE91" s="2">
        <f t="shared" si="16"/>
        <v>46.28</v>
      </c>
      <c r="BF91" s="2">
        <f t="shared" si="16"/>
        <v>36.4</v>
      </c>
      <c r="BG91" s="2">
        <f t="shared" si="16"/>
        <v>44.2</v>
      </c>
      <c r="BH91" s="2">
        <f t="shared" si="16"/>
        <v>43.54</v>
      </c>
      <c r="BI91" s="2">
        <f t="shared" si="16"/>
        <v>49.5</v>
      </c>
      <c r="BJ91" s="2">
        <f t="shared" si="16"/>
        <v>2.3719999999999999</v>
      </c>
      <c r="BK91" s="2">
        <f t="shared" si="16"/>
        <v>2.0299999999999998</v>
      </c>
      <c r="BL91" s="2">
        <f t="shared" si="16"/>
        <v>0.64500000000000002</v>
      </c>
      <c r="BM91" s="2">
        <f t="shared" si="16"/>
        <v>1.86</v>
      </c>
      <c r="BN91" s="2">
        <f t="shared" si="16"/>
        <v>13.2</v>
      </c>
      <c r="BO91" s="2">
        <f t="shared" si="16"/>
        <v>8</v>
      </c>
      <c r="BP91" s="2">
        <f t="shared" si="16"/>
        <v>9.2235185100791442E-2</v>
      </c>
      <c r="BQ91" s="2">
        <f t="shared" si="16"/>
        <v>0.9</v>
      </c>
      <c r="BR91" s="2">
        <f t="shared" si="16"/>
        <v>0.5</v>
      </c>
      <c r="BS91" s="2">
        <f t="shared" si="16"/>
        <v>2.1</v>
      </c>
      <c r="BT91" s="2">
        <f t="shared" si="16"/>
        <v>2.4287000000000001</v>
      </c>
      <c r="BU91" s="2">
        <f t="shared" si="16"/>
        <v>18.1995</v>
      </c>
      <c r="BV91" s="2">
        <f t="shared" si="16"/>
        <v>0.74</v>
      </c>
      <c r="BW91" s="2">
        <f t="shared" si="16"/>
        <v>54.099999999999994</v>
      </c>
    </row>
    <row r="92" spans="1:97" x14ac:dyDescent="0.25">
      <c r="A92" s="1" t="s">
        <v>542</v>
      </c>
      <c r="R92" s="2" t="s">
        <v>543</v>
      </c>
      <c r="S92" s="2">
        <v>14.2</v>
      </c>
      <c r="T92" s="2">
        <f>(14.2+15.5+16.5+13.5+11.1+13.1)/6</f>
        <v>13.983333333333333</v>
      </c>
      <c r="U92" s="2">
        <f>AVERAGE(S92:S96)</f>
        <v>16.54</v>
      </c>
      <c r="BC92" s="2" t="s">
        <v>544</v>
      </c>
      <c r="BL92" s="3">
        <f>BL89/$BU$89</f>
        <v>4.6364081323682665E-2</v>
      </c>
      <c r="BM92" s="3">
        <f t="shared" ref="BM92:BT92" si="17">BM89/$BU$89</f>
        <v>8.5300601794421477E-2</v>
      </c>
      <c r="BN92" s="3">
        <f t="shared" si="17"/>
        <v>0.58615186597510227</v>
      </c>
      <c r="BO92" s="3">
        <f t="shared" si="17"/>
        <v>0.64990096710995993</v>
      </c>
      <c r="BP92" s="3"/>
      <c r="BQ92" s="3">
        <f t="shared" si="17"/>
        <v>0.12274300264578066</v>
      </c>
      <c r="BR92" s="3">
        <f t="shared" si="17"/>
        <v>0.19797507121140626</v>
      </c>
      <c r="BS92" s="3">
        <f t="shared" si="17"/>
        <v>9.9298643063082004E-2</v>
      </c>
      <c r="BT92" s="3">
        <f t="shared" si="17"/>
        <v>0.35009903289003996</v>
      </c>
      <c r="BU92" s="3">
        <f>BU89/$BU$89</f>
        <v>1</v>
      </c>
    </row>
    <row r="93" spans="1:97" x14ac:dyDescent="0.25">
      <c r="A93" s="1" t="s">
        <v>545</v>
      </c>
      <c r="R93" s="2" t="s">
        <v>543</v>
      </c>
      <c r="S93" s="2">
        <v>15.5</v>
      </c>
      <c r="T93" s="57">
        <f>(T92-S92)^2+(S93-T92)^2+(S94-T92)^2+(S95-T92)^2+(S91-T92)^2+(S90-T92)^2</f>
        <v>18.008333333333333</v>
      </c>
      <c r="U93" s="58">
        <f>(U92-S92)^2+(S93-U92)^2+(S94-U92)^2+(S95-U92)^2</f>
        <v>15.800399999999993</v>
      </c>
      <c r="BC93" s="2">
        <f>BC89/100*BL94</f>
        <v>1.8544275370270369E-2</v>
      </c>
      <c r="BD93" s="2">
        <f t="shared" ref="BD93:BE93" si="18">BD89/100*BM94</f>
        <v>3.557061543930793E-2</v>
      </c>
      <c r="BE93" s="2">
        <f t="shared" si="18"/>
        <v>0.24448896327881564</v>
      </c>
      <c r="BF93" s="2">
        <f>BF89/100*BQ94</f>
        <v>4.6242489577153607E-2</v>
      </c>
      <c r="BG93" s="2">
        <f>BG89/100*BQ94</f>
        <v>5.0665876530080541E-2</v>
      </c>
      <c r="BH93" s="2">
        <f>BH89/100*BR94</f>
        <v>7.9486981294803999E-2</v>
      </c>
      <c r="BI93" s="2">
        <f>BI89/100*BS94</f>
        <v>4.3198621260598188E-2</v>
      </c>
      <c r="BQ93" s="2">
        <f>BQ94*$BT$89</f>
        <v>2.6741930949424977</v>
      </c>
      <c r="BR93" s="2">
        <f t="shared" ref="BR93:BS93" si="19">BR94*$BT$89</f>
        <v>4.3132688380789839</v>
      </c>
      <c r="BS93" s="2">
        <f t="shared" si="19"/>
        <v>2.1634124951527887</v>
      </c>
    </row>
    <row r="94" spans="1:97" x14ac:dyDescent="0.25">
      <c r="A94" s="1" t="s">
        <v>546</v>
      </c>
      <c r="R94" s="2" t="s">
        <v>543</v>
      </c>
      <c r="S94" s="2">
        <v>16.5</v>
      </c>
      <c r="U94" s="58">
        <f>U93+U90</f>
        <v>97.007066666666674</v>
      </c>
      <c r="BC94" s="2">
        <f>SUM(BC93:BI93)-BF93</f>
        <v>0.47195533317387661</v>
      </c>
      <c r="BD94" s="2" t="s">
        <v>547</v>
      </c>
      <c r="BL94" s="3">
        <f>BL89/(SUM($BL$89:$BN$89)+SUM($BQ$89:$BS$89))</f>
        <v>4.0747693628368199E-2</v>
      </c>
      <c r="BM94" s="3">
        <f t="shared" ref="BM94:BS94" si="20">BM89/(SUM($BL$89:$BN$89)+SUM($BQ$89:$BS$89))</f>
        <v>7.4967575955378382E-2</v>
      </c>
      <c r="BN94" s="3">
        <f t="shared" si="20"/>
        <v>0.51514741525245622</v>
      </c>
      <c r="BO94" s="3"/>
      <c r="BP94" s="3"/>
      <c r="BQ94" s="3">
        <f t="shared" si="20"/>
        <v>0.10787433125050416</v>
      </c>
      <c r="BR94" s="3">
        <f t="shared" si="20"/>
        <v>0.17399304197269064</v>
      </c>
      <c r="BS94" s="3">
        <f t="shared" si="20"/>
        <v>8.7269941940602405E-2</v>
      </c>
      <c r="CQ94" s="1"/>
      <c r="CR94" s="1"/>
      <c r="CS94" s="1"/>
    </row>
    <row r="95" spans="1:97" x14ac:dyDescent="0.25">
      <c r="A95" s="1" t="s">
        <v>548</v>
      </c>
      <c r="R95" s="2" t="s">
        <v>543</v>
      </c>
      <c r="S95" s="2">
        <v>13.5</v>
      </c>
      <c r="T95" s="2">
        <f>T90+T93</f>
        <v>18.008333333333333</v>
      </c>
      <c r="BC95" s="2">
        <f>BC90/100*BL94</f>
        <v>1.9395902167103265E-2</v>
      </c>
      <c r="BD95" s="2">
        <f t="shared" ref="BD95:BE95" si="21">BD90/100*BM94</f>
        <v>3.6284306762403136E-2</v>
      </c>
      <c r="BE95" s="2">
        <f t="shared" si="21"/>
        <v>0.25499797054996581</v>
      </c>
      <c r="BF95" s="2">
        <f>BF90/100*BQ94</f>
        <v>4.8403212432101217E-2</v>
      </c>
      <c r="BG95" s="2">
        <f>BG90/100*BQ94</f>
        <v>5.3289919637749053E-2</v>
      </c>
      <c r="BH95" s="2">
        <f>BH90/100*BR94</f>
        <v>8.4212632314782265E-2</v>
      </c>
      <c r="BI95" s="2">
        <f>BI90/100*BS94</f>
        <v>4.3198621260598188E-2</v>
      </c>
      <c r="BL95" s="3">
        <f>SUM(BL94:BS94)</f>
        <v>1</v>
      </c>
      <c r="CQ95" s="1"/>
      <c r="CR95" s="1"/>
      <c r="CS95" s="1"/>
    </row>
    <row r="96" spans="1:97" x14ac:dyDescent="0.25">
      <c r="A96" s="1" t="s">
        <v>549</v>
      </c>
      <c r="R96" s="2" t="s">
        <v>550</v>
      </c>
      <c r="S96" s="2">
        <v>23</v>
      </c>
      <c r="BC96" s="2">
        <f>SUM(BC95:BI95)-BF95</f>
        <v>0.49137935269260169</v>
      </c>
      <c r="BD96" s="2" t="s">
        <v>551</v>
      </c>
      <c r="BN96" s="3" t="s">
        <v>552</v>
      </c>
      <c r="CQ96" s="1"/>
      <c r="CR96" s="1"/>
      <c r="CS96" s="1"/>
    </row>
    <row r="97" spans="1:97" x14ac:dyDescent="0.25">
      <c r="A97" s="1" t="s">
        <v>553</v>
      </c>
      <c r="BC97" s="2">
        <f>BC91/100*BL94</f>
        <v>1.7073283630286276E-2</v>
      </c>
      <c r="BD97" s="2">
        <f t="shared" ref="BD97:BE97" si="22">BD91/100*BM94</f>
        <v>3.2610895540589595E-2</v>
      </c>
      <c r="BE97" s="2">
        <f t="shared" si="22"/>
        <v>0.23841022377883672</v>
      </c>
      <c r="BF97" s="2">
        <f>BF91/100*BQ94</f>
        <v>3.9266256575183511E-2</v>
      </c>
      <c r="BG97" s="2">
        <f>BG91/100*BQ94</f>
        <v>4.7680454412722839E-2</v>
      </c>
      <c r="BH97" s="2">
        <f>BH91/100*BR94</f>
        <v>7.575657047490951E-2</v>
      </c>
      <c r="BI97" s="2">
        <f>BI91/100*BS94</f>
        <v>4.3198621260598188E-2</v>
      </c>
      <c r="BN97" s="3" t="s">
        <v>554</v>
      </c>
      <c r="BO97" s="2" t="s">
        <v>555</v>
      </c>
      <c r="BP97" s="2">
        <f>AVERAGE(BP4:BP24)</f>
        <v>0.41748633388777961</v>
      </c>
      <c r="BQ97" s="2" t="s">
        <v>556</v>
      </c>
      <c r="CQ97" s="1"/>
      <c r="CR97" s="1"/>
      <c r="CS97" s="1"/>
    </row>
    <row r="98" spans="1:97" x14ac:dyDescent="0.25">
      <c r="A98" s="1" t="s">
        <v>557</v>
      </c>
      <c r="BC98" s="2">
        <f>SUM(BC97:BI97)-BF97</f>
        <v>0.45473004909794318</v>
      </c>
      <c r="BD98" s="2" t="s">
        <v>558</v>
      </c>
      <c r="BP98" s="2">
        <f>MIN(BP4:BP24)</f>
        <v>0.23887798235341573</v>
      </c>
      <c r="BQ98" s="2" t="s">
        <v>559</v>
      </c>
      <c r="CQ98" s="1"/>
      <c r="CR98" s="1"/>
      <c r="CS98" s="1"/>
    </row>
    <row r="99" spans="1:97" x14ac:dyDescent="0.25">
      <c r="A99" s="1" t="s">
        <v>560</v>
      </c>
      <c r="BP99" s="2">
        <f>MAX(BP4:BP24)</f>
        <v>0.85474860335195546</v>
      </c>
      <c r="BQ99" s="2" t="s">
        <v>561</v>
      </c>
      <c r="CQ99" s="1"/>
      <c r="CR99" s="1"/>
      <c r="CS99" s="1"/>
    </row>
    <row r="100" spans="1:97" x14ac:dyDescent="0.25">
      <c r="A100" s="59" t="s">
        <v>562</v>
      </c>
      <c r="B100" s="59"/>
      <c r="D100" s="59"/>
      <c r="BB100" s="3" t="s">
        <v>563</v>
      </c>
      <c r="BC100" s="2">
        <f>AVERAGE(BC4:BC55)</f>
        <v>45.20000000000001</v>
      </c>
      <c r="BD100" s="2">
        <f t="shared" ref="BD100:BI100" si="23">AVERAGE(BD4:BD55)</f>
        <v>48.20000000000001</v>
      </c>
      <c r="BE100" s="2">
        <f t="shared" si="23"/>
        <v>48.9</v>
      </c>
      <c r="BF100" s="2">
        <f t="shared" si="23"/>
        <v>44.79999999999999</v>
      </c>
      <c r="BG100" s="2" t="e">
        <f t="shared" si="23"/>
        <v>#DIV/0!</v>
      </c>
      <c r="BH100" s="2">
        <f t="shared" si="23"/>
        <v>45.6</v>
      </c>
      <c r="BI100" s="2" t="e">
        <f t="shared" si="23"/>
        <v>#DIV/0!</v>
      </c>
      <c r="BO100" s="2" t="s">
        <v>564</v>
      </c>
      <c r="BP100" s="2">
        <f>AVERAGE(BP25:BP37)</f>
        <v>1.1139862326395498</v>
      </c>
      <c r="BQ100" s="2" t="s">
        <v>556</v>
      </c>
      <c r="CQ100" s="1"/>
      <c r="CR100" s="1"/>
      <c r="CS100" s="1"/>
    </row>
    <row r="101" spans="1:97" x14ac:dyDescent="0.25">
      <c r="A101" s="60" t="s">
        <v>565</v>
      </c>
      <c r="B101" s="60"/>
      <c r="D101" s="60"/>
      <c r="BC101" s="2">
        <f>MAX(BC4:BC55)</f>
        <v>45.2</v>
      </c>
      <c r="BD101" s="2">
        <f t="shared" ref="BD101:BI101" si="24">MAX(BD4:BD55)</f>
        <v>48.2</v>
      </c>
      <c r="BE101" s="2">
        <f t="shared" si="24"/>
        <v>48.9</v>
      </c>
      <c r="BF101" s="2">
        <f t="shared" si="24"/>
        <v>44.8</v>
      </c>
      <c r="BG101" s="2">
        <f t="shared" si="24"/>
        <v>0</v>
      </c>
      <c r="BH101" s="2">
        <f t="shared" si="24"/>
        <v>45.6</v>
      </c>
      <c r="BI101" s="2">
        <f t="shared" si="24"/>
        <v>0</v>
      </c>
      <c r="BP101" s="2">
        <f>MIN(BP25:BP37)</f>
        <v>0.56884064204242424</v>
      </c>
      <c r="BQ101" s="2" t="s">
        <v>566</v>
      </c>
      <c r="CQ101" s="1"/>
      <c r="CR101" s="1"/>
      <c r="CS101" s="1"/>
    </row>
    <row r="102" spans="1:97" x14ac:dyDescent="0.25">
      <c r="BC102" s="2">
        <f>MIN(BC4:BC55)</f>
        <v>45.2</v>
      </c>
      <c r="BD102" s="2">
        <f t="shared" ref="BD102:BI102" si="25">MIN(BD4:BD55)</f>
        <v>48.2</v>
      </c>
      <c r="BE102" s="2">
        <f t="shared" si="25"/>
        <v>48.9</v>
      </c>
      <c r="BF102" s="2">
        <f t="shared" si="25"/>
        <v>44.8</v>
      </c>
      <c r="BG102" s="2">
        <f t="shared" si="25"/>
        <v>0</v>
      </c>
      <c r="BH102" s="2">
        <f t="shared" si="25"/>
        <v>45.6</v>
      </c>
      <c r="BI102" s="2">
        <f t="shared" si="25"/>
        <v>0</v>
      </c>
      <c r="BP102" s="2">
        <f>MAX(BP25:BP37)</f>
        <v>1.5096525096525097</v>
      </c>
      <c r="BQ102" s="2" t="s">
        <v>561</v>
      </c>
    </row>
    <row r="103" spans="1:97" x14ac:dyDescent="0.25">
      <c r="BN103" s="3" t="s">
        <v>149</v>
      </c>
      <c r="BP103" s="2">
        <f>AVERAGE(BP39:BP55)</f>
        <v>1.2702439024390242</v>
      </c>
      <c r="BQ103" s="2" t="s">
        <v>556</v>
      </c>
    </row>
    <row r="104" spans="1:97" x14ac:dyDescent="0.25">
      <c r="BB104" s="3" t="s">
        <v>567</v>
      </c>
      <c r="BC104" s="2">
        <f>AVERAGE(BC56:BC86)</f>
        <v>45.587499999999999</v>
      </c>
      <c r="BD104" s="2">
        <f t="shared" ref="BD104:BI104" si="26">AVERAGE(BD56:BD86)</f>
        <v>47.259999999999991</v>
      </c>
      <c r="BE104" s="2">
        <f t="shared" si="26"/>
        <v>47.099999999999994</v>
      </c>
      <c r="BF104" s="2">
        <f t="shared" si="26"/>
        <v>42.038571428571437</v>
      </c>
      <c r="BG104" s="2">
        <f t="shared" si="26"/>
        <v>46.967500000000001</v>
      </c>
      <c r="BH104" s="2">
        <f t="shared" si="26"/>
        <v>45.719999999999992</v>
      </c>
      <c r="BI104" s="2">
        <f t="shared" si="26"/>
        <v>49.5</v>
      </c>
      <c r="BP104" s="2">
        <f>MIN(BP39:BP55)</f>
        <v>0.36</v>
      </c>
      <c r="BQ104" s="2" t="s">
        <v>566</v>
      </c>
    </row>
    <row r="105" spans="1:97" x14ac:dyDescent="0.25">
      <c r="BC105" s="2">
        <f>MAX(BC56:BC86)</f>
        <v>47.6</v>
      </c>
      <c r="BD105" s="2">
        <f t="shared" ref="BD105:BI105" si="27">MAX(BD56:BD86)</f>
        <v>48.4</v>
      </c>
      <c r="BE105" s="2">
        <f t="shared" si="27"/>
        <v>49.5</v>
      </c>
      <c r="BF105" s="2">
        <f t="shared" si="27"/>
        <v>44.87</v>
      </c>
      <c r="BG105" s="2">
        <f t="shared" si="27"/>
        <v>49.4</v>
      </c>
      <c r="BH105" s="2">
        <f t="shared" si="27"/>
        <v>48.4</v>
      </c>
      <c r="BI105" s="2">
        <f t="shared" si="27"/>
        <v>49.5</v>
      </c>
      <c r="BP105" s="2">
        <f>MAX(BP39:BP55)</f>
        <v>2.1804878048780485</v>
      </c>
      <c r="BQ105" s="2" t="s">
        <v>561</v>
      </c>
    </row>
    <row r="106" spans="1:97" x14ac:dyDescent="0.25">
      <c r="BC106" s="2">
        <f>MIN(BC56:BC86)</f>
        <v>41.9</v>
      </c>
      <c r="BD106" s="2">
        <f t="shared" ref="BD106:BI106" si="28">MIN(BD56:BD86)</f>
        <v>43.5</v>
      </c>
      <c r="BE106" s="2">
        <f t="shared" si="28"/>
        <v>46.28</v>
      </c>
      <c r="BF106" s="2">
        <f t="shared" si="28"/>
        <v>36.4</v>
      </c>
      <c r="BG106" s="2">
        <f t="shared" si="28"/>
        <v>44.2</v>
      </c>
      <c r="BH106" s="2">
        <f t="shared" si="28"/>
        <v>43.54</v>
      </c>
      <c r="BI106" s="2">
        <f t="shared" si="28"/>
        <v>49.5</v>
      </c>
      <c r="BN106" s="3" t="s">
        <v>568</v>
      </c>
      <c r="BO106" s="2" t="s">
        <v>569</v>
      </c>
      <c r="BP106" s="2">
        <f>AVERAGE(BP60:BP67)</f>
        <v>0.30158432913784811</v>
      </c>
      <c r="BQ106" s="2" t="s">
        <v>570</v>
      </c>
    </row>
    <row r="107" spans="1:97" x14ac:dyDescent="0.25">
      <c r="BP107" s="2">
        <f>MIN(BP60:BP67)</f>
        <v>9.2235185100791442E-2</v>
      </c>
      <c r="BQ107" s="2" t="s">
        <v>566</v>
      </c>
    </row>
    <row r="108" spans="1:97" x14ac:dyDescent="0.25">
      <c r="BP108" s="2">
        <f>MAX(BP60:BP67)</f>
        <v>0.65842167255594808</v>
      </c>
      <c r="BQ108" s="2" t="s">
        <v>561</v>
      </c>
    </row>
    <row r="109" spans="1:97" x14ac:dyDescent="0.25">
      <c r="BO109" s="2" t="s">
        <v>564</v>
      </c>
      <c r="BP109" s="2">
        <f>AVERAGE(BP68:BP86)</f>
        <v>0.98764697147734837</v>
      </c>
      <c r="BQ109" s="2" t="s">
        <v>570</v>
      </c>
    </row>
    <row r="110" spans="1:97" x14ac:dyDescent="0.25">
      <c r="BP110" s="2">
        <f>MIN(BP69:BP87)</f>
        <v>0.133317741506041</v>
      </c>
      <c r="BQ110" s="2" t="s">
        <v>566</v>
      </c>
    </row>
    <row r="111" spans="1:97" x14ac:dyDescent="0.25">
      <c r="BP111" s="2">
        <f>MAX(BP70:BP88)</f>
        <v>1.9769053117782913</v>
      </c>
      <c r="BQ111" s="2" t="s">
        <v>571</v>
      </c>
    </row>
    <row r="112" spans="1:97" x14ac:dyDescent="0.25">
      <c r="BN112" s="3" t="s">
        <v>572</v>
      </c>
      <c r="BP112" s="2">
        <f>AVERAGE(BP56:BP59)</f>
        <v>0.2842416011741456</v>
      </c>
      <c r="BQ112" s="2" t="s">
        <v>556</v>
      </c>
    </row>
    <row r="113" spans="68:69" x14ac:dyDescent="0.25">
      <c r="BP113" s="2">
        <f>MIN(BP56:BP59)</f>
        <v>0.2842416011741456</v>
      </c>
      <c r="BQ113" s="2" t="s">
        <v>573</v>
      </c>
    </row>
    <row r="114" spans="68:69" x14ac:dyDescent="0.25">
      <c r="BP114" s="2">
        <f>MAX(BP56:BP59)</f>
        <v>0.2842416011741456</v>
      </c>
      <c r="BQ114" s="2" t="s">
        <v>561</v>
      </c>
    </row>
  </sheetData>
  <phoneticPr fontId="3" type="noConversion"/>
  <hyperlinks>
    <hyperlink ref="CO11" r:id="rId1"/>
    <hyperlink ref="CO9" r:id="rId2"/>
    <hyperlink ref="CO25" r:id="rId3" location="1"/>
    <hyperlink ref="CO21" r:id="rId4"/>
    <hyperlink ref="CO23" r:id="rId5"/>
    <hyperlink ref="CO6" r:id="rId6"/>
    <hyperlink ref="CO14" r:id="rId7"/>
    <hyperlink ref="CO18" r:id="rId8" location="page_scan_tab_contents" display="https://www.jstor.org/stable/43595383?read-now=1&amp;seq=1 - page_scan_tab_contents"/>
    <hyperlink ref="CO17" r:id="rId9" location="page_scan_tab_contents" display="https://www.jstor.org/stable/43595383?read-now=1&amp;seq=1 - page_scan_tab_contents"/>
    <hyperlink ref="CO20" r:id="rId10" location="page_scan_tab_contents" display="https://www.jstor.org/stable/43595383?read-now=1&amp;seq=1 - page_scan_tab_contents"/>
    <hyperlink ref="CO68" r:id="rId11"/>
    <hyperlink ref="CO66" r:id="rId12"/>
    <hyperlink ref="CO69" r:id="rId13"/>
    <hyperlink ref="CO19" r:id="rId14" location="page_scan_tab_contents" display="https://www.jstor.org/stable/43595383?read-now=1&amp;seq=1 - page_scan_tab_contents"/>
    <hyperlink ref="CO12" r:id="rId15"/>
    <hyperlink ref="CO13" r:id="rId16"/>
    <hyperlink ref="CO24" r:id="rId17"/>
    <hyperlink ref="CO22" r:id="rId18"/>
    <hyperlink ref="CO10" r:id="rId19"/>
    <hyperlink ref="CO8" r:id="rId20"/>
    <hyperlink ref="CO16" r:id="rId21"/>
    <hyperlink ref="CO30" r:id="rId22"/>
    <hyperlink ref="CO31" r:id="rId23"/>
    <hyperlink ref="CO15" r:id="rId24"/>
    <hyperlink ref="CO37" r:id="rId25"/>
    <hyperlink ref="CO58" r:id="rId26"/>
    <hyperlink ref="CO39" r:id="rId27"/>
    <hyperlink ref="CO62" r:id="rId28"/>
    <hyperlink ref="CO35" r:id="rId29"/>
    <hyperlink ref="CO36" r:id="rId30"/>
    <hyperlink ref="CO64" r:id="rId31" display="https://www.jstage.jst.go.jp/article/jjfe/57/1/57_KJ00009983906/_pdf/-char/ja"/>
    <hyperlink ref="CO48" r:id="rId32"/>
    <hyperlink ref="CO53" r:id="rId33"/>
    <hyperlink ref="CO56" r:id="rId34"/>
    <hyperlink ref="CO54" r:id="rId35"/>
    <hyperlink ref="CO49" r:id="rId36"/>
    <hyperlink ref="CO55" r:id="rId37"/>
    <hyperlink ref="CO57" r:id="rId38"/>
    <hyperlink ref="CO61" r:id="rId39"/>
    <hyperlink ref="CO60" r:id="rId40"/>
    <hyperlink ref="CO59" r:id="rId41"/>
    <hyperlink ref="CO47" r:id="rId42"/>
    <hyperlink ref="CO45" r:id="rId43"/>
    <hyperlink ref="CO43" r:id="rId44"/>
    <hyperlink ref="CO44" r:id="rId45"/>
    <hyperlink ref="CO46" r:id="rId46"/>
    <hyperlink ref="CO40" r:id="rId47"/>
    <hyperlink ref="CO32" r:id="rId48"/>
    <hyperlink ref="CO34" r:id="rId49"/>
    <hyperlink ref="CO33" r:id="rId50"/>
    <hyperlink ref="CO50" r:id="rId51"/>
    <hyperlink ref="CO41" r:id="rId52"/>
    <hyperlink ref="CO42" r:id="rId53"/>
    <hyperlink ref="CO72" r:id="rId54"/>
    <hyperlink ref="CO73" r:id="rId55"/>
    <hyperlink ref="CO71" r:id="rId56"/>
    <hyperlink ref="CO82" r:id="rId57"/>
    <hyperlink ref="CO77" r:id="rId58"/>
    <hyperlink ref="CO78" r:id="rId59"/>
    <hyperlink ref="CO79" r:id="rId60"/>
    <hyperlink ref="CO74" r:id="rId61"/>
    <hyperlink ref="CO80" r:id="rId62"/>
    <hyperlink ref="CO76" r:id="rId63"/>
    <hyperlink ref="CO70" r:id="rId64"/>
    <hyperlink ref="CO75" r:id="rId65"/>
    <hyperlink ref="CO86" r:id="rId66"/>
    <hyperlink ref="CO81" r:id="rId67"/>
    <hyperlink ref="CO26" r:id="rId68"/>
    <hyperlink ref="CO28" r:id="rId69" display="https://advances.sciencemag.org/content/6/12/eaaw5790"/>
    <hyperlink ref="CO29" r:id="rId70" display="https://advances.sciencemag.org/content/6/12/eaaw5790"/>
    <hyperlink ref="CO27" r:id="rId71" display="https://advances.sciencemag.org/content/6/12/eaaw5790"/>
    <hyperlink ref="CO83" r:id="rId72"/>
    <hyperlink ref="CO84" r:id="rId73"/>
    <hyperlink ref="CO85" r:id="rId74"/>
  </hyperlinks>
  <pageMargins left="0.7" right="0.7" top="0.75" bottom="0.75" header="0.3" footer="0.3"/>
  <pageSetup paperSize="9" orientation="portrait" r:id="rId75"/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4"/>
  <sheetViews>
    <sheetView topLeftCell="BR31" workbookViewId="0">
      <selection activeCell="CM4" sqref="CM4:CM86"/>
    </sheetView>
  </sheetViews>
  <sheetFormatPr defaultRowHeight="16.5" x14ac:dyDescent="0.25"/>
  <cols>
    <col min="1" max="1" width="22.875" customWidth="1"/>
    <col min="2" max="3" width="13.5" bestFit="1" customWidth="1"/>
    <col min="4" max="4" width="25.5" bestFit="1" customWidth="1"/>
    <col min="5" max="6" width="13.5" bestFit="1" customWidth="1"/>
    <col min="7" max="7" width="21.5" bestFit="1" customWidth="1"/>
    <col min="8" max="8" width="23.625" bestFit="1" customWidth="1"/>
    <col min="9" max="9" width="13.5" bestFit="1" customWidth="1"/>
    <col min="10" max="10" width="14.75" bestFit="1" customWidth="1"/>
    <col min="11" max="12" width="13.5" bestFit="1" customWidth="1"/>
    <col min="13" max="13" width="16" bestFit="1" customWidth="1"/>
    <col min="14" max="14" width="16.25" bestFit="1" customWidth="1"/>
    <col min="15" max="15" width="13.5" bestFit="1" customWidth="1"/>
    <col min="16" max="16" width="17.625" bestFit="1" customWidth="1"/>
    <col min="17" max="17" width="13.5" bestFit="1" customWidth="1"/>
    <col min="18" max="18" width="15.25" bestFit="1" customWidth="1"/>
    <col min="19" max="21" width="13.5" bestFit="1" customWidth="1"/>
    <col min="22" max="22" width="19.25" bestFit="1" customWidth="1"/>
    <col min="23" max="23" width="18.75" bestFit="1" customWidth="1"/>
    <col min="24" max="27" width="13.5" bestFit="1" customWidth="1"/>
    <col min="36" max="37" width="30.125" bestFit="1" customWidth="1"/>
    <col min="38" max="38" width="16.25" bestFit="1" customWidth="1"/>
    <col min="39" max="39" width="30.25" bestFit="1" customWidth="1"/>
    <col min="40" max="40" width="26.125" bestFit="1" customWidth="1"/>
    <col min="41" max="41" width="15.125" bestFit="1" customWidth="1"/>
    <col min="42" max="42" width="13.875" bestFit="1" customWidth="1"/>
    <col min="43" max="44" width="13.5" bestFit="1" customWidth="1"/>
    <col min="45" max="45" width="14.625" bestFit="1" customWidth="1"/>
    <col min="46" max="46" width="17.375" bestFit="1" customWidth="1"/>
    <col min="47" max="47" width="26.625" bestFit="1" customWidth="1"/>
    <col min="48" max="48" width="30.5" bestFit="1" customWidth="1"/>
    <col min="50" max="54" width="13.5" bestFit="1" customWidth="1"/>
    <col min="56" max="56" width="14.375" bestFit="1" customWidth="1"/>
    <col min="57" max="57" width="15.5" bestFit="1" customWidth="1"/>
    <col min="62" max="62" width="16" bestFit="1" customWidth="1"/>
    <col min="67" max="67" width="15" bestFit="1" customWidth="1"/>
    <col min="68" max="68" width="11.875" bestFit="1" customWidth="1"/>
    <col min="69" max="69" width="14.625" bestFit="1" customWidth="1"/>
    <col min="70" max="70" width="12.125" bestFit="1" customWidth="1"/>
    <col min="71" max="71" width="26.875" bestFit="1" customWidth="1"/>
  </cols>
  <sheetData>
    <row r="1" spans="1:84" x14ac:dyDescent="0.25">
      <c r="A1" s="61"/>
      <c r="B1" s="61" t="s">
        <v>574</v>
      </c>
      <c r="C1" s="61" t="s">
        <v>575</v>
      </c>
      <c r="D1" s="61" t="s">
        <v>576</v>
      </c>
      <c r="E1" s="61" t="s">
        <v>577</v>
      </c>
      <c r="F1" s="61" t="s">
        <v>578</v>
      </c>
      <c r="G1" s="61" t="s">
        <v>579</v>
      </c>
      <c r="H1" s="61" t="s">
        <v>19</v>
      </c>
      <c r="I1" s="61" t="s">
        <v>20</v>
      </c>
      <c r="J1" s="61" t="s">
        <v>580</v>
      </c>
      <c r="K1" s="61" t="s">
        <v>581</v>
      </c>
      <c r="L1" s="61" t="s">
        <v>582</v>
      </c>
      <c r="M1" s="61" t="s">
        <v>583</v>
      </c>
      <c r="N1" s="61" t="s">
        <v>584</v>
      </c>
      <c r="O1" s="61" t="s">
        <v>585</v>
      </c>
      <c r="P1" s="61" t="s">
        <v>586</v>
      </c>
      <c r="Q1" s="61" t="s">
        <v>587</v>
      </c>
      <c r="R1" s="61" t="s">
        <v>588</v>
      </c>
      <c r="S1" s="61" t="s">
        <v>589</v>
      </c>
      <c r="T1" s="61" t="s">
        <v>590</v>
      </c>
      <c r="U1" s="61" t="s">
        <v>591</v>
      </c>
      <c r="V1" s="61" t="s">
        <v>592</v>
      </c>
      <c r="W1" s="61" t="s">
        <v>593</v>
      </c>
      <c r="X1" s="61" t="s">
        <v>594</v>
      </c>
      <c r="Y1" s="61" t="s">
        <v>595</v>
      </c>
      <c r="Z1" s="61" t="s">
        <v>596</v>
      </c>
      <c r="AA1" s="61" t="s">
        <v>597</v>
      </c>
      <c r="AB1" s="61" t="s">
        <v>598</v>
      </c>
      <c r="AC1" s="61" t="s">
        <v>599</v>
      </c>
      <c r="AD1" s="61" t="s">
        <v>600</v>
      </c>
      <c r="AE1" s="61" t="s">
        <v>601</v>
      </c>
      <c r="AF1" s="61" t="s">
        <v>602</v>
      </c>
      <c r="AG1" s="61" t="s">
        <v>603</v>
      </c>
      <c r="AH1" s="61" t="s">
        <v>604</v>
      </c>
      <c r="AI1" s="61" t="s">
        <v>605</v>
      </c>
      <c r="AJ1" s="61" t="s">
        <v>606</v>
      </c>
      <c r="AK1" s="61" t="s">
        <v>607</v>
      </c>
      <c r="AL1" s="61" t="s">
        <v>608</v>
      </c>
      <c r="AM1" s="61" t="s">
        <v>609</v>
      </c>
      <c r="AN1" s="61" t="s">
        <v>610</v>
      </c>
      <c r="AO1" s="61" t="s">
        <v>611</v>
      </c>
      <c r="AP1" s="61" t="s">
        <v>612</v>
      </c>
      <c r="AQ1" s="61" t="s">
        <v>613</v>
      </c>
      <c r="AR1" s="61" t="s">
        <v>614</v>
      </c>
      <c r="AS1" s="61" t="s">
        <v>615</v>
      </c>
      <c r="AT1" s="61" t="s">
        <v>616</v>
      </c>
      <c r="AU1" s="61" t="s">
        <v>617</v>
      </c>
      <c r="AV1" s="61" t="s">
        <v>618</v>
      </c>
      <c r="AW1" s="61" t="s">
        <v>619</v>
      </c>
      <c r="AX1" s="61" t="s">
        <v>620</v>
      </c>
      <c r="AY1" s="61" t="s">
        <v>621</v>
      </c>
      <c r="AZ1" s="61" t="s">
        <v>622</v>
      </c>
      <c r="BA1" s="61" t="s">
        <v>623</v>
      </c>
      <c r="BB1" s="61" t="s">
        <v>624</v>
      </c>
      <c r="BC1" s="61" t="s">
        <v>625</v>
      </c>
      <c r="BD1" s="61" t="s">
        <v>626</v>
      </c>
      <c r="BE1" s="61" t="s">
        <v>627</v>
      </c>
      <c r="BF1" s="61" t="s">
        <v>628</v>
      </c>
      <c r="BG1" s="61" t="s">
        <v>629</v>
      </c>
      <c r="BH1" s="61" t="s">
        <v>630</v>
      </c>
      <c r="BI1" s="61" t="s">
        <v>631</v>
      </c>
      <c r="BJ1" s="61" t="s">
        <v>632</v>
      </c>
      <c r="BK1" s="61" t="s">
        <v>633</v>
      </c>
      <c r="BL1" s="61" t="s">
        <v>634</v>
      </c>
      <c r="BM1" s="61" t="s">
        <v>635</v>
      </c>
      <c r="BN1" s="61" t="s">
        <v>636</v>
      </c>
      <c r="BO1" s="61" t="s">
        <v>637</v>
      </c>
      <c r="BP1" s="61" t="s">
        <v>638</v>
      </c>
      <c r="BQ1" s="61" t="s">
        <v>639</v>
      </c>
      <c r="BR1" s="61" t="s">
        <v>640</v>
      </c>
      <c r="BS1" s="61" t="s">
        <v>641</v>
      </c>
      <c r="BT1" s="61" t="s">
        <v>642</v>
      </c>
      <c r="BU1" s="61" t="s">
        <v>643</v>
      </c>
      <c r="BV1" s="61" t="s">
        <v>644</v>
      </c>
      <c r="BW1" s="61" t="s">
        <v>645</v>
      </c>
      <c r="BX1" s="61" t="s">
        <v>646</v>
      </c>
      <c r="BY1" s="61" t="s">
        <v>647</v>
      </c>
      <c r="BZ1" s="61" t="s">
        <v>648</v>
      </c>
      <c r="CA1" s="61" t="s">
        <v>649</v>
      </c>
      <c r="CB1" s="61" t="s">
        <v>650</v>
      </c>
      <c r="CC1" s="61" t="s">
        <v>651</v>
      </c>
      <c r="CD1" s="61" t="s">
        <v>652</v>
      </c>
      <c r="CE1" s="61" t="s">
        <v>653</v>
      </c>
      <c r="CF1" s="61" t="s">
        <v>654</v>
      </c>
    </row>
    <row r="2" spans="1:84" x14ac:dyDescent="0.25">
      <c r="A2" s="61" t="s">
        <v>574</v>
      </c>
      <c r="B2" s="62">
        <v>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</row>
    <row r="3" spans="1:84" x14ac:dyDescent="0.25">
      <c r="A3" s="61" t="s">
        <v>575</v>
      </c>
      <c r="B3" s="62">
        <v>0.5318875931667385</v>
      </c>
      <c r="C3" s="62">
        <v>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</row>
    <row r="4" spans="1:84" x14ac:dyDescent="0.25">
      <c r="A4" s="61" t="s">
        <v>576</v>
      </c>
      <c r="B4" s="62">
        <v>0.8241523239912002</v>
      </c>
      <c r="C4" s="62">
        <v>0.51598850312752553</v>
      </c>
      <c r="D4" s="62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</row>
    <row r="5" spans="1:84" x14ac:dyDescent="0.25">
      <c r="A5" s="61" t="s">
        <v>577</v>
      </c>
      <c r="B5" s="62">
        <v>0.7554485520259695</v>
      </c>
      <c r="C5" s="62">
        <v>0.61809476335757374</v>
      </c>
      <c r="D5" s="62">
        <v>0.63347358051764524</v>
      </c>
      <c r="E5" s="62">
        <v>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</row>
    <row r="6" spans="1:84" x14ac:dyDescent="0.25">
      <c r="A6" s="61" t="s">
        <v>578</v>
      </c>
      <c r="B6" s="62">
        <v>0.23266081348403767</v>
      </c>
      <c r="C6" s="62">
        <v>0.39404414244992031</v>
      </c>
      <c r="D6" s="62">
        <v>0.18042854767284008</v>
      </c>
      <c r="E6" s="62">
        <v>8.4940851022314343E-2</v>
      </c>
      <c r="F6" s="62">
        <v>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</row>
    <row r="7" spans="1:84" x14ac:dyDescent="0.25">
      <c r="A7" s="61" t="s">
        <v>579</v>
      </c>
      <c r="B7" s="62">
        <v>-3.2231610486483368E-2</v>
      </c>
      <c r="C7" s="62">
        <v>0.24515451444576988</v>
      </c>
      <c r="D7" s="62">
        <v>-5.0361891385130329E-2</v>
      </c>
      <c r="E7" s="62">
        <v>4.0398847130309931E-2</v>
      </c>
      <c r="F7" s="62">
        <v>0.4314952331001306</v>
      </c>
      <c r="G7" s="62">
        <v>1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</row>
    <row r="8" spans="1:84" x14ac:dyDescent="0.25">
      <c r="A8" s="61" t="s">
        <v>19</v>
      </c>
      <c r="B8" s="62">
        <v>0.24578147914631848</v>
      </c>
      <c r="C8" s="62">
        <v>0.15763814373049709</v>
      </c>
      <c r="D8" s="62">
        <v>0.14343787221561685</v>
      </c>
      <c r="E8" s="62">
        <v>0.26266935872309993</v>
      </c>
      <c r="F8" s="62">
        <v>-3.5138772103173434E-2</v>
      </c>
      <c r="G8" s="62">
        <v>-0.13954623267178864</v>
      </c>
      <c r="H8" s="62">
        <v>1</v>
      </c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</row>
    <row r="9" spans="1:84" x14ac:dyDescent="0.25">
      <c r="A9" s="61" t="s">
        <v>20</v>
      </c>
      <c r="B9" s="62">
        <v>0.24342362968624687</v>
      </c>
      <c r="C9" s="62">
        <v>0.15682634737587131</v>
      </c>
      <c r="D9" s="62">
        <v>0.14102386356118671</v>
      </c>
      <c r="E9" s="62">
        <v>0.2559800217129739</v>
      </c>
      <c r="F9" s="62">
        <v>-2.7136780340286711E-2</v>
      </c>
      <c r="G9" s="62">
        <v>-0.12594253033011249</v>
      </c>
      <c r="H9" s="62">
        <v>0.99925852810590421</v>
      </c>
      <c r="I9" s="62">
        <v>1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</row>
    <row r="10" spans="1:84" x14ac:dyDescent="0.25">
      <c r="A10" s="61" t="s">
        <v>580</v>
      </c>
      <c r="B10" s="62">
        <v>-0.11505607160039281</v>
      </c>
      <c r="C10" s="62">
        <v>-6.7503470410323008E-2</v>
      </c>
      <c r="D10" s="62">
        <v>-0.13891586313816554</v>
      </c>
      <c r="E10" s="62">
        <v>-8.013871169279993E-2</v>
      </c>
      <c r="F10" s="62">
        <v>-1.7755970516599849E-2</v>
      </c>
      <c r="G10" s="62">
        <v>0.10620471239843529</v>
      </c>
      <c r="H10" s="62">
        <v>0.30802230109072715</v>
      </c>
      <c r="I10" s="62">
        <v>0.31118622039109323</v>
      </c>
      <c r="J10" s="62">
        <v>1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</row>
    <row r="11" spans="1:84" x14ac:dyDescent="0.25">
      <c r="A11" s="61" t="s">
        <v>581</v>
      </c>
      <c r="B11" s="62">
        <v>-0.16658213788436385</v>
      </c>
      <c r="C11" s="62">
        <v>-0.13412268893733767</v>
      </c>
      <c r="D11" s="62">
        <v>-0.10201325284337952</v>
      </c>
      <c r="E11" s="62">
        <v>-0.16070923078229488</v>
      </c>
      <c r="F11" s="62">
        <v>-3.4836715400650323E-2</v>
      </c>
      <c r="G11" s="62">
        <v>0.62561864334608575</v>
      </c>
      <c r="H11" s="62">
        <v>-0.43378405467480108</v>
      </c>
      <c r="I11" s="62">
        <v>-0.41319444400689254</v>
      </c>
      <c r="J11" s="62">
        <v>0.27328852981466895</v>
      </c>
      <c r="K11" s="62">
        <v>1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</row>
    <row r="12" spans="1:84" x14ac:dyDescent="0.25">
      <c r="A12" s="61" t="s">
        <v>582</v>
      </c>
      <c r="B12" s="62">
        <v>0.1840249529833658</v>
      </c>
      <c r="C12" s="62">
        <v>0.35233466760752158</v>
      </c>
      <c r="D12" s="62">
        <v>6.4359682666455087E-2</v>
      </c>
      <c r="E12" s="62">
        <v>0.29583966216179131</v>
      </c>
      <c r="F12" s="62">
        <v>-1.3420237093610352E-2</v>
      </c>
      <c r="G12" s="62">
        <v>-1.3050049374940812E-2</v>
      </c>
      <c r="H12" s="62">
        <v>0.59802871190686036</v>
      </c>
      <c r="I12" s="62">
        <v>0.59355112270363453</v>
      </c>
      <c r="J12" s="62">
        <v>0.61540535313135469</v>
      </c>
      <c r="K12" s="62">
        <v>-0.14151278096551473</v>
      </c>
      <c r="L12" s="62">
        <v>1</v>
      </c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</row>
    <row r="13" spans="1:84" x14ac:dyDescent="0.25">
      <c r="A13" s="61" t="s">
        <v>583</v>
      </c>
      <c r="B13" s="62">
        <v>0.2928884926852483</v>
      </c>
      <c r="C13" s="62">
        <v>0.44403184915956845</v>
      </c>
      <c r="D13" s="62">
        <v>0.25263130199040207</v>
      </c>
      <c r="E13" s="62">
        <v>0.41049872739032578</v>
      </c>
      <c r="F13" s="62">
        <v>5.4377428258271507E-2</v>
      </c>
      <c r="G13" s="62">
        <v>5.2991725692462027E-3</v>
      </c>
      <c r="H13" s="62">
        <v>0.52099961434736408</v>
      </c>
      <c r="I13" s="62">
        <v>0.51165369859556376</v>
      </c>
      <c r="J13" s="62">
        <v>0.77289794827652591</v>
      </c>
      <c r="K13" s="62">
        <v>-0.44549760249214349</v>
      </c>
      <c r="L13" s="62">
        <v>0.83180714853674098</v>
      </c>
      <c r="M13" s="62">
        <v>1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</row>
    <row r="14" spans="1:84" x14ac:dyDescent="0.25">
      <c r="A14" s="61" t="s">
        <v>584</v>
      </c>
      <c r="B14" s="62">
        <v>-0.16766260846210634</v>
      </c>
      <c r="C14" s="62">
        <v>-0.15912743458624276</v>
      </c>
      <c r="D14" s="62">
        <v>-5.4618149071042163E-2</v>
      </c>
      <c r="E14" s="62">
        <v>-0.185963759699529</v>
      </c>
      <c r="F14" s="62">
        <v>7.8893500924419241E-2</v>
      </c>
      <c r="G14" s="62">
        <v>-0.15602704105419996</v>
      </c>
      <c r="H14" s="62">
        <v>-0.36041506629666115</v>
      </c>
      <c r="I14" s="62">
        <v>-0.36360917798559789</v>
      </c>
      <c r="J14" s="62">
        <v>-0.50115742053528201</v>
      </c>
      <c r="K14" s="62">
        <v>-0.29334447961634569</v>
      </c>
      <c r="L14" s="62">
        <v>-0.72487625690356494</v>
      </c>
      <c r="M14" s="62">
        <v>-0.6635003167641792</v>
      </c>
      <c r="N14" s="62">
        <v>1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</row>
    <row r="15" spans="1:84" x14ac:dyDescent="0.25">
      <c r="A15" s="61" t="s">
        <v>585</v>
      </c>
      <c r="B15" s="62">
        <v>-0.14957850170829229</v>
      </c>
      <c r="C15" s="62">
        <v>-0.34249629849772839</v>
      </c>
      <c r="D15" s="62">
        <v>-3.2754656474085375E-2</v>
      </c>
      <c r="E15" s="62">
        <v>-0.22674000836587044</v>
      </c>
      <c r="F15" s="62">
        <v>-3.453636643417838E-2</v>
      </c>
      <c r="G15" s="62">
        <v>6.6822602388458144E-3</v>
      </c>
      <c r="H15" s="62">
        <v>-0.32135198632832151</v>
      </c>
      <c r="I15" s="62">
        <v>-0.32300424909790398</v>
      </c>
      <c r="J15" s="62">
        <v>-0.45044158409250157</v>
      </c>
      <c r="K15" s="62">
        <v>-0.15461844840040764</v>
      </c>
      <c r="L15" s="62">
        <v>-0.70359163986228412</v>
      </c>
      <c r="M15" s="62">
        <v>-0.489294290086146</v>
      </c>
      <c r="N15" s="62">
        <v>0.73507954293918565</v>
      </c>
      <c r="O15" s="62">
        <v>1</v>
      </c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</row>
    <row r="16" spans="1:84" x14ac:dyDescent="0.25">
      <c r="A16" s="61" t="s">
        <v>586</v>
      </c>
      <c r="B16" s="62" t="e">
        <v>#DIV/0!</v>
      </c>
      <c r="C16" s="62" t="e">
        <v>#DIV/0!</v>
      </c>
      <c r="D16" s="62" t="e">
        <v>#DIV/0!</v>
      </c>
      <c r="E16" s="62" t="e">
        <v>#DIV/0!</v>
      </c>
      <c r="F16" s="62" t="e">
        <v>#DIV/0!</v>
      </c>
      <c r="G16" s="62" t="e">
        <v>#DIV/0!</v>
      </c>
      <c r="H16" s="62">
        <v>0</v>
      </c>
      <c r="I16" s="62" t="e">
        <v>#DIV/0!</v>
      </c>
      <c r="J16" s="62">
        <v>0</v>
      </c>
      <c r="K16" s="62" t="e">
        <v>#DIV/0!</v>
      </c>
      <c r="L16" s="62">
        <v>0.41285621356410751</v>
      </c>
      <c r="M16" s="62" t="e">
        <v>#DIV/0!</v>
      </c>
      <c r="N16" s="62" t="e">
        <v>#DIV/0!</v>
      </c>
      <c r="O16" s="62" t="e">
        <v>#DIV/0!</v>
      </c>
      <c r="P16" s="62">
        <v>1</v>
      </c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</row>
    <row r="17" spans="1:84" x14ac:dyDescent="0.25">
      <c r="A17" s="61" t="s">
        <v>655</v>
      </c>
      <c r="B17" s="62" t="e">
        <v>#DIV/0!</v>
      </c>
      <c r="C17" s="62" t="e">
        <v>#DIV/0!</v>
      </c>
      <c r="D17" s="62" t="e">
        <v>#DIV/0!</v>
      </c>
      <c r="E17" s="62">
        <v>0.76456138469627621</v>
      </c>
      <c r="F17" s="62" t="e">
        <v>#DIV/0!</v>
      </c>
      <c r="G17" s="62">
        <v>-0.94047816347595037</v>
      </c>
      <c r="H17" s="62">
        <v>0.15057835229489927</v>
      </c>
      <c r="I17" s="62">
        <v>0.11385153467529813</v>
      </c>
      <c r="J17" s="62">
        <v>0.98761599827365765</v>
      </c>
      <c r="K17" s="62">
        <v>-0.94047816347594992</v>
      </c>
      <c r="L17" s="62">
        <v>0.98472330569064837</v>
      </c>
      <c r="M17" s="62">
        <v>0.98457315023995839</v>
      </c>
      <c r="N17" s="62">
        <v>-0.99869419446635521</v>
      </c>
      <c r="O17" s="62">
        <v>-0.9439945475894479</v>
      </c>
      <c r="P17" s="62" t="e">
        <v>#DIV/0!</v>
      </c>
      <c r="Q17" s="62">
        <v>1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</row>
    <row r="18" spans="1:84" x14ac:dyDescent="0.25">
      <c r="A18" s="61" t="s">
        <v>656</v>
      </c>
      <c r="B18" s="62">
        <v>-0.41567706560171513</v>
      </c>
      <c r="C18" s="62">
        <v>-0.48384645900903445</v>
      </c>
      <c r="D18" s="62">
        <v>-0.41567706560171513</v>
      </c>
      <c r="E18" s="62">
        <v>4.0174976740822051E-2</v>
      </c>
      <c r="F18" s="62" t="e">
        <v>#DIV/0!</v>
      </c>
      <c r="G18" s="62">
        <v>0.14805996770645363</v>
      </c>
      <c r="H18" s="62">
        <v>-0.46414977979376032</v>
      </c>
      <c r="I18" s="62">
        <v>-0.46072027591620285</v>
      </c>
      <c r="J18" s="62">
        <v>0.10887011290538455</v>
      </c>
      <c r="K18" s="62">
        <v>0.27724892431841969</v>
      </c>
      <c r="L18" s="62">
        <v>-0.12726562987350393</v>
      </c>
      <c r="M18" s="62">
        <v>-0.1315614631061009</v>
      </c>
      <c r="N18" s="62">
        <v>0.23265903521753231</v>
      </c>
      <c r="O18" s="62">
        <v>0.16437671316376892</v>
      </c>
      <c r="P18" s="62">
        <v>-0.44539717240589094</v>
      </c>
      <c r="Q18" s="62">
        <v>0.44549107966979667</v>
      </c>
      <c r="R18" s="62">
        <v>1</v>
      </c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</row>
    <row r="19" spans="1:84" x14ac:dyDescent="0.25">
      <c r="A19" s="61" t="s">
        <v>589</v>
      </c>
      <c r="B19" s="62">
        <v>0.21155293047779727</v>
      </c>
      <c r="C19" s="62">
        <v>-0.24407332486038172</v>
      </c>
      <c r="D19" s="62">
        <v>0.21155293047779727</v>
      </c>
      <c r="E19" s="62">
        <v>0.19904915014534164</v>
      </c>
      <c r="F19" s="62" t="e">
        <v>#DIV/0!</v>
      </c>
      <c r="G19" s="62" t="e">
        <v>#DIV/0!</v>
      </c>
      <c r="H19" s="62">
        <v>0.42621660958941099</v>
      </c>
      <c r="I19" s="62">
        <v>0.42621660958941099</v>
      </c>
      <c r="J19" s="62">
        <v>-0.35401736977346049</v>
      </c>
      <c r="K19" s="62" t="e">
        <v>#DIV/0!</v>
      </c>
      <c r="L19" s="62">
        <v>-0.14925278714657902</v>
      </c>
      <c r="M19" s="62">
        <v>-0.87661855335644401</v>
      </c>
      <c r="N19" s="62">
        <v>-0.6484532859335681</v>
      </c>
      <c r="O19" s="62">
        <v>-1</v>
      </c>
      <c r="P19" s="62" t="e">
        <v>#DIV/0!</v>
      </c>
      <c r="Q19" s="62">
        <v>1</v>
      </c>
      <c r="R19" s="62">
        <v>-0.41887966296965312</v>
      </c>
      <c r="S19" s="62">
        <v>1</v>
      </c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</row>
    <row r="20" spans="1:84" x14ac:dyDescent="0.25">
      <c r="A20" s="61" t="s">
        <v>590</v>
      </c>
      <c r="B20" s="62">
        <v>0.39652579285907208</v>
      </c>
      <c r="C20" s="62" t="e">
        <v>#DIV/0!</v>
      </c>
      <c r="D20" s="62">
        <v>0.39652579285907208</v>
      </c>
      <c r="E20" s="62">
        <v>-0.50365540114519314</v>
      </c>
      <c r="F20" s="62" t="e">
        <v>#DIV/0!</v>
      </c>
      <c r="G20" s="62" t="e">
        <v>#DIV/0!</v>
      </c>
      <c r="H20" s="62">
        <v>-0.97809695571904465</v>
      </c>
      <c r="I20" s="62">
        <v>-0.97809695571904431</v>
      </c>
      <c r="J20" s="62">
        <v>-0.97809695571904454</v>
      </c>
      <c r="K20" s="62" t="e">
        <v>#DIV/0!</v>
      </c>
      <c r="L20" s="62">
        <v>0.91262049521843014</v>
      </c>
      <c r="M20" s="62" t="e">
        <v>#DIV/0!</v>
      </c>
      <c r="N20" s="62" t="e">
        <v>#DIV/0!</v>
      </c>
      <c r="O20" s="62" t="e">
        <v>#DIV/0!</v>
      </c>
      <c r="P20" s="62" t="e">
        <v>#DIV/0!</v>
      </c>
      <c r="Q20" s="62" t="e">
        <v>#DIV/0!</v>
      </c>
      <c r="R20" s="62" t="e">
        <v>#DIV/0!</v>
      </c>
      <c r="S20" s="62">
        <v>2.3274766246951118E-3</v>
      </c>
      <c r="T20" s="62">
        <v>1</v>
      </c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</row>
    <row r="21" spans="1:84" x14ac:dyDescent="0.25">
      <c r="A21" s="61" t="s">
        <v>591</v>
      </c>
      <c r="B21" s="62">
        <v>0.6669716772890566</v>
      </c>
      <c r="C21" s="62" t="e">
        <v>#DIV/0!</v>
      </c>
      <c r="D21" s="62">
        <v>0.6669716772890566</v>
      </c>
      <c r="E21" s="62">
        <v>-0.20413224183322826</v>
      </c>
      <c r="F21" s="62" t="e">
        <v>#DIV/0!</v>
      </c>
      <c r="G21" s="62" t="e">
        <v>#DIV/0!</v>
      </c>
      <c r="H21" s="62">
        <v>-0.90268328683444887</v>
      </c>
      <c r="I21" s="62">
        <v>-0.90268328683444876</v>
      </c>
      <c r="J21" s="62">
        <v>-0.90268328683444887</v>
      </c>
      <c r="K21" s="62" t="e">
        <v>#DIV/0!</v>
      </c>
      <c r="L21" s="62">
        <v>0.81442260251081866</v>
      </c>
      <c r="M21" s="62" t="e">
        <v>#DIV/0!</v>
      </c>
      <c r="N21" s="62" t="e">
        <v>#DIV/0!</v>
      </c>
      <c r="O21" s="62" t="e">
        <v>#DIV/0!</v>
      </c>
      <c r="P21" s="62" t="e">
        <v>#DIV/0!</v>
      </c>
      <c r="Q21" s="62" t="e">
        <v>#DIV/0!</v>
      </c>
      <c r="R21" s="62" t="e">
        <v>#DIV/0!</v>
      </c>
      <c r="S21" s="62">
        <v>0.10069384160451732</v>
      </c>
      <c r="T21" s="62">
        <v>0.94797227938145823</v>
      </c>
      <c r="U21" s="62">
        <v>1</v>
      </c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</row>
    <row r="22" spans="1:84" x14ac:dyDescent="0.25">
      <c r="A22" s="61" t="s">
        <v>592</v>
      </c>
      <c r="B22" s="62">
        <v>-9.6172499134575887E-2</v>
      </c>
      <c r="C22" s="62">
        <v>0.41125224897304846</v>
      </c>
      <c r="D22" s="62">
        <v>-9.6172499134575887E-2</v>
      </c>
      <c r="E22" s="62">
        <v>0.13713738933368314</v>
      </c>
      <c r="F22" s="62" t="e">
        <v>#DIV/0!</v>
      </c>
      <c r="G22" s="62" t="e">
        <v>#DIV/0!</v>
      </c>
      <c r="H22" s="62">
        <v>-0.61348749245655021</v>
      </c>
      <c r="I22" s="62">
        <v>-0.6134874924565501</v>
      </c>
      <c r="J22" s="62">
        <v>-0.44964157167877222</v>
      </c>
      <c r="K22" s="62" t="e">
        <v>#DIV/0!</v>
      </c>
      <c r="L22" s="62">
        <v>-0.58739803354370224</v>
      </c>
      <c r="M22" s="62">
        <v>-0.16021296816846239</v>
      </c>
      <c r="N22" s="62">
        <v>-0.99909116370574191</v>
      </c>
      <c r="O22" s="62">
        <v>-1.0000000000000002</v>
      </c>
      <c r="P22" s="62" t="e">
        <v>#DIV/0!</v>
      </c>
      <c r="Q22" s="62">
        <v>1</v>
      </c>
      <c r="R22" s="62">
        <v>-0.50578041783387917</v>
      </c>
      <c r="S22" s="62">
        <v>0.21479068916936503</v>
      </c>
      <c r="T22" s="62" t="e">
        <v>#DIV/0!</v>
      </c>
      <c r="U22" s="62" t="e">
        <v>#DIV/0!</v>
      </c>
      <c r="V22" s="62">
        <v>1</v>
      </c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</row>
    <row r="23" spans="1:84" x14ac:dyDescent="0.25">
      <c r="A23" s="61" t="s">
        <v>593</v>
      </c>
      <c r="B23" s="62" t="e">
        <v>#DIV/0!</v>
      </c>
      <c r="C23" s="62" t="e">
        <v>#DIV/0!</v>
      </c>
      <c r="D23" s="62" t="e">
        <v>#DIV/0!</v>
      </c>
      <c r="E23" s="62" t="e">
        <v>#DIV/0!</v>
      </c>
      <c r="F23" s="62" t="e">
        <v>#DIV/0!</v>
      </c>
      <c r="G23" s="62" t="e">
        <v>#DIV/0!</v>
      </c>
      <c r="H23" s="62">
        <v>-1.2560739669470199E-15</v>
      </c>
      <c r="I23" s="62" t="e">
        <v>#DIV/0!</v>
      </c>
      <c r="J23" s="62">
        <v>-1.2560739669470199E-15</v>
      </c>
      <c r="K23" s="62" t="e">
        <v>#DIV/0!</v>
      </c>
      <c r="L23" s="62">
        <v>0.89625815953027177</v>
      </c>
      <c r="M23" s="62" t="e">
        <v>#DIV/0!</v>
      </c>
      <c r="N23" s="62" t="e">
        <v>#DIV/0!</v>
      </c>
      <c r="O23" s="62" t="e">
        <v>#DIV/0!</v>
      </c>
      <c r="P23" s="62">
        <v>-3.394221166510672E-2</v>
      </c>
      <c r="Q23" s="62" t="e">
        <v>#DIV/0!</v>
      </c>
      <c r="R23" s="62">
        <v>0.90993497096009457</v>
      </c>
      <c r="S23" s="62" t="e">
        <v>#DIV/0!</v>
      </c>
      <c r="T23" s="62" t="e">
        <v>#DIV/0!</v>
      </c>
      <c r="U23" s="62" t="e">
        <v>#DIV/0!</v>
      </c>
      <c r="V23" s="62" t="e">
        <v>#DIV/0!</v>
      </c>
      <c r="W23" s="62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</row>
    <row r="24" spans="1:84" x14ac:dyDescent="0.25">
      <c r="A24" s="61" t="s">
        <v>594</v>
      </c>
      <c r="B24" s="62">
        <v>0.57598996580459072</v>
      </c>
      <c r="C24" s="62">
        <v>0.57598996580459072</v>
      </c>
      <c r="D24" s="62">
        <v>0.57598996580459072</v>
      </c>
      <c r="E24" s="62">
        <v>4.8511224872597195E-2</v>
      </c>
      <c r="F24" s="62" t="e">
        <v>#DIV/0!</v>
      </c>
      <c r="G24" s="62" t="e">
        <v>#DIV/0!</v>
      </c>
      <c r="H24" s="62">
        <v>-0.83568342056726408</v>
      </c>
      <c r="I24" s="62">
        <v>-0.83568342056726397</v>
      </c>
      <c r="J24" s="62">
        <v>-0.91983191588775315</v>
      </c>
      <c r="K24" s="62" t="e">
        <v>#DIV/0!</v>
      </c>
      <c r="L24" s="62">
        <v>-0.87334724341241943</v>
      </c>
      <c r="M24" s="62">
        <v>1</v>
      </c>
      <c r="N24" s="62">
        <v>-0.99999999999999989</v>
      </c>
      <c r="O24" s="62">
        <v>-1</v>
      </c>
      <c r="P24" s="62" t="e">
        <v>#DIV/0!</v>
      </c>
      <c r="Q24" s="62">
        <v>1</v>
      </c>
      <c r="R24" s="62">
        <v>-0.80211162090790877</v>
      </c>
      <c r="S24" s="62">
        <v>0.98568369637170117</v>
      </c>
      <c r="T24" s="62" t="e">
        <v>#DIV/0!</v>
      </c>
      <c r="U24" s="62" t="e">
        <v>#DIV/0!</v>
      </c>
      <c r="V24" s="62">
        <v>0.99848689389639822</v>
      </c>
      <c r="W24" s="62" t="e">
        <v>#DIV/0!</v>
      </c>
      <c r="X24" s="62">
        <v>1</v>
      </c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</row>
    <row r="25" spans="1:84" x14ac:dyDescent="0.25">
      <c r="A25" s="61" t="s">
        <v>595</v>
      </c>
      <c r="B25" s="62">
        <v>0.69554995848164791</v>
      </c>
      <c r="C25" s="62">
        <v>0.40001488061568352</v>
      </c>
      <c r="D25" s="62">
        <v>0.69554995848164791</v>
      </c>
      <c r="E25" s="62">
        <v>0.19117197220882035</v>
      </c>
      <c r="F25" s="62" t="e">
        <v>#DIV/0!</v>
      </c>
      <c r="G25" s="62" t="e">
        <v>#DIV/0!</v>
      </c>
      <c r="H25" s="62">
        <v>-0.14784145181309724</v>
      </c>
      <c r="I25" s="62">
        <v>-0.14784145181309732</v>
      </c>
      <c r="J25" s="62">
        <v>-0.43153314567025969</v>
      </c>
      <c r="K25" s="62" t="e">
        <v>#DIV/0!</v>
      </c>
      <c r="L25" s="62">
        <v>-0.34455223662406859</v>
      </c>
      <c r="M25" s="62">
        <v>-1</v>
      </c>
      <c r="N25" s="62">
        <v>1</v>
      </c>
      <c r="O25" s="62">
        <v>0.99999999999999989</v>
      </c>
      <c r="P25" s="62" t="e">
        <v>#DIV/0!</v>
      </c>
      <c r="Q25" s="62">
        <v>-1</v>
      </c>
      <c r="R25" s="62">
        <v>-0.19386369440377532</v>
      </c>
      <c r="S25" s="62">
        <v>-0.70426933347966814</v>
      </c>
      <c r="T25" s="62" t="e">
        <v>#DIV/0!</v>
      </c>
      <c r="U25" s="62" t="e">
        <v>#DIV/0!</v>
      </c>
      <c r="V25" s="62">
        <v>-0.34950602779407036</v>
      </c>
      <c r="W25" s="62" t="e">
        <v>#DIV/0!</v>
      </c>
      <c r="X25" s="62">
        <v>-0.89631441621675356</v>
      </c>
      <c r="Y25" s="62">
        <v>1</v>
      </c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</row>
    <row r="26" spans="1:84" x14ac:dyDescent="0.25">
      <c r="A26" s="61" t="s">
        <v>596</v>
      </c>
      <c r="B26" s="62">
        <v>0.54501439019033615</v>
      </c>
      <c r="C26" s="62">
        <v>0.75975313685987589</v>
      </c>
      <c r="D26" s="62">
        <v>0.54501439019033615</v>
      </c>
      <c r="E26" s="62">
        <v>0.27726850777807249</v>
      </c>
      <c r="F26" s="62" t="e">
        <v>#DIV/0!</v>
      </c>
      <c r="G26" s="62" t="e">
        <v>#DIV/0!</v>
      </c>
      <c r="H26" s="62">
        <v>-0.33899732470814276</v>
      </c>
      <c r="I26" s="62">
        <v>-0.3389973247081427</v>
      </c>
      <c r="J26" s="62">
        <v>-0.7505689585581562</v>
      </c>
      <c r="K26" s="62" t="e">
        <v>#DIV/0!</v>
      </c>
      <c r="L26" s="62">
        <v>-0.71849137479622038</v>
      </c>
      <c r="M26" s="62">
        <v>-1</v>
      </c>
      <c r="N26" s="62">
        <v>1</v>
      </c>
      <c r="O26" s="62">
        <v>1</v>
      </c>
      <c r="P26" s="62" t="e">
        <v>#DIV/0!</v>
      </c>
      <c r="Q26" s="62">
        <v>-1</v>
      </c>
      <c r="R26" s="62">
        <v>-0.70140868210737217</v>
      </c>
      <c r="S26" s="62">
        <v>-2.5430704776856269E-2</v>
      </c>
      <c r="T26" s="62" t="e">
        <v>#DIV/0!</v>
      </c>
      <c r="U26" s="62" t="e">
        <v>#DIV/0!</v>
      </c>
      <c r="V26" s="62">
        <v>0.50076915361754226</v>
      </c>
      <c r="W26" s="62" t="e">
        <v>#DIV/0!</v>
      </c>
      <c r="X26" s="62">
        <v>0.9136320105608704</v>
      </c>
      <c r="Y26" s="62">
        <v>0.55106203401382459</v>
      </c>
      <c r="Z26" s="62">
        <v>1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</row>
    <row r="27" spans="1:84" x14ac:dyDescent="0.25">
      <c r="A27" s="61" t="s">
        <v>597</v>
      </c>
      <c r="B27" s="62">
        <v>-0.37585384786507392</v>
      </c>
      <c r="C27" s="62">
        <v>-6.2572222572095881E-2</v>
      </c>
      <c r="D27" s="62">
        <v>-0.37585384786507392</v>
      </c>
      <c r="E27" s="62">
        <v>-0.2629845685327879</v>
      </c>
      <c r="F27" s="62" t="e">
        <v>#DIV/0!</v>
      </c>
      <c r="G27" s="62" t="e">
        <v>#DIV/0!</v>
      </c>
      <c r="H27" s="62">
        <v>0.59467385026761022</v>
      </c>
      <c r="I27" s="62">
        <v>0.59467385026761033</v>
      </c>
      <c r="J27" s="62">
        <v>7.5148951491271793E-2</v>
      </c>
      <c r="K27" s="62" t="e">
        <v>#DIV/0!</v>
      </c>
      <c r="L27" s="62">
        <v>2.2071577327056318E-2</v>
      </c>
      <c r="M27" s="62">
        <v>-1</v>
      </c>
      <c r="N27" s="62">
        <v>1</v>
      </c>
      <c r="O27" s="62">
        <v>1</v>
      </c>
      <c r="P27" s="62" t="e">
        <v>#DIV/0!</v>
      </c>
      <c r="Q27" s="62">
        <v>-1</v>
      </c>
      <c r="R27" s="62">
        <v>-0.43793223263317277</v>
      </c>
      <c r="S27" s="62">
        <v>0.60528500510709571</v>
      </c>
      <c r="T27" s="62" t="e">
        <v>#DIV/0!</v>
      </c>
      <c r="U27" s="62" t="e">
        <v>#DIV/0!</v>
      </c>
      <c r="V27" s="62">
        <v>0.26734214328209865</v>
      </c>
      <c r="W27" s="62" t="e">
        <v>#DIV/0!</v>
      </c>
      <c r="X27" s="62">
        <v>9.2590481923565615E-2</v>
      </c>
      <c r="Y27" s="62">
        <v>-0.61829775330167136</v>
      </c>
      <c r="Z27" s="62">
        <v>-7.3070469006412619E-2</v>
      </c>
      <c r="AA27" s="62">
        <v>1</v>
      </c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</row>
    <row r="28" spans="1:84" x14ac:dyDescent="0.25">
      <c r="A28" s="61" t="s">
        <v>598</v>
      </c>
      <c r="B28" s="62">
        <v>0.93301711958262268</v>
      </c>
      <c r="C28" s="62">
        <v>0.29382419189975811</v>
      </c>
      <c r="D28" s="62">
        <v>0.93301711958262268</v>
      </c>
      <c r="E28" s="62">
        <v>-0.35267154280874258</v>
      </c>
      <c r="F28" s="62" t="e">
        <v>#DIV/0!</v>
      </c>
      <c r="G28" s="62" t="e">
        <v>#DIV/0!</v>
      </c>
      <c r="H28" s="62">
        <v>-0.62606106790468941</v>
      </c>
      <c r="I28" s="62">
        <v>-0.62606106790468963</v>
      </c>
      <c r="J28" s="62">
        <v>-0.94646112083100808</v>
      </c>
      <c r="K28" s="62" t="e">
        <v>#DIV/0!</v>
      </c>
      <c r="L28" s="62">
        <v>-0.92290919153133111</v>
      </c>
      <c r="M28" s="62">
        <v>-1</v>
      </c>
      <c r="N28" s="62">
        <v>1</v>
      </c>
      <c r="O28" s="62">
        <v>1</v>
      </c>
      <c r="P28" s="62" t="e">
        <v>#DIV/0!</v>
      </c>
      <c r="Q28" s="62">
        <v>-1</v>
      </c>
      <c r="R28" s="62">
        <v>-0.63340227819124317</v>
      </c>
      <c r="S28" s="62">
        <v>-0.95923008712245661</v>
      </c>
      <c r="T28" s="62" t="e">
        <v>#DIV/0!</v>
      </c>
      <c r="U28" s="62" t="e">
        <v>#DIV/0!</v>
      </c>
      <c r="V28" s="62">
        <v>0.28680559603449934</v>
      </c>
      <c r="W28" s="62" t="e">
        <v>#DIV/0!</v>
      </c>
      <c r="X28" s="62">
        <v>-1</v>
      </c>
      <c r="Y28" s="62">
        <v>0.82936038674794788</v>
      </c>
      <c r="Z28" s="62">
        <v>0.48757574177012297</v>
      </c>
      <c r="AA28" s="62">
        <v>-0.48682013976294286</v>
      </c>
      <c r="AB28" s="62">
        <v>1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</row>
    <row r="29" spans="1:84" x14ac:dyDescent="0.25">
      <c r="A29" s="61" t="s">
        <v>599</v>
      </c>
      <c r="B29" s="62">
        <v>0.2667294155713173</v>
      </c>
      <c r="C29" s="62">
        <v>0.8252622224386239</v>
      </c>
      <c r="D29" s="62">
        <v>0.2667294155713173</v>
      </c>
      <c r="E29" s="62">
        <v>0.22569412086803767</v>
      </c>
      <c r="F29" s="62" t="e">
        <v>#DIV/0!</v>
      </c>
      <c r="G29" s="62" t="e">
        <v>#DIV/0!</v>
      </c>
      <c r="H29" s="62">
        <v>8.9192099985655512E-2</v>
      </c>
      <c r="I29" s="62">
        <v>8.919209998565554E-2</v>
      </c>
      <c r="J29" s="62">
        <v>-0.41749065277246034</v>
      </c>
      <c r="K29" s="62" t="e">
        <v>#DIV/0!</v>
      </c>
      <c r="L29" s="62">
        <v>-0.46875465255172277</v>
      </c>
      <c r="M29" s="62">
        <v>-1</v>
      </c>
      <c r="N29" s="62">
        <v>1</v>
      </c>
      <c r="O29" s="62">
        <v>1</v>
      </c>
      <c r="P29" s="62" t="e">
        <v>#DIV/0!</v>
      </c>
      <c r="Q29" s="62">
        <v>-1</v>
      </c>
      <c r="R29" s="62">
        <v>-0.77810598781972007</v>
      </c>
      <c r="S29" s="62">
        <v>-0.37585874492955923</v>
      </c>
      <c r="T29" s="62" t="e">
        <v>#DIV/0!</v>
      </c>
      <c r="U29" s="62" t="e">
        <v>#DIV/0!</v>
      </c>
      <c r="V29" s="62">
        <v>0.80404756497475638</v>
      </c>
      <c r="W29" s="62" t="e">
        <v>#DIV/0!</v>
      </c>
      <c r="X29" s="62">
        <v>-1</v>
      </c>
      <c r="Y29" s="62">
        <v>0.48751332682992377</v>
      </c>
      <c r="Z29" s="62">
        <v>0.85909514591181912</v>
      </c>
      <c r="AA29" s="62">
        <v>0.2293022687507929</v>
      </c>
      <c r="AB29" s="62">
        <v>0.10234193941276867</v>
      </c>
      <c r="AC29" s="62">
        <v>1</v>
      </c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</row>
    <row r="30" spans="1:84" x14ac:dyDescent="0.25">
      <c r="A30" s="61" t="s">
        <v>600</v>
      </c>
      <c r="B30" s="62">
        <v>-0.97820127764160558</v>
      </c>
      <c r="C30" s="62">
        <v>-0.53108098741127641</v>
      </c>
      <c r="D30" s="62">
        <v>-0.97820127764160558</v>
      </c>
      <c r="E30" s="62">
        <v>0.17308133938390236</v>
      </c>
      <c r="F30" s="62" t="e">
        <v>#DIV/0!</v>
      </c>
      <c r="G30" s="62" t="e">
        <v>#DIV/0!</v>
      </c>
      <c r="H30" s="62">
        <v>0.65937411360031151</v>
      </c>
      <c r="I30" s="62">
        <v>0.65937411360031173</v>
      </c>
      <c r="J30" s="62">
        <v>0.99065598197024973</v>
      </c>
      <c r="K30" s="62" t="e">
        <v>#DIV/0!</v>
      </c>
      <c r="L30" s="62">
        <v>0.96862958595959092</v>
      </c>
      <c r="M30" s="62">
        <v>1</v>
      </c>
      <c r="N30" s="62">
        <v>-1</v>
      </c>
      <c r="O30" s="62">
        <v>-1</v>
      </c>
      <c r="P30" s="62" t="e">
        <v>#DIV/0!</v>
      </c>
      <c r="Q30" s="62">
        <v>1</v>
      </c>
      <c r="R30" s="62">
        <v>0.74326449386449067</v>
      </c>
      <c r="S30" s="62">
        <v>0.9960916030033925</v>
      </c>
      <c r="T30" s="62" t="e">
        <v>#DIV/0!</v>
      </c>
      <c r="U30" s="62" t="e">
        <v>#DIV/0!</v>
      </c>
      <c r="V30" s="62">
        <v>-0.52353786574503891</v>
      </c>
      <c r="W30" s="62" t="e">
        <v>#DIV/0!</v>
      </c>
      <c r="X30" s="62">
        <v>1</v>
      </c>
      <c r="Y30" s="62">
        <v>-0.94022641720545508</v>
      </c>
      <c r="Z30" s="62">
        <v>-0.69688148963584973</v>
      </c>
      <c r="AA30" s="62">
        <v>0.50305453475146311</v>
      </c>
      <c r="AB30" s="62">
        <v>-0.96552389941457595</v>
      </c>
      <c r="AC30" s="62">
        <v>-0.32935920422866249</v>
      </c>
      <c r="AD30" s="62">
        <v>1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</row>
    <row r="31" spans="1:84" x14ac:dyDescent="0.25">
      <c r="A31" s="61" t="s">
        <v>601</v>
      </c>
      <c r="B31" s="62" t="e">
        <v>#DIV/0!</v>
      </c>
      <c r="C31" s="62" t="e">
        <v>#DIV/0!</v>
      </c>
      <c r="D31" s="62" t="e">
        <v>#DIV/0!</v>
      </c>
      <c r="E31" s="62" t="e">
        <v>#DIV/0!</v>
      </c>
      <c r="F31" s="62" t="e">
        <v>#DIV/0!</v>
      </c>
      <c r="G31" s="62" t="e">
        <v>#DIV/0!</v>
      </c>
      <c r="H31" s="62" t="e">
        <v>#DIV/0!</v>
      </c>
      <c r="I31" s="62" t="e">
        <v>#DIV/0!</v>
      </c>
      <c r="J31" s="62" t="e">
        <v>#DIV/0!</v>
      </c>
      <c r="K31" s="62" t="e">
        <v>#DIV/0!</v>
      </c>
      <c r="L31" s="62" t="e">
        <v>#DIV/0!</v>
      </c>
      <c r="M31" s="62" t="e">
        <v>#DIV/0!</v>
      </c>
      <c r="N31" s="62" t="e">
        <v>#DIV/0!</v>
      </c>
      <c r="O31" s="62" t="e">
        <v>#DIV/0!</v>
      </c>
      <c r="P31" s="62" t="e">
        <v>#DIV/0!</v>
      </c>
      <c r="Q31" s="62" t="e">
        <v>#DIV/0!</v>
      </c>
      <c r="R31" s="62" t="e">
        <v>#DIV/0!</v>
      </c>
      <c r="S31" s="62" t="e">
        <v>#DIV/0!</v>
      </c>
      <c r="T31" s="62" t="e">
        <v>#DIV/0!</v>
      </c>
      <c r="U31" s="62" t="e">
        <v>#DIV/0!</v>
      </c>
      <c r="V31" s="62" t="e">
        <v>#DIV/0!</v>
      </c>
      <c r="W31" s="62" t="e">
        <v>#DIV/0!</v>
      </c>
      <c r="X31" s="62" t="e">
        <v>#DIV/0!</v>
      </c>
      <c r="Y31" s="62" t="e">
        <v>#DIV/0!</v>
      </c>
      <c r="Z31" s="62" t="e">
        <v>#DIV/0!</v>
      </c>
      <c r="AA31" s="62" t="e">
        <v>#DIV/0!</v>
      </c>
      <c r="AB31" s="62" t="e">
        <v>#DIV/0!</v>
      </c>
      <c r="AC31" s="62" t="e">
        <v>#DIV/0!</v>
      </c>
      <c r="AD31" s="62" t="e">
        <v>#DIV/0!</v>
      </c>
      <c r="AE31" s="62">
        <v>1</v>
      </c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</row>
    <row r="32" spans="1:84" x14ac:dyDescent="0.25">
      <c r="A32" s="61" t="s">
        <v>602</v>
      </c>
      <c r="B32" s="62" t="e">
        <v>#DIV/0!</v>
      </c>
      <c r="C32" s="62" t="e">
        <v>#DIV/0!</v>
      </c>
      <c r="D32" s="62" t="e">
        <v>#DIV/0!</v>
      </c>
      <c r="E32" s="62" t="e">
        <v>#DIV/0!</v>
      </c>
      <c r="F32" s="62" t="e">
        <v>#DIV/0!</v>
      </c>
      <c r="G32" s="62" t="e">
        <v>#DIV/0!</v>
      </c>
      <c r="H32" s="62" t="e">
        <v>#DIV/0!</v>
      </c>
      <c r="I32" s="62" t="e">
        <v>#DIV/0!</v>
      </c>
      <c r="J32" s="62" t="e">
        <v>#DIV/0!</v>
      </c>
      <c r="K32" s="62" t="e">
        <v>#DIV/0!</v>
      </c>
      <c r="L32" s="62" t="e">
        <v>#DIV/0!</v>
      </c>
      <c r="M32" s="62" t="e">
        <v>#DIV/0!</v>
      </c>
      <c r="N32" s="62" t="e">
        <v>#DIV/0!</v>
      </c>
      <c r="O32" s="62" t="e">
        <v>#DIV/0!</v>
      </c>
      <c r="P32" s="62" t="e">
        <v>#DIV/0!</v>
      </c>
      <c r="Q32" s="62" t="e">
        <v>#DIV/0!</v>
      </c>
      <c r="R32" s="62" t="e">
        <v>#DIV/0!</v>
      </c>
      <c r="S32" s="62" t="e">
        <v>#DIV/0!</v>
      </c>
      <c r="T32" s="62" t="e">
        <v>#DIV/0!</v>
      </c>
      <c r="U32" s="62" t="e">
        <v>#DIV/0!</v>
      </c>
      <c r="V32" s="62" t="e">
        <v>#DIV/0!</v>
      </c>
      <c r="W32" s="62" t="e">
        <v>#DIV/0!</v>
      </c>
      <c r="X32" s="62" t="e">
        <v>#DIV/0!</v>
      </c>
      <c r="Y32" s="62" t="e">
        <v>#DIV/0!</v>
      </c>
      <c r="Z32" s="62" t="e">
        <v>#DIV/0!</v>
      </c>
      <c r="AA32" s="62" t="e">
        <v>#DIV/0!</v>
      </c>
      <c r="AB32" s="62" t="e">
        <v>#DIV/0!</v>
      </c>
      <c r="AC32" s="62" t="e">
        <v>#DIV/0!</v>
      </c>
      <c r="AD32" s="62" t="e">
        <v>#DIV/0!</v>
      </c>
      <c r="AE32" s="62" t="e">
        <v>#DIV/0!</v>
      </c>
      <c r="AF32" s="62">
        <v>1</v>
      </c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</row>
    <row r="33" spans="1:84" x14ac:dyDescent="0.25">
      <c r="A33" s="61" t="s">
        <v>603</v>
      </c>
      <c r="B33" s="62" t="e">
        <v>#DIV/0!</v>
      </c>
      <c r="C33" s="62" t="e">
        <v>#DIV/0!</v>
      </c>
      <c r="D33" s="62" t="e">
        <v>#DIV/0!</v>
      </c>
      <c r="E33" s="62" t="e">
        <v>#DIV/0!</v>
      </c>
      <c r="F33" s="62" t="e">
        <v>#DIV/0!</v>
      </c>
      <c r="G33" s="62" t="e">
        <v>#DIV/0!</v>
      </c>
      <c r="H33" s="62" t="e">
        <v>#DIV/0!</v>
      </c>
      <c r="I33" s="62" t="e">
        <v>#DIV/0!</v>
      </c>
      <c r="J33" s="62" t="e">
        <v>#DIV/0!</v>
      </c>
      <c r="K33" s="62" t="e">
        <v>#DIV/0!</v>
      </c>
      <c r="L33" s="62" t="e">
        <v>#DIV/0!</v>
      </c>
      <c r="M33" s="62" t="e">
        <v>#DIV/0!</v>
      </c>
      <c r="N33" s="62" t="e">
        <v>#DIV/0!</v>
      </c>
      <c r="O33" s="62" t="e">
        <v>#DIV/0!</v>
      </c>
      <c r="P33" s="62" t="e">
        <v>#DIV/0!</v>
      </c>
      <c r="Q33" s="62" t="e">
        <v>#DIV/0!</v>
      </c>
      <c r="R33" s="62" t="e">
        <v>#DIV/0!</v>
      </c>
      <c r="S33" s="62" t="e">
        <v>#DIV/0!</v>
      </c>
      <c r="T33" s="62" t="e">
        <v>#DIV/0!</v>
      </c>
      <c r="U33" s="62" t="e">
        <v>#DIV/0!</v>
      </c>
      <c r="V33" s="62" t="e">
        <v>#DIV/0!</v>
      </c>
      <c r="W33" s="62" t="e">
        <v>#DIV/0!</v>
      </c>
      <c r="X33" s="62" t="e">
        <v>#DIV/0!</v>
      </c>
      <c r="Y33" s="62" t="e">
        <v>#DIV/0!</v>
      </c>
      <c r="Z33" s="62" t="e">
        <v>#DIV/0!</v>
      </c>
      <c r="AA33" s="62" t="e">
        <v>#DIV/0!</v>
      </c>
      <c r="AB33" s="62" t="e">
        <v>#DIV/0!</v>
      </c>
      <c r="AC33" s="62" t="e">
        <v>#DIV/0!</v>
      </c>
      <c r="AD33" s="62" t="e">
        <v>#DIV/0!</v>
      </c>
      <c r="AE33" s="62" t="e">
        <v>#DIV/0!</v>
      </c>
      <c r="AF33" s="62" t="e">
        <v>#DIV/0!</v>
      </c>
      <c r="AG33" s="62">
        <v>1</v>
      </c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</row>
    <row r="34" spans="1:84" x14ac:dyDescent="0.25">
      <c r="A34" s="61" t="s">
        <v>604</v>
      </c>
      <c r="B34" s="62" t="e">
        <v>#DIV/0!</v>
      </c>
      <c r="C34" s="62" t="e">
        <v>#DIV/0!</v>
      </c>
      <c r="D34" s="62" t="e">
        <v>#DIV/0!</v>
      </c>
      <c r="E34" s="62" t="e">
        <v>#DIV/0!</v>
      </c>
      <c r="F34" s="62" t="e">
        <v>#DIV/0!</v>
      </c>
      <c r="G34" s="62" t="e">
        <v>#DIV/0!</v>
      </c>
      <c r="H34" s="62" t="e">
        <v>#DIV/0!</v>
      </c>
      <c r="I34" s="62" t="e">
        <v>#DIV/0!</v>
      </c>
      <c r="J34" s="62" t="e">
        <v>#DIV/0!</v>
      </c>
      <c r="K34" s="62" t="e">
        <v>#DIV/0!</v>
      </c>
      <c r="L34" s="62" t="e">
        <v>#DIV/0!</v>
      </c>
      <c r="M34" s="62" t="e">
        <v>#DIV/0!</v>
      </c>
      <c r="N34" s="62" t="e">
        <v>#DIV/0!</v>
      </c>
      <c r="O34" s="62" t="e">
        <v>#DIV/0!</v>
      </c>
      <c r="P34" s="62" t="e">
        <v>#DIV/0!</v>
      </c>
      <c r="Q34" s="62" t="e">
        <v>#DIV/0!</v>
      </c>
      <c r="R34" s="62" t="e">
        <v>#DIV/0!</v>
      </c>
      <c r="S34" s="62" t="e">
        <v>#DIV/0!</v>
      </c>
      <c r="T34" s="62" t="e">
        <v>#DIV/0!</v>
      </c>
      <c r="U34" s="62" t="e">
        <v>#DIV/0!</v>
      </c>
      <c r="V34" s="62" t="e">
        <v>#DIV/0!</v>
      </c>
      <c r="W34" s="62" t="e">
        <v>#DIV/0!</v>
      </c>
      <c r="X34" s="62" t="e">
        <v>#DIV/0!</v>
      </c>
      <c r="Y34" s="62" t="e">
        <v>#DIV/0!</v>
      </c>
      <c r="Z34" s="62" t="e">
        <v>#DIV/0!</v>
      </c>
      <c r="AA34" s="62" t="e">
        <v>#DIV/0!</v>
      </c>
      <c r="AB34" s="62" t="e">
        <v>#DIV/0!</v>
      </c>
      <c r="AC34" s="62" t="e">
        <v>#DIV/0!</v>
      </c>
      <c r="AD34" s="62" t="e">
        <v>#DIV/0!</v>
      </c>
      <c r="AE34" s="62" t="e">
        <v>#DIV/0!</v>
      </c>
      <c r="AF34" s="62" t="e">
        <v>#DIV/0!</v>
      </c>
      <c r="AG34" s="62" t="e">
        <v>#DIV/0!</v>
      </c>
      <c r="AH34" s="62">
        <v>1</v>
      </c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</row>
    <row r="35" spans="1:84" x14ac:dyDescent="0.25">
      <c r="A35" s="61" t="s">
        <v>605</v>
      </c>
      <c r="B35" s="62" t="e">
        <v>#DIV/0!</v>
      </c>
      <c r="C35" s="62" t="e">
        <v>#DIV/0!</v>
      </c>
      <c r="D35" s="62" t="e">
        <v>#DIV/0!</v>
      </c>
      <c r="E35" s="62" t="e">
        <v>#DIV/0!</v>
      </c>
      <c r="F35" s="62" t="e">
        <v>#DIV/0!</v>
      </c>
      <c r="G35" s="62" t="e">
        <v>#DIV/0!</v>
      </c>
      <c r="H35" s="62" t="e">
        <v>#DIV/0!</v>
      </c>
      <c r="I35" s="62" t="e">
        <v>#DIV/0!</v>
      </c>
      <c r="J35" s="62" t="e">
        <v>#DIV/0!</v>
      </c>
      <c r="K35" s="62" t="e">
        <v>#DIV/0!</v>
      </c>
      <c r="L35" s="62" t="e">
        <v>#DIV/0!</v>
      </c>
      <c r="M35" s="62" t="e">
        <v>#DIV/0!</v>
      </c>
      <c r="N35" s="62" t="e">
        <v>#DIV/0!</v>
      </c>
      <c r="O35" s="62" t="e">
        <v>#DIV/0!</v>
      </c>
      <c r="P35" s="62" t="e">
        <v>#DIV/0!</v>
      </c>
      <c r="Q35" s="62" t="e">
        <v>#DIV/0!</v>
      </c>
      <c r="R35" s="62" t="e">
        <v>#DIV/0!</v>
      </c>
      <c r="S35" s="62" t="e">
        <v>#DIV/0!</v>
      </c>
      <c r="T35" s="62" t="e">
        <v>#DIV/0!</v>
      </c>
      <c r="U35" s="62" t="e">
        <v>#DIV/0!</v>
      </c>
      <c r="V35" s="62" t="e">
        <v>#DIV/0!</v>
      </c>
      <c r="W35" s="62" t="e">
        <v>#DIV/0!</v>
      </c>
      <c r="X35" s="62" t="e">
        <v>#DIV/0!</v>
      </c>
      <c r="Y35" s="62" t="e">
        <v>#DIV/0!</v>
      </c>
      <c r="Z35" s="62" t="e">
        <v>#DIV/0!</v>
      </c>
      <c r="AA35" s="62" t="e">
        <v>#DIV/0!</v>
      </c>
      <c r="AB35" s="62" t="e">
        <v>#DIV/0!</v>
      </c>
      <c r="AC35" s="62" t="e">
        <v>#DIV/0!</v>
      </c>
      <c r="AD35" s="62" t="e">
        <v>#DIV/0!</v>
      </c>
      <c r="AE35" s="62" t="e">
        <v>#DIV/0!</v>
      </c>
      <c r="AF35" s="62" t="e">
        <v>#DIV/0!</v>
      </c>
      <c r="AG35" s="62" t="e">
        <v>#DIV/0!</v>
      </c>
      <c r="AH35" s="62" t="e">
        <v>#DIV/0!</v>
      </c>
      <c r="AI35" s="62">
        <v>1</v>
      </c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</row>
    <row r="36" spans="1:84" x14ac:dyDescent="0.25">
      <c r="A36" s="61" t="s">
        <v>606</v>
      </c>
      <c r="B36" s="62" t="e">
        <v>#DIV/0!</v>
      </c>
      <c r="C36" s="62" t="e">
        <v>#DIV/0!</v>
      </c>
      <c r="D36" s="62" t="e">
        <v>#DIV/0!</v>
      </c>
      <c r="E36" s="62" t="e">
        <v>#DIV/0!</v>
      </c>
      <c r="F36" s="62" t="e">
        <v>#DIV/0!</v>
      </c>
      <c r="G36" s="62">
        <v>0.75340261492812444</v>
      </c>
      <c r="H36" s="62">
        <v>0.89436561080866284</v>
      </c>
      <c r="I36" s="62">
        <v>0.91761463186112202</v>
      </c>
      <c r="J36" s="62">
        <v>-0.37931646721178985</v>
      </c>
      <c r="K36" s="62">
        <v>0.89882884437853772</v>
      </c>
      <c r="L36" s="62">
        <v>-0.81909427280851166</v>
      </c>
      <c r="M36" s="62">
        <v>-0.41645509523427487</v>
      </c>
      <c r="N36" s="62">
        <v>0.56124734566273293</v>
      </c>
      <c r="O36" s="62">
        <v>0.88943641560279918</v>
      </c>
      <c r="P36" s="62">
        <v>-0.67102860498091899</v>
      </c>
      <c r="Q36" s="62" t="e">
        <v>#DIV/0!</v>
      </c>
      <c r="R36" s="62">
        <v>-0.47729009817816564</v>
      </c>
      <c r="S36" s="62" t="e">
        <v>#DIV/0!</v>
      </c>
      <c r="T36" s="62" t="e">
        <v>#DIV/0!</v>
      </c>
      <c r="U36" s="62" t="e">
        <v>#DIV/0!</v>
      </c>
      <c r="V36" s="62" t="e">
        <v>#DIV/0!</v>
      </c>
      <c r="W36" s="62">
        <v>0.76378044096433451</v>
      </c>
      <c r="X36" s="62" t="e">
        <v>#DIV/0!</v>
      </c>
      <c r="Y36" s="62" t="e">
        <v>#DIV/0!</v>
      </c>
      <c r="Z36" s="62" t="e">
        <v>#DIV/0!</v>
      </c>
      <c r="AA36" s="62" t="e">
        <v>#DIV/0!</v>
      </c>
      <c r="AB36" s="62" t="e">
        <v>#DIV/0!</v>
      </c>
      <c r="AC36" s="62" t="e">
        <v>#DIV/0!</v>
      </c>
      <c r="AD36" s="62" t="e">
        <v>#DIV/0!</v>
      </c>
      <c r="AE36" s="62" t="e">
        <v>#DIV/0!</v>
      </c>
      <c r="AF36" s="62" t="e">
        <v>#DIV/0!</v>
      </c>
      <c r="AG36" s="62" t="e">
        <v>#DIV/0!</v>
      </c>
      <c r="AH36" s="62" t="e">
        <v>#DIV/0!</v>
      </c>
      <c r="AI36" s="62" t="e">
        <v>#DIV/0!</v>
      </c>
      <c r="AJ36" s="62">
        <v>1</v>
      </c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</row>
    <row r="37" spans="1:84" x14ac:dyDescent="0.25">
      <c r="A37" s="61" t="s">
        <v>607</v>
      </c>
      <c r="B37" s="62" t="e">
        <v>#DIV/0!</v>
      </c>
      <c r="C37" s="62" t="e">
        <v>#DIV/0!</v>
      </c>
      <c r="D37" s="62" t="e">
        <v>#DIV/0!</v>
      </c>
      <c r="E37" s="62" t="e">
        <v>#DIV/0!</v>
      </c>
      <c r="F37" s="62" t="e">
        <v>#DIV/0!</v>
      </c>
      <c r="G37" s="62" t="e">
        <v>#DIV/0!</v>
      </c>
      <c r="H37" s="62">
        <v>1.5872230401069496E-16</v>
      </c>
      <c r="I37" s="62" t="e">
        <v>#DIV/0!</v>
      </c>
      <c r="J37" s="62">
        <v>1.5872230401069496E-16</v>
      </c>
      <c r="K37" s="62" t="e">
        <v>#DIV/0!</v>
      </c>
      <c r="L37" s="62">
        <v>0.70354366897869525</v>
      </c>
      <c r="M37" s="62" t="e">
        <v>#DIV/0!</v>
      </c>
      <c r="N37" s="62" t="e">
        <v>#DIV/0!</v>
      </c>
      <c r="O37" s="62" t="e">
        <v>#DIV/0!</v>
      </c>
      <c r="P37" s="62">
        <v>-0.35679680328381902</v>
      </c>
      <c r="Q37" s="62" t="e">
        <v>#DIV/0!</v>
      </c>
      <c r="R37" s="62">
        <v>0.99532036808905977</v>
      </c>
      <c r="S37" s="62" t="e">
        <v>#DIV/0!</v>
      </c>
      <c r="T37" s="62" t="e">
        <v>#DIV/0!</v>
      </c>
      <c r="U37" s="62" t="e">
        <v>#DIV/0!</v>
      </c>
      <c r="V37" s="62" t="e">
        <v>#DIV/0!</v>
      </c>
      <c r="W37" s="62">
        <v>0.94575421140795857</v>
      </c>
      <c r="X37" s="62" t="e">
        <v>#DIV/0!</v>
      </c>
      <c r="Y37" s="62" t="e">
        <v>#DIV/0!</v>
      </c>
      <c r="Z37" s="62" t="e">
        <v>#DIV/0!</v>
      </c>
      <c r="AA37" s="62" t="e">
        <v>#DIV/0!</v>
      </c>
      <c r="AB37" s="62" t="e">
        <v>#DIV/0!</v>
      </c>
      <c r="AC37" s="62" t="e">
        <v>#DIV/0!</v>
      </c>
      <c r="AD37" s="62" t="e">
        <v>#DIV/0!</v>
      </c>
      <c r="AE37" s="62" t="e">
        <v>#DIV/0!</v>
      </c>
      <c r="AF37" s="62" t="e">
        <v>#DIV/0!</v>
      </c>
      <c r="AG37" s="62" t="e">
        <v>#DIV/0!</v>
      </c>
      <c r="AH37" s="62" t="e">
        <v>#DIV/0!</v>
      </c>
      <c r="AI37" s="62" t="e">
        <v>#DIV/0!</v>
      </c>
      <c r="AJ37" s="62">
        <v>0.9320527989448103</v>
      </c>
      <c r="AK37" s="62">
        <v>1</v>
      </c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</row>
    <row r="38" spans="1:84" x14ac:dyDescent="0.25">
      <c r="A38" s="61" t="s">
        <v>608</v>
      </c>
      <c r="B38" s="62" t="e">
        <v>#DIV/0!</v>
      </c>
      <c r="C38" s="62" t="e">
        <v>#DIV/0!</v>
      </c>
      <c r="D38" s="62" t="e">
        <v>#DIV/0!</v>
      </c>
      <c r="E38" s="62" t="e">
        <v>#DIV/0!</v>
      </c>
      <c r="F38" s="62" t="e">
        <v>#DIV/0!</v>
      </c>
      <c r="G38" s="62" t="e">
        <v>#DIV/0!</v>
      </c>
      <c r="H38" s="62" t="e">
        <v>#DIV/0!</v>
      </c>
      <c r="I38" s="62" t="e">
        <v>#DIV/0!</v>
      </c>
      <c r="J38" s="62" t="e">
        <v>#DIV/0!</v>
      </c>
      <c r="K38" s="62" t="e">
        <v>#DIV/0!</v>
      </c>
      <c r="L38" s="62" t="e">
        <v>#DIV/0!</v>
      </c>
      <c r="M38" s="62" t="e">
        <v>#DIV/0!</v>
      </c>
      <c r="N38" s="62" t="e">
        <v>#DIV/0!</v>
      </c>
      <c r="O38" s="62" t="e">
        <v>#DIV/0!</v>
      </c>
      <c r="P38" s="62" t="e">
        <v>#DIV/0!</v>
      </c>
      <c r="Q38" s="62" t="e">
        <v>#DIV/0!</v>
      </c>
      <c r="R38" s="62" t="e">
        <v>#DIV/0!</v>
      </c>
      <c r="S38" s="62" t="e">
        <v>#DIV/0!</v>
      </c>
      <c r="T38" s="62" t="e">
        <v>#DIV/0!</v>
      </c>
      <c r="U38" s="62" t="e">
        <v>#DIV/0!</v>
      </c>
      <c r="V38" s="62" t="e">
        <v>#DIV/0!</v>
      </c>
      <c r="W38" s="62" t="e">
        <v>#DIV/0!</v>
      </c>
      <c r="X38" s="62" t="e">
        <v>#DIV/0!</v>
      </c>
      <c r="Y38" s="62" t="e">
        <v>#DIV/0!</v>
      </c>
      <c r="Z38" s="62" t="e">
        <v>#DIV/0!</v>
      </c>
      <c r="AA38" s="62" t="e">
        <v>#DIV/0!</v>
      </c>
      <c r="AB38" s="62" t="e">
        <v>#DIV/0!</v>
      </c>
      <c r="AC38" s="62" t="e">
        <v>#DIV/0!</v>
      </c>
      <c r="AD38" s="62" t="e">
        <v>#DIV/0!</v>
      </c>
      <c r="AE38" s="62" t="e">
        <v>#DIV/0!</v>
      </c>
      <c r="AF38" s="62" t="e">
        <v>#DIV/0!</v>
      </c>
      <c r="AG38" s="62" t="e">
        <v>#DIV/0!</v>
      </c>
      <c r="AH38" s="62" t="e">
        <v>#DIV/0!</v>
      </c>
      <c r="AI38" s="62" t="e">
        <v>#DIV/0!</v>
      </c>
      <c r="AJ38" s="62" t="e">
        <v>#DIV/0!</v>
      </c>
      <c r="AK38" s="62" t="e">
        <v>#DIV/0!</v>
      </c>
      <c r="AL38" s="62">
        <v>1</v>
      </c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</row>
    <row r="39" spans="1:84" x14ac:dyDescent="0.25">
      <c r="A39" s="61" t="s">
        <v>609</v>
      </c>
      <c r="B39" s="62" t="e">
        <v>#DIV/0!</v>
      </c>
      <c r="C39" s="62" t="e">
        <v>#DIV/0!</v>
      </c>
      <c r="D39" s="62" t="e">
        <v>#DIV/0!</v>
      </c>
      <c r="E39" s="62" t="e">
        <v>#DIV/0!</v>
      </c>
      <c r="F39" s="62" t="e">
        <v>#DIV/0!</v>
      </c>
      <c r="G39" s="62">
        <v>1</v>
      </c>
      <c r="H39" s="62">
        <v>1</v>
      </c>
      <c r="I39" s="62">
        <v>0.99999999999999989</v>
      </c>
      <c r="J39" s="62">
        <v>-1</v>
      </c>
      <c r="K39" s="62" t="e">
        <v>#DIV/0!</v>
      </c>
      <c r="L39" s="62">
        <v>-0.99999999999999989</v>
      </c>
      <c r="M39" s="62">
        <v>-1</v>
      </c>
      <c r="N39" s="62">
        <v>0.99999999999999989</v>
      </c>
      <c r="O39" s="62">
        <v>0.99999999999999978</v>
      </c>
      <c r="P39" s="62" t="e">
        <v>#DIV/0!</v>
      </c>
      <c r="Q39" s="62" t="e">
        <v>#DIV/0!</v>
      </c>
      <c r="R39" s="62">
        <v>-1</v>
      </c>
      <c r="S39" s="62" t="e">
        <v>#DIV/0!</v>
      </c>
      <c r="T39" s="62" t="e">
        <v>#DIV/0!</v>
      </c>
      <c r="U39" s="62" t="e">
        <v>#DIV/0!</v>
      </c>
      <c r="V39" s="62" t="e">
        <v>#DIV/0!</v>
      </c>
      <c r="W39" s="62" t="e">
        <v>#DIV/0!</v>
      </c>
      <c r="X39" s="62" t="e">
        <v>#DIV/0!</v>
      </c>
      <c r="Y39" s="62" t="e">
        <v>#DIV/0!</v>
      </c>
      <c r="Z39" s="62" t="e">
        <v>#DIV/0!</v>
      </c>
      <c r="AA39" s="62" t="e">
        <v>#DIV/0!</v>
      </c>
      <c r="AB39" s="62" t="e">
        <v>#DIV/0!</v>
      </c>
      <c r="AC39" s="62" t="e">
        <v>#DIV/0!</v>
      </c>
      <c r="AD39" s="62" t="e">
        <v>#DIV/0!</v>
      </c>
      <c r="AE39" s="62" t="e">
        <v>#DIV/0!</v>
      </c>
      <c r="AF39" s="62" t="e">
        <v>#DIV/0!</v>
      </c>
      <c r="AG39" s="62" t="e">
        <v>#DIV/0!</v>
      </c>
      <c r="AH39" s="62" t="e">
        <v>#DIV/0!</v>
      </c>
      <c r="AI39" s="62" t="e">
        <v>#DIV/0!</v>
      </c>
      <c r="AJ39" s="62">
        <v>0.99999999999999989</v>
      </c>
      <c r="AK39" s="62" t="e">
        <v>#DIV/0!</v>
      </c>
      <c r="AL39" s="62" t="e">
        <v>#DIV/0!</v>
      </c>
      <c r="AM39" s="62">
        <v>1</v>
      </c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</row>
    <row r="40" spans="1:84" x14ac:dyDescent="0.25">
      <c r="A40" s="61" t="s">
        <v>610</v>
      </c>
      <c r="B40" s="62" t="e">
        <v>#DIV/0!</v>
      </c>
      <c r="C40" s="62" t="e">
        <v>#DIV/0!</v>
      </c>
      <c r="D40" s="62" t="e">
        <v>#DIV/0!</v>
      </c>
      <c r="E40" s="62" t="e">
        <v>#DIV/0!</v>
      </c>
      <c r="F40" s="62" t="e">
        <v>#DIV/0!</v>
      </c>
      <c r="G40" s="62">
        <v>1</v>
      </c>
      <c r="H40" s="62">
        <v>1</v>
      </c>
      <c r="I40" s="62">
        <v>1</v>
      </c>
      <c r="J40" s="62">
        <v>-1</v>
      </c>
      <c r="K40" s="62" t="e">
        <v>#DIV/0!</v>
      </c>
      <c r="L40" s="62">
        <v>-1</v>
      </c>
      <c r="M40" s="62">
        <v>-1</v>
      </c>
      <c r="N40" s="62">
        <v>1</v>
      </c>
      <c r="O40" s="62">
        <v>1</v>
      </c>
      <c r="P40" s="62" t="e">
        <v>#DIV/0!</v>
      </c>
      <c r="Q40" s="62" t="e">
        <v>#DIV/0!</v>
      </c>
      <c r="R40" s="62">
        <v>-1</v>
      </c>
      <c r="S40" s="62" t="e">
        <v>#DIV/0!</v>
      </c>
      <c r="T40" s="62" t="e">
        <v>#DIV/0!</v>
      </c>
      <c r="U40" s="62" t="e">
        <v>#DIV/0!</v>
      </c>
      <c r="V40" s="62" t="e">
        <v>#DIV/0!</v>
      </c>
      <c r="W40" s="62" t="e">
        <v>#DIV/0!</v>
      </c>
      <c r="X40" s="62" t="e">
        <v>#DIV/0!</v>
      </c>
      <c r="Y40" s="62" t="e">
        <v>#DIV/0!</v>
      </c>
      <c r="Z40" s="62" t="e">
        <v>#DIV/0!</v>
      </c>
      <c r="AA40" s="62" t="e">
        <v>#DIV/0!</v>
      </c>
      <c r="AB40" s="62" t="e">
        <v>#DIV/0!</v>
      </c>
      <c r="AC40" s="62" t="e">
        <v>#DIV/0!</v>
      </c>
      <c r="AD40" s="62" t="e">
        <v>#DIV/0!</v>
      </c>
      <c r="AE40" s="62" t="e">
        <v>#DIV/0!</v>
      </c>
      <c r="AF40" s="62" t="e">
        <v>#DIV/0!</v>
      </c>
      <c r="AG40" s="62" t="e">
        <v>#DIV/0!</v>
      </c>
      <c r="AH40" s="62" t="e">
        <v>#DIV/0!</v>
      </c>
      <c r="AI40" s="62" t="e">
        <v>#DIV/0!</v>
      </c>
      <c r="AJ40" s="62">
        <v>1</v>
      </c>
      <c r="AK40" s="62" t="e">
        <v>#DIV/0!</v>
      </c>
      <c r="AL40" s="62" t="e">
        <v>#DIV/0!</v>
      </c>
      <c r="AM40" s="62">
        <v>0.99999999999999978</v>
      </c>
      <c r="AN40" s="62">
        <v>1</v>
      </c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</row>
    <row r="41" spans="1:84" x14ac:dyDescent="0.25">
      <c r="A41" s="61" t="s">
        <v>611</v>
      </c>
      <c r="B41" s="62" t="e">
        <v>#DIV/0!</v>
      </c>
      <c r="C41" s="62" t="e">
        <v>#DIV/0!</v>
      </c>
      <c r="D41" s="62" t="e">
        <v>#DIV/0!</v>
      </c>
      <c r="E41" s="62" t="e">
        <v>#DIV/0!</v>
      </c>
      <c r="F41" s="62" t="e">
        <v>#DIV/0!</v>
      </c>
      <c r="G41" s="62">
        <v>0.56229188388819995</v>
      </c>
      <c r="H41" s="62">
        <v>0.78822145795286391</v>
      </c>
      <c r="I41" s="62">
        <v>0.79992932463336297</v>
      </c>
      <c r="J41" s="62">
        <v>-0.41865003743274182</v>
      </c>
      <c r="K41" s="62">
        <v>0.56226012340937748</v>
      </c>
      <c r="L41" s="62">
        <v>-0.74500389408723222</v>
      </c>
      <c r="M41" s="62">
        <v>-0.44778260235674999</v>
      </c>
      <c r="N41" s="62">
        <v>0.55904037608203616</v>
      </c>
      <c r="O41" s="62">
        <v>0.70310921452487618</v>
      </c>
      <c r="P41" s="62">
        <v>0.9332021765001427</v>
      </c>
      <c r="Q41" s="62" t="e">
        <v>#DIV/0!</v>
      </c>
      <c r="R41" s="62">
        <v>-0.80132877836794869</v>
      </c>
      <c r="S41" s="62" t="e">
        <v>#DIV/0!</v>
      </c>
      <c r="T41" s="62" t="e">
        <v>#DIV/0!</v>
      </c>
      <c r="U41" s="62" t="e">
        <v>#DIV/0!</v>
      </c>
      <c r="V41" s="62" t="e">
        <v>#DIV/0!</v>
      </c>
      <c r="W41" s="62">
        <v>-0.39081966069216562</v>
      </c>
      <c r="X41" s="62" t="e">
        <v>#DIV/0!</v>
      </c>
      <c r="Y41" s="62" t="e">
        <v>#DIV/0!</v>
      </c>
      <c r="Z41" s="62" t="e">
        <v>#DIV/0!</v>
      </c>
      <c r="AA41" s="62" t="e">
        <v>#DIV/0!</v>
      </c>
      <c r="AB41" s="62" t="e">
        <v>#DIV/0!</v>
      </c>
      <c r="AC41" s="62" t="e">
        <v>#DIV/0!</v>
      </c>
      <c r="AD41" s="62" t="e">
        <v>#DIV/0!</v>
      </c>
      <c r="AE41" s="62" t="e">
        <v>#DIV/0!</v>
      </c>
      <c r="AF41" s="62" t="e">
        <v>#DIV/0!</v>
      </c>
      <c r="AG41" s="62" t="e">
        <v>#DIV/0!</v>
      </c>
      <c r="AH41" s="62" t="e">
        <v>#DIV/0!</v>
      </c>
      <c r="AI41" s="62" t="e">
        <v>#DIV/0!</v>
      </c>
      <c r="AJ41" s="62">
        <v>0.62132280408942142</v>
      </c>
      <c r="AK41" s="62">
        <v>-0.66866351888243403</v>
      </c>
      <c r="AL41" s="62" t="e">
        <v>#DIV/0!</v>
      </c>
      <c r="AM41" s="62">
        <v>0.99999999999999978</v>
      </c>
      <c r="AN41" s="62">
        <v>1</v>
      </c>
      <c r="AO41" s="62">
        <v>1</v>
      </c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</row>
    <row r="42" spans="1:84" x14ac:dyDescent="0.25">
      <c r="A42" s="61" t="s">
        <v>612</v>
      </c>
      <c r="B42" s="62">
        <v>-0.39617934342937977</v>
      </c>
      <c r="C42" s="62">
        <v>-0.33500075524137463</v>
      </c>
      <c r="D42" s="62">
        <v>-0.3629275633345041</v>
      </c>
      <c r="E42" s="62">
        <v>-0.37914287693023302</v>
      </c>
      <c r="F42" s="62">
        <v>-0.11388814215870055</v>
      </c>
      <c r="G42" s="62">
        <v>0.33730803644968227</v>
      </c>
      <c r="H42" s="62">
        <v>-0.26139677847857451</v>
      </c>
      <c r="I42" s="62">
        <v>-0.25735001246974393</v>
      </c>
      <c r="J42" s="62">
        <v>0.27647424524085207</v>
      </c>
      <c r="K42" s="62">
        <v>0.26829606730431632</v>
      </c>
      <c r="L42" s="62">
        <v>-9.3329438729776351E-2</v>
      </c>
      <c r="M42" s="62">
        <v>9.2238854626813888E-2</v>
      </c>
      <c r="N42" s="62">
        <v>-2.246927560755136E-2</v>
      </c>
      <c r="O42" s="62">
        <v>0.19429287741504575</v>
      </c>
      <c r="P42" s="62">
        <v>-0.92477726454834352</v>
      </c>
      <c r="Q42" s="62">
        <v>-0.9212118864772284</v>
      </c>
      <c r="R42" s="62">
        <v>0.31749898246360037</v>
      </c>
      <c r="S42" s="62">
        <v>-0.34404380867335371</v>
      </c>
      <c r="T42" s="62" t="e">
        <v>#DIV/0!</v>
      </c>
      <c r="U42" s="62" t="e">
        <v>#DIV/0!</v>
      </c>
      <c r="V42" s="62">
        <v>-0.62611261229823878</v>
      </c>
      <c r="W42" s="62">
        <v>0.41167861957018964</v>
      </c>
      <c r="X42" s="62">
        <v>-0.84310616061845522</v>
      </c>
      <c r="Y42" s="62">
        <v>-0.25204997310522104</v>
      </c>
      <c r="Z42" s="62">
        <v>-0.76405794414899897</v>
      </c>
      <c r="AA42" s="62">
        <v>-6.8214450033510135E-2</v>
      </c>
      <c r="AB42" s="62">
        <v>-0.63751676714480521</v>
      </c>
      <c r="AC42" s="62">
        <v>-0.71776250687757071</v>
      </c>
      <c r="AD42" s="62">
        <v>0.81546213870659268</v>
      </c>
      <c r="AE42" s="62" t="e">
        <v>#DIV/0!</v>
      </c>
      <c r="AF42" s="62" t="e">
        <v>#DIV/0!</v>
      </c>
      <c r="AG42" s="62" t="e">
        <v>#DIV/0!</v>
      </c>
      <c r="AH42" s="62" t="e">
        <v>#DIV/0!</v>
      </c>
      <c r="AI42" s="62" t="e">
        <v>#DIV/0!</v>
      </c>
      <c r="AJ42" s="62">
        <v>0.95577228001682057</v>
      </c>
      <c r="AK42" s="62">
        <v>0.6854221287496145</v>
      </c>
      <c r="AL42" s="62" t="e">
        <v>#DIV/0!</v>
      </c>
      <c r="AM42" s="62" t="e">
        <v>#DIV/0!</v>
      </c>
      <c r="AN42" s="62" t="e">
        <v>#DIV/0!</v>
      </c>
      <c r="AO42" s="62">
        <v>0.40261097247465094</v>
      </c>
      <c r="AP42" s="62">
        <v>1</v>
      </c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</row>
    <row r="43" spans="1:84" x14ac:dyDescent="0.25">
      <c r="A43" s="61" t="s">
        <v>613</v>
      </c>
      <c r="B43" s="62">
        <v>-6.3143399922098664E-2</v>
      </c>
      <c r="C43" s="62">
        <v>4.1485694715311661E-3</v>
      </c>
      <c r="D43" s="62">
        <v>-5.3159371135933248E-2</v>
      </c>
      <c r="E43" s="62">
        <v>4.96138468204078E-2</v>
      </c>
      <c r="F43" s="62">
        <v>-0.26764498371138939</v>
      </c>
      <c r="G43" s="62">
        <v>-0.40274187691835811</v>
      </c>
      <c r="H43" s="62">
        <v>7.4732932897535756E-2</v>
      </c>
      <c r="I43" s="62">
        <v>7.2538403118663441E-2</v>
      </c>
      <c r="J43" s="62">
        <v>-0.44312368736231994</v>
      </c>
      <c r="K43" s="62">
        <v>-0.42678101700806559</v>
      </c>
      <c r="L43" s="62">
        <v>-0.18124023390616653</v>
      </c>
      <c r="M43" s="62">
        <v>-0.50123977913542728</v>
      </c>
      <c r="N43" s="62">
        <v>0.38843884908610482</v>
      </c>
      <c r="O43" s="62">
        <v>0.20675881468090299</v>
      </c>
      <c r="P43" s="62">
        <v>-0.39382288838828028</v>
      </c>
      <c r="Q43" s="62">
        <v>0.86828701752997273</v>
      </c>
      <c r="R43" s="62">
        <v>0.21217409131984361</v>
      </c>
      <c r="S43" s="62">
        <v>-0.39989513775440694</v>
      </c>
      <c r="T43" s="62">
        <v>-0.4999999999999985</v>
      </c>
      <c r="U43" s="62">
        <v>0.23202215756770542</v>
      </c>
      <c r="V43" s="62">
        <v>-0.28266011317071876</v>
      </c>
      <c r="W43" s="62">
        <v>0.93202392471295348</v>
      </c>
      <c r="X43" s="62">
        <v>3.107060236495349E-2</v>
      </c>
      <c r="Y43" s="62">
        <v>0.65873762337894781</v>
      </c>
      <c r="Z43" s="62">
        <v>0.15387875775158119</v>
      </c>
      <c r="AA43" s="62">
        <v>-0.87252962745572904</v>
      </c>
      <c r="AB43" s="62">
        <v>0.40145908926851104</v>
      </c>
      <c r="AC43" s="62">
        <v>-0.2208281486192307</v>
      </c>
      <c r="AD43" s="62">
        <v>-0.43057362007268629</v>
      </c>
      <c r="AE43" s="62" t="e">
        <v>#DIV/0!</v>
      </c>
      <c r="AF43" s="62" t="e">
        <v>#DIV/0!</v>
      </c>
      <c r="AG43" s="62" t="e">
        <v>#DIV/0!</v>
      </c>
      <c r="AH43" s="62" t="e">
        <v>#DIV/0!</v>
      </c>
      <c r="AI43" s="62" t="e">
        <v>#DIV/0!</v>
      </c>
      <c r="AJ43" s="62">
        <v>-0.53947561202106409</v>
      </c>
      <c r="AK43" s="62">
        <v>0.99920209938461169</v>
      </c>
      <c r="AL43" s="62" t="e">
        <v>#DIV/0!</v>
      </c>
      <c r="AM43" s="62" t="e">
        <v>#DIV/0!</v>
      </c>
      <c r="AN43" s="62" t="e">
        <v>#DIV/0!</v>
      </c>
      <c r="AO43" s="62">
        <v>-0.78333870180722809</v>
      </c>
      <c r="AP43" s="62">
        <v>-0.35769391676481249</v>
      </c>
      <c r="AQ43" s="62">
        <v>1</v>
      </c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</row>
    <row r="44" spans="1:84" x14ac:dyDescent="0.25">
      <c r="A44" s="61" t="s">
        <v>614</v>
      </c>
      <c r="B44" s="62">
        <v>-0.27603220496520198</v>
      </c>
      <c r="C44" s="62">
        <v>-0.14559849089755647</v>
      </c>
      <c r="D44" s="62">
        <v>-0.3901435824275597</v>
      </c>
      <c r="E44" s="62">
        <v>6.5058514582830643E-2</v>
      </c>
      <c r="F44" s="62">
        <v>-0.32885645475152481</v>
      </c>
      <c r="G44" s="62">
        <v>-0.18964312516505835</v>
      </c>
      <c r="H44" s="62">
        <v>-0.2518489256131784</v>
      </c>
      <c r="I44" s="62">
        <v>-0.25307343700561996</v>
      </c>
      <c r="J44" s="62">
        <v>-0.21670091927378657</v>
      </c>
      <c r="K44" s="62">
        <v>-9.9535868690422552E-2</v>
      </c>
      <c r="L44" s="62">
        <v>-3.5167412640391443E-2</v>
      </c>
      <c r="M44" s="62">
        <v>-0.42768257051941372</v>
      </c>
      <c r="N44" s="62">
        <v>0.1377390652297191</v>
      </c>
      <c r="O44" s="62">
        <v>3.2173524544837857E-2</v>
      </c>
      <c r="P44" s="62" t="e">
        <v>#DIV/0!</v>
      </c>
      <c r="Q44" s="62">
        <v>0.80193851748738332</v>
      </c>
      <c r="R44" s="62">
        <v>0.34850706293562139</v>
      </c>
      <c r="S44" s="62">
        <v>-0.12321079001428495</v>
      </c>
      <c r="T44" s="62">
        <v>0.70047279691577924</v>
      </c>
      <c r="U44" s="62">
        <v>0.99931625364872179</v>
      </c>
      <c r="V44" s="62">
        <v>-0.39804052072902574</v>
      </c>
      <c r="W44" s="62" t="e">
        <v>#DIV/0!</v>
      </c>
      <c r="X44" s="62">
        <v>-0.31670794903203392</v>
      </c>
      <c r="Y44" s="62">
        <v>-0.10467915570883926</v>
      </c>
      <c r="Z44" s="62">
        <v>-0.65480828771539001</v>
      </c>
      <c r="AA44" s="62">
        <v>-0.70129558141447823</v>
      </c>
      <c r="AB44" s="62">
        <v>-1</v>
      </c>
      <c r="AC44" s="62">
        <v>-1.0000000000000002</v>
      </c>
      <c r="AD44" s="62">
        <v>0.99999999999999978</v>
      </c>
      <c r="AE44" s="62" t="e">
        <v>#DIV/0!</v>
      </c>
      <c r="AF44" s="62" t="e">
        <v>#DIV/0!</v>
      </c>
      <c r="AG44" s="62" t="e">
        <v>#DIV/0!</v>
      </c>
      <c r="AH44" s="62" t="e">
        <v>#DIV/0!</v>
      </c>
      <c r="AI44" s="62" t="e">
        <v>#DIV/0!</v>
      </c>
      <c r="AJ44" s="62" t="e">
        <v>#DIV/0!</v>
      </c>
      <c r="AK44" s="62" t="e">
        <v>#DIV/0!</v>
      </c>
      <c r="AL44" s="62" t="e">
        <v>#DIV/0!</v>
      </c>
      <c r="AM44" s="62" t="e">
        <v>#DIV/0!</v>
      </c>
      <c r="AN44" s="62" t="e">
        <v>#DIV/0!</v>
      </c>
      <c r="AO44" s="62" t="e">
        <v>#DIV/0!</v>
      </c>
      <c r="AP44" s="62">
        <v>-0.1056513899667868</v>
      </c>
      <c r="AQ44" s="62">
        <v>0.91912972283391592</v>
      </c>
      <c r="AR44" s="62">
        <v>1</v>
      </c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</row>
    <row r="45" spans="1:84" x14ac:dyDescent="0.25">
      <c r="A45" s="61" t="s">
        <v>615</v>
      </c>
      <c r="B45" s="62">
        <v>-0.31268520814988232</v>
      </c>
      <c r="C45" s="62">
        <v>-0.27094308206682438</v>
      </c>
      <c r="D45" s="62">
        <v>-0.32596233502909644</v>
      </c>
      <c r="E45" s="62">
        <v>-0.23872637922506001</v>
      </c>
      <c r="F45" s="62">
        <v>-0.17474906488387207</v>
      </c>
      <c r="G45" s="62">
        <v>-0.1978879645971256</v>
      </c>
      <c r="H45" s="62">
        <v>-0.16744218782742665</v>
      </c>
      <c r="I45" s="62">
        <v>-0.16797254734063211</v>
      </c>
      <c r="J45" s="62">
        <v>-0.23157600027949166</v>
      </c>
      <c r="K45" s="62">
        <v>-0.27436276314911484</v>
      </c>
      <c r="L45" s="62">
        <v>-0.32369010238470064</v>
      </c>
      <c r="M45" s="62">
        <v>-0.44270256118985646</v>
      </c>
      <c r="N45" s="62">
        <v>0.37477053134256333</v>
      </c>
      <c r="O45" s="62">
        <v>0.30054549120632734</v>
      </c>
      <c r="P45" s="62">
        <v>-0.80479876577108278</v>
      </c>
      <c r="Q45" s="62">
        <v>0.45319374858168193</v>
      </c>
      <c r="R45" s="62">
        <v>0.56828355977803369</v>
      </c>
      <c r="S45" s="62">
        <v>-0.45080081914774595</v>
      </c>
      <c r="T45" s="62" t="e">
        <v>#DIV/0!</v>
      </c>
      <c r="U45" s="62" t="e">
        <v>#DIV/0!</v>
      </c>
      <c r="V45" s="62">
        <v>-0.6534971568068717</v>
      </c>
      <c r="W45" s="62">
        <v>0.62052240883657017</v>
      </c>
      <c r="X45" s="62">
        <v>-0.54957421295449549</v>
      </c>
      <c r="Y45" s="62">
        <v>0.26924278959861558</v>
      </c>
      <c r="Z45" s="62">
        <v>-0.49681130810177715</v>
      </c>
      <c r="AA45" s="62">
        <v>-0.73954333892284552</v>
      </c>
      <c r="AB45" s="62">
        <v>-4.6522755036322236E-2</v>
      </c>
      <c r="AC45" s="62">
        <v>-0.77816690744903505</v>
      </c>
      <c r="AD45" s="62">
        <v>0.15077146375593473</v>
      </c>
      <c r="AE45" s="62" t="e">
        <v>#DIV/0!</v>
      </c>
      <c r="AF45" s="62" t="e">
        <v>#DIV/0!</v>
      </c>
      <c r="AG45" s="62" t="e">
        <v>#DIV/0!</v>
      </c>
      <c r="AH45" s="62" t="e">
        <v>#DIV/0!</v>
      </c>
      <c r="AI45" s="62" t="e">
        <v>#DIV/0!</v>
      </c>
      <c r="AJ45" s="62">
        <v>0.85803715458860141</v>
      </c>
      <c r="AK45" s="62">
        <v>0.84163127315348218</v>
      </c>
      <c r="AL45" s="62" t="e">
        <v>#DIV/0!</v>
      </c>
      <c r="AM45" s="62" t="e">
        <v>#DIV/0!</v>
      </c>
      <c r="AN45" s="62" t="e">
        <v>#DIV/0!</v>
      </c>
      <c r="AO45" s="62">
        <v>-0.34802231614750412</v>
      </c>
      <c r="AP45" s="62">
        <v>0.40097824884620653</v>
      </c>
      <c r="AQ45" s="62">
        <v>0.66179491940500945</v>
      </c>
      <c r="AR45" s="62">
        <v>0.85333542488279412</v>
      </c>
      <c r="AS45" s="62">
        <v>1</v>
      </c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</row>
    <row r="46" spans="1:84" x14ac:dyDescent="0.25">
      <c r="A46" s="61" t="s">
        <v>616</v>
      </c>
      <c r="B46" s="62">
        <v>-0.4690947844576025</v>
      </c>
      <c r="C46" s="62" t="e">
        <v>#DIV/0!</v>
      </c>
      <c r="D46" s="62" t="e">
        <v>#DIV/0!</v>
      </c>
      <c r="E46" s="62">
        <v>-0.4690947844576025</v>
      </c>
      <c r="F46" s="62" t="e">
        <v>#DIV/0!</v>
      </c>
      <c r="G46" s="62">
        <v>-0.4690947844576025</v>
      </c>
      <c r="H46" s="62" t="e">
        <v>#DIV/0!</v>
      </c>
      <c r="I46" s="62" t="e">
        <v>#DIV/0!</v>
      </c>
      <c r="J46" s="62" t="e">
        <v>#DIV/0!</v>
      </c>
      <c r="K46" s="62" t="e">
        <v>#DIV/0!</v>
      </c>
      <c r="L46" s="62" t="e">
        <v>#DIV/0!</v>
      </c>
      <c r="M46" s="62" t="e">
        <v>#DIV/0!</v>
      </c>
      <c r="N46" s="62" t="e">
        <v>#DIV/0!</v>
      </c>
      <c r="O46" s="62" t="e">
        <v>#DIV/0!</v>
      </c>
      <c r="P46" s="62" t="e">
        <v>#DIV/0!</v>
      </c>
      <c r="Q46" s="62" t="e">
        <v>#DIV/0!</v>
      </c>
      <c r="R46" s="62" t="e">
        <v>#DIV/0!</v>
      </c>
      <c r="S46" s="62" t="e">
        <v>#DIV/0!</v>
      </c>
      <c r="T46" s="62" t="e">
        <v>#DIV/0!</v>
      </c>
      <c r="U46" s="62" t="e">
        <v>#DIV/0!</v>
      </c>
      <c r="V46" s="62" t="e">
        <v>#DIV/0!</v>
      </c>
      <c r="W46" s="62" t="e">
        <v>#DIV/0!</v>
      </c>
      <c r="X46" s="62" t="e">
        <v>#DIV/0!</v>
      </c>
      <c r="Y46" s="62" t="e">
        <v>#DIV/0!</v>
      </c>
      <c r="Z46" s="62" t="e">
        <v>#DIV/0!</v>
      </c>
      <c r="AA46" s="62" t="e">
        <v>#DIV/0!</v>
      </c>
      <c r="AB46" s="62" t="e">
        <v>#DIV/0!</v>
      </c>
      <c r="AC46" s="62" t="e">
        <v>#DIV/0!</v>
      </c>
      <c r="AD46" s="62" t="e">
        <v>#DIV/0!</v>
      </c>
      <c r="AE46" s="62" t="e">
        <v>#DIV/0!</v>
      </c>
      <c r="AF46" s="62" t="e">
        <v>#DIV/0!</v>
      </c>
      <c r="AG46" s="62" t="e">
        <v>#DIV/0!</v>
      </c>
      <c r="AH46" s="62" t="e">
        <v>#DIV/0!</v>
      </c>
      <c r="AI46" s="62" t="e">
        <v>#DIV/0!</v>
      </c>
      <c r="AJ46" s="62" t="e">
        <v>#DIV/0!</v>
      </c>
      <c r="AK46" s="62" t="e">
        <v>#DIV/0!</v>
      </c>
      <c r="AL46" s="62" t="e">
        <v>#DIV/0!</v>
      </c>
      <c r="AM46" s="62" t="e">
        <v>#DIV/0!</v>
      </c>
      <c r="AN46" s="62" t="e">
        <v>#DIV/0!</v>
      </c>
      <c r="AO46" s="62" t="e">
        <v>#DIV/0!</v>
      </c>
      <c r="AP46" s="62">
        <v>0.56272896392273608</v>
      </c>
      <c r="AQ46" s="62">
        <v>-0.99352031547770048</v>
      </c>
      <c r="AR46" s="62">
        <v>-0.99417212452477854</v>
      </c>
      <c r="AS46" s="62">
        <v>-0.83080229518715454</v>
      </c>
      <c r="AT46" s="62">
        <v>1</v>
      </c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</row>
    <row r="47" spans="1:84" x14ac:dyDescent="0.25">
      <c r="A47" s="61" t="s">
        <v>617</v>
      </c>
      <c r="B47" s="62">
        <v>-0.18639056947315077</v>
      </c>
      <c r="C47" s="62" t="e">
        <v>#DIV/0!</v>
      </c>
      <c r="D47" s="62" t="e">
        <v>#DIV/0!</v>
      </c>
      <c r="E47" s="62">
        <v>-0.18639056947315077</v>
      </c>
      <c r="F47" s="62" t="e">
        <v>#DIV/0!</v>
      </c>
      <c r="G47" s="62">
        <v>-0.18639056947315077</v>
      </c>
      <c r="H47" s="62">
        <v>-0.87569582395932144</v>
      </c>
      <c r="I47" s="62">
        <v>-0.87355552215008225</v>
      </c>
      <c r="J47" s="62">
        <v>-0.91527683684487338</v>
      </c>
      <c r="K47" s="62">
        <v>0.97964335916691903</v>
      </c>
      <c r="L47" s="62">
        <v>-0.76228392668684974</v>
      </c>
      <c r="M47" s="62">
        <v>-0.85683118407622494</v>
      </c>
      <c r="N47" s="62">
        <v>0.62444314967352277</v>
      </c>
      <c r="O47" s="62">
        <v>0.6927179269401349</v>
      </c>
      <c r="P47" s="62" t="e">
        <v>#DIV/0!</v>
      </c>
      <c r="Q47" s="62" t="e">
        <v>#DIV/0!</v>
      </c>
      <c r="R47" s="62" t="e">
        <v>#DIV/0!</v>
      </c>
      <c r="S47" s="62" t="e">
        <v>#DIV/0!</v>
      </c>
      <c r="T47" s="62" t="e">
        <v>#DIV/0!</v>
      </c>
      <c r="U47" s="62" t="e">
        <v>#DIV/0!</v>
      </c>
      <c r="V47" s="62" t="e">
        <v>#DIV/0!</v>
      </c>
      <c r="W47" s="62" t="e">
        <v>#DIV/0!</v>
      </c>
      <c r="X47" s="62" t="e">
        <v>#DIV/0!</v>
      </c>
      <c r="Y47" s="62" t="e">
        <v>#DIV/0!</v>
      </c>
      <c r="Z47" s="62" t="e">
        <v>#DIV/0!</v>
      </c>
      <c r="AA47" s="62" t="e">
        <v>#DIV/0!</v>
      </c>
      <c r="AB47" s="62" t="e">
        <v>#DIV/0!</v>
      </c>
      <c r="AC47" s="62" t="e">
        <v>#DIV/0!</v>
      </c>
      <c r="AD47" s="62" t="e">
        <v>#DIV/0!</v>
      </c>
      <c r="AE47" s="62" t="e">
        <v>#DIV/0!</v>
      </c>
      <c r="AF47" s="62" t="e">
        <v>#DIV/0!</v>
      </c>
      <c r="AG47" s="62" t="e">
        <v>#DIV/0!</v>
      </c>
      <c r="AH47" s="62" t="e">
        <v>#DIV/0!</v>
      </c>
      <c r="AI47" s="62" t="e">
        <v>#DIV/0!</v>
      </c>
      <c r="AJ47" s="62" t="e">
        <v>#DIV/0!</v>
      </c>
      <c r="AK47" s="62" t="e">
        <v>#DIV/0!</v>
      </c>
      <c r="AL47" s="62" t="e">
        <v>#DIV/0!</v>
      </c>
      <c r="AM47" s="62" t="e">
        <v>#DIV/0!</v>
      </c>
      <c r="AN47" s="62" t="e">
        <v>#DIV/0!</v>
      </c>
      <c r="AO47" s="62" t="e">
        <v>#DIV/0!</v>
      </c>
      <c r="AP47" s="62">
        <v>0.50662003048300386</v>
      </c>
      <c r="AQ47" s="62">
        <v>0.19886567567688981</v>
      </c>
      <c r="AR47" s="62">
        <v>0.49630236602497674</v>
      </c>
      <c r="AS47" s="62">
        <v>0.32912449374741193</v>
      </c>
      <c r="AT47" s="62">
        <v>-0.79313214701886392</v>
      </c>
      <c r="AU47" s="62">
        <v>1</v>
      </c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</row>
    <row r="48" spans="1:84" x14ac:dyDescent="0.25">
      <c r="A48" s="61" t="s">
        <v>618</v>
      </c>
      <c r="B48" s="62">
        <v>0.65144078949150308</v>
      </c>
      <c r="C48" s="62">
        <v>0.78130644703386543</v>
      </c>
      <c r="D48" s="62">
        <v>0.8667695034023708</v>
      </c>
      <c r="E48" s="62">
        <v>0.65144078949150308</v>
      </c>
      <c r="F48" s="62" t="e">
        <v>#DIV/0!</v>
      </c>
      <c r="G48" s="62">
        <v>-0.2637227380256818</v>
      </c>
      <c r="H48" s="62">
        <v>-0.86676950340237069</v>
      </c>
      <c r="I48" s="62">
        <v>-0.86676950340237058</v>
      </c>
      <c r="J48" s="62">
        <v>-0.86676950340237069</v>
      </c>
      <c r="K48" s="62" t="e">
        <v>#DIV/0!</v>
      </c>
      <c r="L48" s="62">
        <v>-0.86676950340237058</v>
      </c>
      <c r="M48" s="62" t="e">
        <v>#DIV/0!</v>
      </c>
      <c r="N48" s="62" t="e">
        <v>#DIV/0!</v>
      </c>
      <c r="O48" s="62" t="e">
        <v>#DIV/0!</v>
      </c>
      <c r="P48" s="62" t="e">
        <v>#DIV/0!</v>
      </c>
      <c r="Q48" s="62" t="e">
        <v>#DIV/0!</v>
      </c>
      <c r="R48" s="62" t="e">
        <v>#DIV/0!</v>
      </c>
      <c r="S48" s="62" t="e">
        <v>#DIV/0!</v>
      </c>
      <c r="T48" s="62" t="e">
        <v>#DIV/0!</v>
      </c>
      <c r="U48" s="62" t="e">
        <v>#DIV/0!</v>
      </c>
      <c r="V48" s="62" t="e">
        <v>#DIV/0!</v>
      </c>
      <c r="W48" s="62" t="e">
        <v>#DIV/0!</v>
      </c>
      <c r="X48" s="62" t="e">
        <v>#DIV/0!</v>
      </c>
      <c r="Y48" s="62" t="e">
        <v>#DIV/0!</v>
      </c>
      <c r="Z48" s="62" t="e">
        <v>#DIV/0!</v>
      </c>
      <c r="AA48" s="62" t="e">
        <v>#DIV/0!</v>
      </c>
      <c r="AB48" s="62" t="e">
        <v>#DIV/0!</v>
      </c>
      <c r="AC48" s="62" t="e">
        <v>#DIV/0!</v>
      </c>
      <c r="AD48" s="62" t="e">
        <v>#DIV/0!</v>
      </c>
      <c r="AE48" s="62" t="e">
        <v>#DIV/0!</v>
      </c>
      <c r="AF48" s="62" t="e">
        <v>#DIV/0!</v>
      </c>
      <c r="AG48" s="62" t="e">
        <v>#DIV/0!</v>
      </c>
      <c r="AH48" s="62" t="e">
        <v>#DIV/0!</v>
      </c>
      <c r="AI48" s="62" t="e">
        <v>#DIV/0!</v>
      </c>
      <c r="AJ48" s="62" t="e">
        <v>#DIV/0!</v>
      </c>
      <c r="AK48" s="62" t="e">
        <v>#DIV/0!</v>
      </c>
      <c r="AL48" s="62" t="e">
        <v>#DIV/0!</v>
      </c>
      <c r="AM48" s="62" t="e">
        <v>#DIV/0!</v>
      </c>
      <c r="AN48" s="62" t="e">
        <v>#DIV/0!</v>
      </c>
      <c r="AO48" s="62" t="e">
        <v>#DIV/0!</v>
      </c>
      <c r="AP48" s="62">
        <v>-0.62068513801956227</v>
      </c>
      <c r="AQ48" s="62">
        <v>0.94179394748828782</v>
      </c>
      <c r="AR48" s="62">
        <v>0.99269396607518201</v>
      </c>
      <c r="AS48" s="62">
        <v>0.93544504864123856</v>
      </c>
      <c r="AT48" s="62">
        <v>-0.97390105655218995</v>
      </c>
      <c r="AU48" s="62">
        <v>0.63419443877324777</v>
      </c>
      <c r="AV48" s="62">
        <v>1</v>
      </c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</row>
    <row r="49" spans="1:84" x14ac:dyDescent="0.25">
      <c r="A49" s="61" t="s">
        <v>619</v>
      </c>
      <c r="B49" s="62">
        <v>0.15570571275050707</v>
      </c>
      <c r="C49" s="62">
        <v>0.23093727339442865</v>
      </c>
      <c r="D49" s="62">
        <v>0.15570571275050707</v>
      </c>
      <c r="E49" s="62">
        <v>-6.1419487604907463E-3</v>
      </c>
      <c r="F49" s="62">
        <v>-1.5243915933616627E-2</v>
      </c>
      <c r="G49" s="62">
        <v>-6.7508770563156545E-2</v>
      </c>
      <c r="H49" s="62">
        <v>0.23236490678531962</v>
      </c>
      <c r="I49" s="62">
        <v>0.23503315590894314</v>
      </c>
      <c r="J49" s="62">
        <v>0.26806540662642703</v>
      </c>
      <c r="K49" s="62">
        <v>-8.9398313347733516E-2</v>
      </c>
      <c r="L49" s="62">
        <v>0.42624985325585851</v>
      </c>
      <c r="M49" s="62">
        <v>0.46064874182970306</v>
      </c>
      <c r="N49" s="62">
        <v>-3.2782975457046788E-2</v>
      </c>
      <c r="O49" s="62">
        <v>-0.25801356640381301</v>
      </c>
      <c r="P49" s="62" t="e">
        <v>#DIV/0!</v>
      </c>
      <c r="Q49" s="62">
        <v>1</v>
      </c>
      <c r="R49" s="62">
        <v>-0.93764521259624356</v>
      </c>
      <c r="S49" s="62">
        <v>1</v>
      </c>
      <c r="T49" s="62" t="e">
        <v>#DIV/0!</v>
      </c>
      <c r="U49" s="62" t="e">
        <v>#DIV/0!</v>
      </c>
      <c r="V49" s="62">
        <v>1</v>
      </c>
      <c r="W49" s="62" t="e">
        <v>#DIV/0!</v>
      </c>
      <c r="X49" s="62">
        <v>1</v>
      </c>
      <c r="Y49" s="62">
        <v>-1</v>
      </c>
      <c r="Z49" s="62">
        <v>-1</v>
      </c>
      <c r="AA49" s="62">
        <v>-1</v>
      </c>
      <c r="AB49" s="62">
        <v>-1</v>
      </c>
      <c r="AC49" s="62">
        <v>-1</v>
      </c>
      <c r="AD49" s="62">
        <v>1.0000000000000002</v>
      </c>
      <c r="AE49" s="62" t="e">
        <v>#DIV/0!</v>
      </c>
      <c r="AF49" s="62" t="e">
        <v>#DIV/0!</v>
      </c>
      <c r="AG49" s="62" t="e">
        <v>#DIV/0!</v>
      </c>
      <c r="AH49" s="62" t="e">
        <v>#DIV/0!</v>
      </c>
      <c r="AI49" s="62" t="e">
        <v>#DIV/0!</v>
      </c>
      <c r="AJ49" s="62" t="e">
        <v>#DIV/0!</v>
      </c>
      <c r="AK49" s="62" t="e">
        <v>#DIV/0!</v>
      </c>
      <c r="AL49" s="62" t="e">
        <v>#DIV/0!</v>
      </c>
      <c r="AM49" s="62" t="e">
        <v>#DIV/0!</v>
      </c>
      <c r="AN49" s="62" t="e">
        <v>#DIV/0!</v>
      </c>
      <c r="AO49" s="62" t="e">
        <v>#DIV/0!</v>
      </c>
      <c r="AP49" s="62">
        <v>-0.45282115253802285</v>
      </c>
      <c r="AQ49" s="62">
        <v>-0.1350213107944295</v>
      </c>
      <c r="AR49" s="62">
        <v>0.12633199582898738</v>
      </c>
      <c r="AS49" s="62">
        <v>-0.46931312529863861</v>
      </c>
      <c r="AT49" s="62" t="e">
        <v>#DIV/0!</v>
      </c>
      <c r="AU49" s="62" t="e">
        <v>#DIV/0!</v>
      </c>
      <c r="AV49" s="62" t="e">
        <v>#DIV/0!</v>
      </c>
      <c r="AW49" s="62">
        <v>1</v>
      </c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</row>
    <row r="50" spans="1:84" x14ac:dyDescent="0.25">
      <c r="A50" s="61" t="s">
        <v>620</v>
      </c>
      <c r="B50" s="62">
        <v>2.6022549986817158E-2</v>
      </c>
      <c r="C50" s="62">
        <v>-0.17221758882676932</v>
      </c>
      <c r="D50" s="62">
        <v>2.6022549986817158E-2</v>
      </c>
      <c r="E50" s="62">
        <v>0.27375304021974994</v>
      </c>
      <c r="F50" s="62">
        <v>0.11635560567354021</v>
      </c>
      <c r="G50" s="62">
        <v>0.12464304197507514</v>
      </c>
      <c r="H50" s="62">
        <v>-8.1686245808070226E-2</v>
      </c>
      <c r="I50" s="62">
        <v>-7.1605533812866703E-2</v>
      </c>
      <c r="J50" s="62">
        <v>7.9988018486353424E-2</v>
      </c>
      <c r="K50" s="62">
        <v>0.16315048771872362</v>
      </c>
      <c r="L50" s="62">
        <v>-0.34349452632998317</v>
      </c>
      <c r="M50" s="62">
        <v>-9.4556575120489594E-2</v>
      </c>
      <c r="N50" s="62">
        <v>0.33427508852003301</v>
      </c>
      <c r="O50" s="62">
        <v>0.2638224674527615</v>
      </c>
      <c r="P50" s="62" t="e">
        <v>#DIV/0!</v>
      </c>
      <c r="Q50" s="62">
        <v>1</v>
      </c>
      <c r="R50" s="62">
        <v>0.96699672570897111</v>
      </c>
      <c r="S50" s="62">
        <v>1</v>
      </c>
      <c r="T50" s="62" t="e">
        <v>#DIV/0!</v>
      </c>
      <c r="U50" s="62" t="e">
        <v>#DIV/0!</v>
      </c>
      <c r="V50" s="62">
        <v>1</v>
      </c>
      <c r="W50" s="62" t="e">
        <v>#DIV/0!</v>
      </c>
      <c r="X50" s="62">
        <v>0.99999999999999978</v>
      </c>
      <c r="Y50" s="62">
        <v>-1</v>
      </c>
      <c r="Z50" s="62">
        <v>-1</v>
      </c>
      <c r="AA50" s="62">
        <v>-1</v>
      </c>
      <c r="AB50" s="62">
        <v>-1</v>
      </c>
      <c r="AC50" s="62">
        <v>-1</v>
      </c>
      <c r="AD50" s="62">
        <v>1</v>
      </c>
      <c r="AE50" s="62" t="e">
        <v>#DIV/0!</v>
      </c>
      <c r="AF50" s="62" t="e">
        <v>#DIV/0!</v>
      </c>
      <c r="AG50" s="62" t="e">
        <v>#DIV/0!</v>
      </c>
      <c r="AH50" s="62" t="e">
        <v>#DIV/0!</v>
      </c>
      <c r="AI50" s="62" t="e">
        <v>#DIV/0!</v>
      </c>
      <c r="AJ50" s="62" t="e">
        <v>#DIV/0!</v>
      </c>
      <c r="AK50" s="62" t="e">
        <v>#DIV/0!</v>
      </c>
      <c r="AL50" s="62" t="e">
        <v>#DIV/0!</v>
      </c>
      <c r="AM50" s="62" t="e">
        <v>#DIV/0!</v>
      </c>
      <c r="AN50" s="62" t="e">
        <v>#DIV/0!</v>
      </c>
      <c r="AO50" s="62" t="e">
        <v>#DIV/0!</v>
      </c>
      <c r="AP50" s="62">
        <v>0.36114312990266761</v>
      </c>
      <c r="AQ50" s="62">
        <v>-0.15970070710407649</v>
      </c>
      <c r="AR50" s="62">
        <v>3.1403335066489675E-3</v>
      </c>
      <c r="AS50" s="62">
        <v>1.4093273097135275E-2</v>
      </c>
      <c r="AT50" s="62" t="e">
        <v>#DIV/0!</v>
      </c>
      <c r="AU50" s="62" t="e">
        <v>#DIV/0!</v>
      </c>
      <c r="AV50" s="62" t="e">
        <v>#DIV/0!</v>
      </c>
      <c r="AW50" s="62">
        <v>-0.4370885365521277</v>
      </c>
      <c r="AX50" s="62">
        <v>1</v>
      </c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</row>
    <row r="51" spans="1:84" x14ac:dyDescent="0.25">
      <c r="A51" s="61" t="s">
        <v>621</v>
      </c>
      <c r="B51" s="62">
        <v>-0.24362122021111907</v>
      </c>
      <c r="C51" s="62">
        <v>-0.17035648963512717</v>
      </c>
      <c r="D51" s="62">
        <v>-0.24362122021111907</v>
      </c>
      <c r="E51" s="62">
        <v>-0.3020988416196253</v>
      </c>
      <c r="F51" s="62">
        <v>-0.23758102466869457</v>
      </c>
      <c r="G51" s="62">
        <v>0.28992938603637292</v>
      </c>
      <c r="H51" s="62">
        <v>-0.41141578224248737</v>
      </c>
      <c r="I51" s="62">
        <v>-0.39753352883387372</v>
      </c>
      <c r="J51" s="62">
        <v>-2.7101394947684019E-3</v>
      </c>
      <c r="K51" s="62">
        <v>0.36587039172322039</v>
      </c>
      <c r="L51" s="62">
        <v>-9.2427353512960719E-2</v>
      </c>
      <c r="M51" s="62">
        <v>-0.25776905817528162</v>
      </c>
      <c r="N51" s="62">
        <v>3.7282285056390425E-2</v>
      </c>
      <c r="O51" s="62">
        <v>0.23480301150456584</v>
      </c>
      <c r="P51" s="62" t="e">
        <v>#DIV/0!</v>
      </c>
      <c r="Q51" s="62">
        <v>1.0000000000000002</v>
      </c>
      <c r="R51" s="62">
        <v>-0.65047818901634624</v>
      </c>
      <c r="S51" s="62">
        <v>1</v>
      </c>
      <c r="T51" s="62" t="e">
        <v>#DIV/0!</v>
      </c>
      <c r="U51" s="62" t="e">
        <v>#DIV/0!</v>
      </c>
      <c r="V51" s="62">
        <v>1</v>
      </c>
      <c r="W51" s="62" t="e">
        <v>#DIV/0!</v>
      </c>
      <c r="X51" s="62">
        <v>1</v>
      </c>
      <c r="Y51" s="62">
        <v>-1</v>
      </c>
      <c r="Z51" s="62">
        <v>-1</v>
      </c>
      <c r="AA51" s="62">
        <v>-1</v>
      </c>
      <c r="AB51" s="62">
        <v>-1</v>
      </c>
      <c r="AC51" s="62">
        <v>-1</v>
      </c>
      <c r="AD51" s="62">
        <v>1</v>
      </c>
      <c r="AE51" s="62" t="e">
        <v>#DIV/0!</v>
      </c>
      <c r="AF51" s="62" t="e">
        <v>#DIV/0!</v>
      </c>
      <c r="AG51" s="62" t="e">
        <v>#DIV/0!</v>
      </c>
      <c r="AH51" s="62" t="e">
        <v>#DIV/0!</v>
      </c>
      <c r="AI51" s="62" t="e">
        <v>#DIV/0!</v>
      </c>
      <c r="AJ51" s="62" t="e">
        <v>#DIV/0!</v>
      </c>
      <c r="AK51" s="62" t="e">
        <v>#DIV/0!</v>
      </c>
      <c r="AL51" s="62" t="e">
        <v>#DIV/0!</v>
      </c>
      <c r="AM51" s="62" t="e">
        <v>#DIV/0!</v>
      </c>
      <c r="AN51" s="62" t="e">
        <v>#DIV/0!</v>
      </c>
      <c r="AO51" s="62" t="e">
        <v>#DIV/0!</v>
      </c>
      <c r="AP51" s="62">
        <v>-0.50126225245398981</v>
      </c>
      <c r="AQ51" s="62">
        <v>9.808182539814117E-2</v>
      </c>
      <c r="AR51" s="62">
        <v>0.59435398725075383</v>
      </c>
      <c r="AS51" s="62">
        <v>-0.17691448211232585</v>
      </c>
      <c r="AT51" s="62" t="e">
        <v>#DIV/0!</v>
      </c>
      <c r="AU51" s="62" t="e">
        <v>#DIV/0!</v>
      </c>
      <c r="AV51" s="62" t="e">
        <v>#DIV/0!</v>
      </c>
      <c r="AW51" s="62">
        <v>0.49889767671959817</v>
      </c>
      <c r="AX51" s="62">
        <v>-0.51658604445632761</v>
      </c>
      <c r="AY51" s="62">
        <v>1</v>
      </c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</row>
    <row r="52" spans="1:84" x14ac:dyDescent="0.25">
      <c r="A52" s="61" t="s">
        <v>622</v>
      </c>
      <c r="B52" s="62">
        <v>-0.31676964018663151</v>
      </c>
      <c r="C52" s="62">
        <v>5.5339336593453282E-2</v>
      </c>
      <c r="D52" s="62">
        <v>-0.31676964018663151</v>
      </c>
      <c r="E52" s="62">
        <v>4.3019978977242596E-3</v>
      </c>
      <c r="F52" s="62" t="e">
        <v>#DIV/0!</v>
      </c>
      <c r="G52" s="62">
        <v>0.25199278594851637</v>
      </c>
      <c r="H52" s="62">
        <v>0.44223082620224785</v>
      </c>
      <c r="I52" s="62">
        <v>0.48823491105050354</v>
      </c>
      <c r="J52" s="62">
        <v>0.48261021633385265</v>
      </c>
      <c r="K52" s="62">
        <v>0.32171395895564608</v>
      </c>
      <c r="L52" s="62">
        <v>0.27795426011011487</v>
      </c>
      <c r="M52" s="62">
        <v>0.16442279729399611</v>
      </c>
      <c r="N52" s="62">
        <v>-7.8343367282451518E-2</v>
      </c>
      <c r="O52" s="62">
        <v>0.14234384328071165</v>
      </c>
      <c r="P52" s="62" t="e">
        <v>#DIV/0!</v>
      </c>
      <c r="Q52" s="62" t="e">
        <v>#DIV/0!</v>
      </c>
      <c r="R52" s="62">
        <v>-0.39719704808241285</v>
      </c>
      <c r="S52" s="62">
        <v>0.71472169229232707</v>
      </c>
      <c r="T52" s="62" t="e">
        <v>#DIV/0!</v>
      </c>
      <c r="U52" s="62" t="e">
        <v>#DIV/0!</v>
      </c>
      <c r="V52" s="62">
        <v>0.273706549646555</v>
      </c>
      <c r="W52" s="62" t="e">
        <v>#DIV/0!</v>
      </c>
      <c r="X52" s="62" t="e">
        <v>#DIV/0!</v>
      </c>
      <c r="Y52" s="62">
        <v>-0.40980513582452643</v>
      </c>
      <c r="Z52" s="62">
        <v>0.24909336852556277</v>
      </c>
      <c r="AA52" s="62">
        <v>0.70977996172868585</v>
      </c>
      <c r="AB52" s="62">
        <v>-0.92526404260534745</v>
      </c>
      <c r="AC52" s="62">
        <v>0.79021912146086315</v>
      </c>
      <c r="AD52" s="62">
        <v>0.72303757904388122</v>
      </c>
      <c r="AE52" s="62" t="e">
        <v>#DIV/0!</v>
      </c>
      <c r="AF52" s="62" t="e">
        <v>#DIV/0!</v>
      </c>
      <c r="AG52" s="62" t="e">
        <v>#DIV/0!</v>
      </c>
      <c r="AH52" s="62" t="e">
        <v>#DIV/0!</v>
      </c>
      <c r="AI52" s="62" t="e">
        <v>#DIV/0!</v>
      </c>
      <c r="AJ52" s="62" t="e">
        <v>#DIV/0!</v>
      </c>
      <c r="AK52" s="62" t="e">
        <v>#DIV/0!</v>
      </c>
      <c r="AL52" s="62" t="e">
        <v>#DIV/0!</v>
      </c>
      <c r="AM52" s="62" t="e">
        <v>#DIV/0!</v>
      </c>
      <c r="AN52" s="62" t="e">
        <v>#DIV/0!</v>
      </c>
      <c r="AO52" s="62" t="e">
        <v>#DIV/0!</v>
      </c>
      <c r="AP52" s="62">
        <v>-2.8653189830198548E-2</v>
      </c>
      <c r="AQ52" s="62">
        <v>-0.68750080672496228</v>
      </c>
      <c r="AR52" s="62">
        <v>-1</v>
      </c>
      <c r="AS52" s="62">
        <v>-0.57552831203208077</v>
      </c>
      <c r="AT52" s="62" t="e">
        <v>#DIV/0!</v>
      </c>
      <c r="AU52" s="62" t="e">
        <v>#DIV/0!</v>
      </c>
      <c r="AV52" s="62" t="e">
        <v>#DIV/0!</v>
      </c>
      <c r="AW52" s="62">
        <v>-0.14891257026919333</v>
      </c>
      <c r="AX52" s="62">
        <v>0.1078467820799886</v>
      </c>
      <c r="AY52" s="62">
        <v>0.15845793977468281</v>
      </c>
      <c r="AZ52" s="62">
        <v>1</v>
      </c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</row>
    <row r="53" spans="1:84" x14ac:dyDescent="0.25">
      <c r="A53" s="61" t="s">
        <v>623</v>
      </c>
      <c r="B53" s="62">
        <v>0.57463202934837221</v>
      </c>
      <c r="C53" s="62">
        <v>0.57463202934837221</v>
      </c>
      <c r="D53" s="62">
        <v>0.57463202934837221</v>
      </c>
      <c r="E53" s="62" t="e">
        <v>#DIV/0!</v>
      </c>
      <c r="F53" s="62" t="e">
        <v>#DIV/0!</v>
      </c>
      <c r="G53" s="62" t="e">
        <v>#DIV/0!</v>
      </c>
      <c r="H53" s="62">
        <v>0.12039733591704287</v>
      </c>
      <c r="I53" s="62">
        <v>0.12039733591704259</v>
      </c>
      <c r="J53" s="62">
        <v>0.29056768610382361</v>
      </c>
      <c r="K53" s="62">
        <v>-0.65376943112913399</v>
      </c>
      <c r="L53" s="62">
        <v>0.9543449878169652</v>
      </c>
      <c r="M53" s="62">
        <v>0.58642207513198219</v>
      </c>
      <c r="N53" s="62">
        <v>-0.42615251605253002</v>
      </c>
      <c r="O53" s="62">
        <v>-0.87475583531856493</v>
      </c>
      <c r="P53" s="62" t="e">
        <v>#DIV/0!</v>
      </c>
      <c r="Q53" s="62" t="e">
        <v>#DIV/0!</v>
      </c>
      <c r="R53" s="62">
        <v>-1.0000000000000002</v>
      </c>
      <c r="S53" s="62" t="e">
        <v>#DIV/0!</v>
      </c>
      <c r="T53" s="62" t="e">
        <v>#DIV/0!</v>
      </c>
      <c r="U53" s="62" t="e">
        <v>#DIV/0!</v>
      </c>
      <c r="V53" s="62" t="e">
        <v>#DIV/0!</v>
      </c>
      <c r="W53" s="62" t="e">
        <v>#DIV/0!</v>
      </c>
      <c r="X53" s="62" t="e">
        <v>#DIV/0!</v>
      </c>
      <c r="Y53" s="62" t="e">
        <v>#DIV/0!</v>
      </c>
      <c r="Z53" s="62" t="e">
        <v>#DIV/0!</v>
      </c>
      <c r="AA53" s="62" t="e">
        <v>#DIV/0!</v>
      </c>
      <c r="AB53" s="62" t="e">
        <v>#DIV/0!</v>
      </c>
      <c r="AC53" s="62" t="e">
        <v>#DIV/0!</v>
      </c>
      <c r="AD53" s="62" t="e">
        <v>#DIV/0!</v>
      </c>
      <c r="AE53" s="62" t="e">
        <v>#DIV/0!</v>
      </c>
      <c r="AF53" s="62" t="e">
        <v>#DIV/0!</v>
      </c>
      <c r="AG53" s="62" t="e">
        <v>#DIV/0!</v>
      </c>
      <c r="AH53" s="62" t="e">
        <v>#DIV/0!</v>
      </c>
      <c r="AI53" s="62" t="e">
        <v>#DIV/0!</v>
      </c>
      <c r="AJ53" s="62" t="e">
        <v>#DIV/0!</v>
      </c>
      <c r="AK53" s="62" t="e">
        <v>#DIV/0!</v>
      </c>
      <c r="AL53" s="62" t="e">
        <v>#DIV/0!</v>
      </c>
      <c r="AM53" s="62" t="e">
        <v>#DIV/0!</v>
      </c>
      <c r="AN53" s="62" t="e">
        <v>#DIV/0!</v>
      </c>
      <c r="AO53" s="62" t="e">
        <v>#DIV/0!</v>
      </c>
      <c r="AP53" s="62">
        <v>-0.91940395598946179</v>
      </c>
      <c r="AQ53" s="62">
        <v>-0.19792170798415465</v>
      </c>
      <c r="AR53" s="62">
        <v>1</v>
      </c>
      <c r="AS53" s="62">
        <v>-0.67202266239312514</v>
      </c>
      <c r="AT53" s="62" t="e">
        <v>#DIV/0!</v>
      </c>
      <c r="AU53" s="62" t="e">
        <v>#DIV/0!</v>
      </c>
      <c r="AV53" s="62" t="e">
        <v>#DIV/0!</v>
      </c>
      <c r="AW53" s="62">
        <v>0.89154070968243937</v>
      </c>
      <c r="AX53" s="62">
        <v>-0.91558505666139067</v>
      </c>
      <c r="AY53" s="62">
        <v>0.9948552062416004</v>
      </c>
      <c r="AZ53" s="62">
        <v>-0.3860135082845938</v>
      </c>
      <c r="BA53" s="62">
        <v>1</v>
      </c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</row>
    <row r="54" spans="1:84" x14ac:dyDescent="0.25">
      <c r="A54" s="61" t="s">
        <v>624</v>
      </c>
      <c r="B54" s="62">
        <v>0.25341600860795643</v>
      </c>
      <c r="C54" s="62">
        <v>0.33834321478654361</v>
      </c>
      <c r="D54" s="62">
        <v>0.25341600860795643</v>
      </c>
      <c r="E54" s="62">
        <v>-0.1518548286837243</v>
      </c>
      <c r="F54" s="62" t="e">
        <v>#DIV/0!</v>
      </c>
      <c r="G54" s="62">
        <v>-1.8648838610281538E-2</v>
      </c>
      <c r="H54" s="62">
        <v>0.14865453514349611</v>
      </c>
      <c r="I54" s="62">
        <v>0.15131827754257079</v>
      </c>
      <c r="J54" s="62">
        <v>0.20080474476389665</v>
      </c>
      <c r="K54" s="62">
        <v>-6.9031083809605154E-2</v>
      </c>
      <c r="L54" s="62">
        <v>0.6693885822225506</v>
      </c>
      <c r="M54" s="62">
        <v>0.42364294357131344</v>
      </c>
      <c r="N54" s="62">
        <v>-0.23441000684622498</v>
      </c>
      <c r="O54" s="62">
        <v>-0.26412446894629515</v>
      </c>
      <c r="P54" s="62" t="e">
        <v>#DIV/0!</v>
      </c>
      <c r="Q54" s="62" t="e">
        <v>#DIV/0!</v>
      </c>
      <c r="R54" s="62">
        <v>-0.92791628102075574</v>
      </c>
      <c r="S54" s="62">
        <v>-0.97168012694820238</v>
      </c>
      <c r="T54" s="62" t="e">
        <v>#DIV/0!</v>
      </c>
      <c r="U54" s="62" t="e">
        <v>#DIV/0!</v>
      </c>
      <c r="V54" s="62">
        <v>0.25589097335666716</v>
      </c>
      <c r="W54" s="62" t="e">
        <v>#DIV/0!</v>
      </c>
      <c r="X54" s="62" t="e">
        <v>#DIV/0!</v>
      </c>
      <c r="Y54" s="62">
        <v>0.81818913621296896</v>
      </c>
      <c r="Z54" s="62">
        <v>0.2804567155939976</v>
      </c>
      <c r="AA54" s="62">
        <v>-0.96999243295580739</v>
      </c>
      <c r="AB54" s="62">
        <v>0.98922246130230129</v>
      </c>
      <c r="AC54" s="62">
        <v>-0.36641450550605958</v>
      </c>
      <c r="AD54" s="62">
        <v>-0.97443745291200745</v>
      </c>
      <c r="AE54" s="62" t="e">
        <v>#DIV/0!</v>
      </c>
      <c r="AF54" s="62" t="e">
        <v>#DIV/0!</v>
      </c>
      <c r="AG54" s="62" t="e">
        <v>#DIV/0!</v>
      </c>
      <c r="AH54" s="62" t="e">
        <v>#DIV/0!</v>
      </c>
      <c r="AI54" s="62" t="e">
        <v>#DIV/0!</v>
      </c>
      <c r="AJ54" s="62" t="e">
        <v>#DIV/0!</v>
      </c>
      <c r="AK54" s="62" t="e">
        <v>#DIV/0!</v>
      </c>
      <c r="AL54" s="62" t="e">
        <v>#DIV/0!</v>
      </c>
      <c r="AM54" s="62" t="e">
        <v>#DIV/0!</v>
      </c>
      <c r="AN54" s="62" t="e">
        <v>#DIV/0!</v>
      </c>
      <c r="AO54" s="62" t="e">
        <v>#DIV/0!</v>
      </c>
      <c r="AP54" s="62">
        <v>-0.50720859362524828</v>
      </c>
      <c r="AQ54" s="62">
        <v>-0.10499865918931471</v>
      </c>
      <c r="AR54" s="62">
        <v>1</v>
      </c>
      <c r="AS54" s="62">
        <v>-0.40669678060237657</v>
      </c>
      <c r="AT54" s="62" t="e">
        <v>#DIV/0!</v>
      </c>
      <c r="AU54" s="62" t="e">
        <v>#DIV/0!</v>
      </c>
      <c r="AV54" s="62" t="e">
        <v>#DIV/0!</v>
      </c>
      <c r="AW54" s="62">
        <v>0.71618502955942731</v>
      </c>
      <c r="AX54" s="62">
        <v>-0.82849007912717276</v>
      </c>
      <c r="AY54" s="62">
        <v>0.85258497307112469</v>
      </c>
      <c r="AZ54" s="62">
        <v>1.6137141201568062E-2</v>
      </c>
      <c r="BA54" s="62">
        <v>0.97666371688394527</v>
      </c>
      <c r="BB54" s="62">
        <v>1</v>
      </c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</row>
    <row r="55" spans="1:84" x14ac:dyDescent="0.25">
      <c r="A55" s="61" t="s">
        <v>625</v>
      </c>
      <c r="B55" s="62" t="e">
        <v>#DIV/0!</v>
      </c>
      <c r="C55" s="62" t="e">
        <v>#DIV/0!</v>
      </c>
      <c r="D55" s="62" t="e">
        <v>#DIV/0!</v>
      </c>
      <c r="E55" s="62" t="e">
        <v>#DIV/0!</v>
      </c>
      <c r="F55" s="62" t="e">
        <v>#DIV/0!</v>
      </c>
      <c r="G55" s="62" t="e">
        <v>#DIV/0!</v>
      </c>
      <c r="H55" s="62" t="e">
        <v>#DIV/0!</v>
      </c>
      <c r="I55" s="62" t="e">
        <v>#DIV/0!</v>
      </c>
      <c r="J55" s="62" t="e">
        <v>#DIV/0!</v>
      </c>
      <c r="K55" s="62" t="e">
        <v>#DIV/0!</v>
      </c>
      <c r="L55" s="62" t="e">
        <v>#DIV/0!</v>
      </c>
      <c r="M55" s="62" t="e">
        <v>#DIV/0!</v>
      </c>
      <c r="N55" s="62" t="e">
        <v>#DIV/0!</v>
      </c>
      <c r="O55" s="62" t="e">
        <v>#DIV/0!</v>
      </c>
      <c r="P55" s="62" t="e">
        <v>#DIV/0!</v>
      </c>
      <c r="Q55" s="62" t="e">
        <v>#DIV/0!</v>
      </c>
      <c r="R55" s="62" t="e">
        <v>#DIV/0!</v>
      </c>
      <c r="S55" s="62" t="e">
        <v>#DIV/0!</v>
      </c>
      <c r="T55" s="62" t="e">
        <v>#DIV/0!</v>
      </c>
      <c r="U55" s="62" t="e">
        <v>#DIV/0!</v>
      </c>
      <c r="V55" s="62" t="e">
        <v>#DIV/0!</v>
      </c>
      <c r="W55" s="62" t="e">
        <v>#DIV/0!</v>
      </c>
      <c r="X55" s="62" t="e">
        <v>#DIV/0!</v>
      </c>
      <c r="Y55" s="62" t="e">
        <v>#DIV/0!</v>
      </c>
      <c r="Z55" s="62" t="e">
        <v>#DIV/0!</v>
      </c>
      <c r="AA55" s="62" t="e">
        <v>#DIV/0!</v>
      </c>
      <c r="AB55" s="62" t="e">
        <v>#DIV/0!</v>
      </c>
      <c r="AC55" s="62" t="e">
        <v>#DIV/0!</v>
      </c>
      <c r="AD55" s="62" t="e">
        <v>#DIV/0!</v>
      </c>
      <c r="AE55" s="62" t="e">
        <v>#DIV/0!</v>
      </c>
      <c r="AF55" s="62" t="e">
        <v>#DIV/0!</v>
      </c>
      <c r="AG55" s="62" t="e">
        <v>#DIV/0!</v>
      </c>
      <c r="AH55" s="62" t="e">
        <v>#DIV/0!</v>
      </c>
      <c r="AI55" s="62" t="e">
        <v>#DIV/0!</v>
      </c>
      <c r="AJ55" s="62" t="e">
        <v>#DIV/0!</v>
      </c>
      <c r="AK55" s="62" t="e">
        <v>#DIV/0!</v>
      </c>
      <c r="AL55" s="62" t="e">
        <v>#DIV/0!</v>
      </c>
      <c r="AM55" s="62" t="e">
        <v>#DIV/0!</v>
      </c>
      <c r="AN55" s="62" t="e">
        <v>#DIV/0!</v>
      </c>
      <c r="AO55" s="62" t="e">
        <v>#DIV/0!</v>
      </c>
      <c r="AP55" s="62" t="e">
        <v>#DIV/0!</v>
      </c>
      <c r="AQ55" s="62" t="e">
        <v>#DIV/0!</v>
      </c>
      <c r="AR55" s="62" t="e">
        <v>#DIV/0!</v>
      </c>
      <c r="AS55" s="62" t="e">
        <v>#DIV/0!</v>
      </c>
      <c r="AT55" s="62" t="e">
        <v>#DIV/0!</v>
      </c>
      <c r="AU55" s="62" t="e">
        <v>#DIV/0!</v>
      </c>
      <c r="AV55" s="62" t="e">
        <v>#DIV/0!</v>
      </c>
      <c r="AW55" s="62" t="e">
        <v>#DIV/0!</v>
      </c>
      <c r="AX55" s="62" t="e">
        <v>#DIV/0!</v>
      </c>
      <c r="AY55" s="62" t="e">
        <v>#DIV/0!</v>
      </c>
      <c r="AZ55" s="62" t="e">
        <v>#DIV/0!</v>
      </c>
      <c r="BA55" s="62" t="e">
        <v>#DIV/0!</v>
      </c>
      <c r="BB55" s="62" t="e">
        <v>#DIV/0!</v>
      </c>
      <c r="BC55" s="62">
        <v>1</v>
      </c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</row>
    <row r="56" spans="1:84" x14ac:dyDescent="0.25">
      <c r="A56" s="61" t="s">
        <v>626</v>
      </c>
      <c r="B56" s="62">
        <v>-0.52630436002039704</v>
      </c>
      <c r="C56" s="62">
        <v>-2.9009289542580408E-2</v>
      </c>
      <c r="D56" s="62">
        <v>-0.52630436002039704</v>
      </c>
      <c r="E56" s="62">
        <v>-2.3645771828990851E-2</v>
      </c>
      <c r="F56" s="62" t="e">
        <v>#DIV/0!</v>
      </c>
      <c r="G56" s="62" t="e">
        <v>#DIV/0!</v>
      </c>
      <c r="H56" s="62">
        <v>0.21753368397259598</v>
      </c>
      <c r="I56" s="62">
        <v>0.21753368397259593</v>
      </c>
      <c r="J56" s="62">
        <v>0.91135320236982909</v>
      </c>
      <c r="K56" s="62">
        <v>-0.47136524199074764</v>
      </c>
      <c r="L56" s="62">
        <v>0.92401101705104705</v>
      </c>
      <c r="M56" s="62">
        <v>0.5960155366733253</v>
      </c>
      <c r="N56" s="62">
        <v>-0.39021654506521858</v>
      </c>
      <c r="O56" s="62">
        <v>-0.35209693663004138</v>
      </c>
      <c r="P56" s="62" t="e">
        <v>#DIV/0!</v>
      </c>
      <c r="Q56" s="62">
        <v>1</v>
      </c>
      <c r="R56" s="62">
        <v>0.12932405854563281</v>
      </c>
      <c r="S56" s="62">
        <v>-0.19867903468930273</v>
      </c>
      <c r="T56" s="62">
        <v>0.4662468934196225</v>
      </c>
      <c r="U56" s="62">
        <v>-0.26934350247951711</v>
      </c>
      <c r="V56" s="62">
        <v>-0.43956741349168182</v>
      </c>
      <c r="W56" s="62" t="e">
        <v>#DIV/0!</v>
      </c>
      <c r="X56" s="62">
        <v>1</v>
      </c>
      <c r="Y56" s="62">
        <v>-0.79899311186439448</v>
      </c>
      <c r="Z56" s="62">
        <v>-0.68898080737105749</v>
      </c>
      <c r="AA56" s="62">
        <v>0.10279212191919088</v>
      </c>
      <c r="AB56" s="62">
        <v>-0.87324320933372679</v>
      </c>
      <c r="AC56" s="62">
        <v>-0.50708744895340774</v>
      </c>
      <c r="AD56" s="62">
        <v>0.91115783585252685</v>
      </c>
      <c r="AE56" s="62" t="e">
        <v>#DIV/0!</v>
      </c>
      <c r="AF56" s="62" t="e">
        <v>#DIV/0!</v>
      </c>
      <c r="AG56" s="62" t="e">
        <v>#DIV/0!</v>
      </c>
      <c r="AH56" s="62" t="e">
        <v>#DIV/0!</v>
      </c>
      <c r="AI56" s="62" t="e">
        <v>#DIV/0!</v>
      </c>
      <c r="AJ56" s="62" t="e">
        <v>#DIV/0!</v>
      </c>
      <c r="AK56" s="62" t="e">
        <v>#DIV/0!</v>
      </c>
      <c r="AL56" s="62" t="e">
        <v>#DIV/0!</v>
      </c>
      <c r="AM56" s="62" t="e">
        <v>#DIV/0!</v>
      </c>
      <c r="AN56" s="62" t="e">
        <v>#DIV/0!</v>
      </c>
      <c r="AO56" s="62" t="e">
        <v>#DIV/0!</v>
      </c>
      <c r="AP56" s="62">
        <v>0.23281197420433314</v>
      </c>
      <c r="AQ56" s="62">
        <v>0.1139915103717538</v>
      </c>
      <c r="AR56" s="62">
        <v>0.79445454714482555</v>
      </c>
      <c r="AS56" s="62">
        <v>0.15813114933781713</v>
      </c>
      <c r="AT56" s="62" t="e">
        <v>#DIV/0!</v>
      </c>
      <c r="AU56" s="62" t="e">
        <v>#DIV/0!</v>
      </c>
      <c r="AV56" s="62" t="e">
        <v>#DIV/0!</v>
      </c>
      <c r="AW56" s="62">
        <v>0.31794909330440047</v>
      </c>
      <c r="AX56" s="62">
        <v>0.27029368257149922</v>
      </c>
      <c r="AY56" s="62">
        <v>0.43996523327670511</v>
      </c>
      <c r="AZ56" s="62">
        <v>0.62628139681224837</v>
      </c>
      <c r="BA56" s="62">
        <v>0.99445051133121987</v>
      </c>
      <c r="BB56" s="62">
        <v>0.56127940109499441</v>
      </c>
      <c r="BC56" s="62" t="e">
        <v>#DIV/0!</v>
      </c>
      <c r="BD56" s="62">
        <v>1</v>
      </c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</row>
    <row r="57" spans="1:84" x14ac:dyDescent="0.25">
      <c r="A57" s="61" t="s">
        <v>627</v>
      </c>
      <c r="B57" s="62">
        <v>-0.32120795864809443</v>
      </c>
      <c r="C57" s="62">
        <v>-0.31869123929710824</v>
      </c>
      <c r="D57" s="62">
        <v>-0.32120795864809443</v>
      </c>
      <c r="E57" s="62">
        <v>0.403520049453165</v>
      </c>
      <c r="F57" s="62" t="e">
        <v>#DIV/0!</v>
      </c>
      <c r="G57" s="62" t="e">
        <v>#DIV/0!</v>
      </c>
      <c r="H57" s="62">
        <v>-5.6533393781320954E-2</v>
      </c>
      <c r="I57" s="62">
        <v>-5.6533393781320926E-2</v>
      </c>
      <c r="J57" s="62">
        <v>0.66131745203630987</v>
      </c>
      <c r="K57" s="62">
        <v>-0.32619363276243207</v>
      </c>
      <c r="L57" s="62">
        <v>0.46892803969511382</v>
      </c>
      <c r="M57" s="62">
        <v>0.48875956303048673</v>
      </c>
      <c r="N57" s="62">
        <v>-0.27106021082996745</v>
      </c>
      <c r="O57" s="62">
        <v>-0.11886156622123821</v>
      </c>
      <c r="P57" s="62" t="e">
        <v>#DIV/0!</v>
      </c>
      <c r="Q57" s="62">
        <v>1</v>
      </c>
      <c r="R57" s="62">
        <v>0.60445739464399206</v>
      </c>
      <c r="S57" s="62">
        <v>0.11204765385926442</v>
      </c>
      <c r="T57" s="62">
        <v>0.4662468934196225</v>
      </c>
      <c r="U57" s="62">
        <v>-0.26934350247951711</v>
      </c>
      <c r="V57" s="62">
        <v>-0.42653429345177996</v>
      </c>
      <c r="W57" s="62" t="e">
        <v>#DIV/0!</v>
      </c>
      <c r="X57" s="62">
        <v>1</v>
      </c>
      <c r="Y57" s="62">
        <v>-0.65169132102000094</v>
      </c>
      <c r="Z57" s="62">
        <v>-0.68590814676086331</v>
      </c>
      <c r="AA57" s="62">
        <v>-0.17434725422787178</v>
      </c>
      <c r="AB57" s="62">
        <v>-0.69033756884483177</v>
      </c>
      <c r="AC57" s="62">
        <v>-0.65924108699364803</v>
      </c>
      <c r="AD57" s="62">
        <v>0.75432283807265421</v>
      </c>
      <c r="AE57" s="62" t="e">
        <v>#DIV/0!</v>
      </c>
      <c r="AF57" s="62" t="e">
        <v>#DIV/0!</v>
      </c>
      <c r="AG57" s="62" t="e">
        <v>#DIV/0!</v>
      </c>
      <c r="AH57" s="62" t="e">
        <v>#DIV/0!</v>
      </c>
      <c r="AI57" s="62" t="e">
        <v>#DIV/0!</v>
      </c>
      <c r="AJ57" s="62" t="e">
        <v>#DIV/0!</v>
      </c>
      <c r="AK57" s="62" t="e">
        <v>#DIV/0!</v>
      </c>
      <c r="AL57" s="62" t="e">
        <v>#DIV/0!</v>
      </c>
      <c r="AM57" s="62" t="e">
        <v>#DIV/0!</v>
      </c>
      <c r="AN57" s="62" t="e">
        <v>#DIV/0!</v>
      </c>
      <c r="AO57" s="62" t="e">
        <v>#DIV/0!</v>
      </c>
      <c r="AP57" s="62">
        <v>0.33650302340142912</v>
      </c>
      <c r="AQ57" s="62">
        <v>0.16397425244178271</v>
      </c>
      <c r="AR57" s="62">
        <v>0.95879641795654913</v>
      </c>
      <c r="AS57" s="62">
        <v>0.34843345898067996</v>
      </c>
      <c r="AT57" s="62" t="e">
        <v>#DIV/0!</v>
      </c>
      <c r="AU57" s="62" t="e">
        <v>#DIV/0!</v>
      </c>
      <c r="AV57" s="62" t="e">
        <v>#DIV/0!</v>
      </c>
      <c r="AW57" s="62">
        <v>7.6432483154712169E-2</v>
      </c>
      <c r="AX57" s="62">
        <v>0.53120207519785545</v>
      </c>
      <c r="AY57" s="62">
        <v>0.15962382631330346</v>
      </c>
      <c r="AZ57" s="62">
        <v>-0.33370757405104273</v>
      </c>
      <c r="BA57" s="62">
        <v>0.55194237735630391</v>
      </c>
      <c r="BB57" s="62">
        <v>0.31015913885499447</v>
      </c>
      <c r="BC57" s="62" t="e">
        <v>#DIV/0!</v>
      </c>
      <c r="BD57" s="62">
        <v>0.68542941966449811</v>
      </c>
      <c r="BE57" s="62">
        <v>1</v>
      </c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</row>
    <row r="58" spans="1:84" x14ac:dyDescent="0.25">
      <c r="A58" s="61" t="s">
        <v>628</v>
      </c>
      <c r="B58" s="62">
        <v>1.7756149247853219E-3</v>
      </c>
      <c r="C58" s="62">
        <v>-0.13495353980210836</v>
      </c>
      <c r="D58" s="62">
        <v>-3.1542502110967353E-2</v>
      </c>
      <c r="E58" s="62">
        <v>-0.21761317615841613</v>
      </c>
      <c r="F58" s="62">
        <v>0.33220722457286855</v>
      </c>
      <c r="G58" s="62">
        <v>-8.1053304960868724E-2</v>
      </c>
      <c r="H58" s="62">
        <v>-0.20977505151113174</v>
      </c>
      <c r="I58" s="62">
        <v>-0.19795677640875531</v>
      </c>
      <c r="J58" s="62">
        <v>-0.26073565275818061</v>
      </c>
      <c r="K58" s="62">
        <v>0.43451265709913289</v>
      </c>
      <c r="L58" s="62">
        <v>-0.31529865204894136</v>
      </c>
      <c r="M58" s="62">
        <v>-0.26969807397232287</v>
      </c>
      <c r="N58" s="62">
        <v>0.33367148817013326</v>
      </c>
      <c r="O58" s="62">
        <v>0.20343262344733976</v>
      </c>
      <c r="P58" s="62">
        <v>-0.81176249828372848</v>
      </c>
      <c r="Q58" s="62">
        <v>-0.57145091189798725</v>
      </c>
      <c r="R58" s="62">
        <v>-0.26838630836507021</v>
      </c>
      <c r="S58" s="62">
        <v>0.71821387580731377</v>
      </c>
      <c r="T58" s="62" t="e">
        <v>#DIV/0!</v>
      </c>
      <c r="U58" s="62" t="e">
        <v>#DIV/0!</v>
      </c>
      <c r="V58" s="62">
        <v>0.65189519146336017</v>
      </c>
      <c r="W58" s="62">
        <v>0.61120422995542234</v>
      </c>
      <c r="X58" s="62">
        <v>0.82417733847251384</v>
      </c>
      <c r="Y58" s="62">
        <v>-0.31060035906763911</v>
      </c>
      <c r="Z58" s="62">
        <v>0.20975871319314593</v>
      </c>
      <c r="AA58" s="62">
        <v>0.32538277939402022</v>
      </c>
      <c r="AB58" s="62">
        <v>0.66572987501558778</v>
      </c>
      <c r="AC58" s="62">
        <v>-0.67352724334488379</v>
      </c>
      <c r="AD58" s="62">
        <v>-0.47358294717598154</v>
      </c>
      <c r="AE58" s="62" t="e">
        <v>#DIV/0!</v>
      </c>
      <c r="AF58" s="62" t="e">
        <v>#DIV/0!</v>
      </c>
      <c r="AG58" s="62" t="e">
        <v>#DIV/0!</v>
      </c>
      <c r="AH58" s="62" t="e">
        <v>#DIV/0!</v>
      </c>
      <c r="AI58" s="62" t="e">
        <v>#DIV/0!</v>
      </c>
      <c r="AJ58" s="62">
        <v>0.92091099007628574</v>
      </c>
      <c r="AK58" s="62">
        <v>0.83518508209106279</v>
      </c>
      <c r="AL58" s="62" t="e">
        <v>#DIV/0!</v>
      </c>
      <c r="AM58" s="62" t="e">
        <v>#DIV/0!</v>
      </c>
      <c r="AN58" s="62" t="e">
        <v>#DIV/0!</v>
      </c>
      <c r="AO58" s="62">
        <v>-0.21573059791963295</v>
      </c>
      <c r="AP58" s="62">
        <v>9.9358257240522788E-2</v>
      </c>
      <c r="AQ58" s="62">
        <v>0.17823180936056776</v>
      </c>
      <c r="AR58" s="62">
        <v>6.0821564134582819E-2</v>
      </c>
      <c r="AS58" s="62">
        <v>0.19640036963154389</v>
      </c>
      <c r="AT58" s="62">
        <v>-0.9807354242844728</v>
      </c>
      <c r="AU58" s="62">
        <v>0.82057087077570556</v>
      </c>
      <c r="AV58" s="62">
        <v>0.79429361706159352</v>
      </c>
      <c r="AW58" s="62">
        <v>0.34723483669400423</v>
      </c>
      <c r="AX58" s="62">
        <v>-0.5547094669676087</v>
      </c>
      <c r="AY58" s="62">
        <v>0.70109830653858762</v>
      </c>
      <c r="AZ58" s="62">
        <v>-0.61064202029556691</v>
      </c>
      <c r="BA58" s="62">
        <v>0.62925808515632087</v>
      </c>
      <c r="BB58" s="62">
        <v>0.46840873832564517</v>
      </c>
      <c r="BC58" s="62" t="e">
        <v>#DIV/0!</v>
      </c>
      <c r="BD58" s="62">
        <v>-8.4369097160299278E-2</v>
      </c>
      <c r="BE58" s="62">
        <v>-9.6647819714233252E-2</v>
      </c>
      <c r="BF58" s="62">
        <v>1</v>
      </c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</row>
    <row r="59" spans="1:84" x14ac:dyDescent="0.25">
      <c r="A59" s="61" t="s">
        <v>629</v>
      </c>
      <c r="B59" s="62">
        <v>-0.2039078853379912</v>
      </c>
      <c r="C59" s="62">
        <v>-0.12226696032330474</v>
      </c>
      <c r="D59" s="62">
        <v>-0.22358861013007608</v>
      </c>
      <c r="E59" s="62">
        <v>-0.18718366669826078</v>
      </c>
      <c r="F59" s="62">
        <v>0.10132391809145994</v>
      </c>
      <c r="G59" s="62">
        <v>-0.14162979381119933</v>
      </c>
      <c r="H59" s="62">
        <v>-7.1448901253828856E-2</v>
      </c>
      <c r="I59" s="62">
        <v>-7.1992077046264771E-2</v>
      </c>
      <c r="J59" s="62">
        <v>-0.31651554209021376</v>
      </c>
      <c r="K59" s="62">
        <v>-0.148605697437977</v>
      </c>
      <c r="L59" s="62">
        <v>-0.27061433780013272</v>
      </c>
      <c r="M59" s="62">
        <v>-0.3280302242531396</v>
      </c>
      <c r="N59" s="62">
        <v>0.24095261892375427</v>
      </c>
      <c r="O59" s="62">
        <v>0.27761578747747523</v>
      </c>
      <c r="P59" s="62">
        <v>-0.82098506627893952</v>
      </c>
      <c r="Q59" s="62">
        <v>-0.28597860403409803</v>
      </c>
      <c r="R59" s="62">
        <v>2.1352861516672511E-2</v>
      </c>
      <c r="S59" s="62">
        <v>0.21007591523964991</v>
      </c>
      <c r="T59" s="62" t="e">
        <v>#DIV/0!</v>
      </c>
      <c r="U59" s="62" t="e">
        <v>#DIV/0!</v>
      </c>
      <c r="V59" s="62">
        <v>-0.35625200664107232</v>
      </c>
      <c r="W59" s="62">
        <v>0.5984867319178877</v>
      </c>
      <c r="X59" s="62">
        <v>-5.9318859684202467E-2</v>
      </c>
      <c r="Y59" s="62">
        <v>-2.1463764714265102E-2</v>
      </c>
      <c r="Z59" s="62">
        <v>-0.46598153852147384</v>
      </c>
      <c r="AA59" s="62">
        <v>-6.4137011475704928E-2</v>
      </c>
      <c r="AB59" s="62">
        <v>0.1236163779242505</v>
      </c>
      <c r="AC59" s="62">
        <v>-0.97204438887894506</v>
      </c>
      <c r="AD59" s="62">
        <v>0.11830372505208901</v>
      </c>
      <c r="AE59" s="62" t="e">
        <v>#DIV/0!</v>
      </c>
      <c r="AF59" s="62" t="e">
        <v>#DIV/0!</v>
      </c>
      <c r="AG59" s="62" t="e">
        <v>#DIV/0!</v>
      </c>
      <c r="AH59" s="62" t="e">
        <v>#DIV/0!</v>
      </c>
      <c r="AI59" s="62" t="e">
        <v>#DIV/0!</v>
      </c>
      <c r="AJ59" s="62">
        <v>0.90956971900168671</v>
      </c>
      <c r="AK59" s="62">
        <v>0.82629575773737418</v>
      </c>
      <c r="AL59" s="62" t="e">
        <v>#DIV/0!</v>
      </c>
      <c r="AM59" s="62" t="e">
        <v>#DIV/0!</v>
      </c>
      <c r="AN59" s="62" t="e">
        <v>#DIV/0!</v>
      </c>
      <c r="AO59" s="62">
        <v>-0.24297562214058305</v>
      </c>
      <c r="AP59" s="62">
        <v>0.26151531263801175</v>
      </c>
      <c r="AQ59" s="62">
        <v>0.36748699112632488</v>
      </c>
      <c r="AR59" s="62">
        <v>0.390034321225328</v>
      </c>
      <c r="AS59" s="62">
        <v>0.56097150155969022</v>
      </c>
      <c r="AT59" s="62">
        <v>-0.95588453095056281</v>
      </c>
      <c r="AU59" s="62">
        <v>0.6250999867848902</v>
      </c>
      <c r="AV59" s="62">
        <v>0.68177641373842701</v>
      </c>
      <c r="AW59" s="62">
        <v>-0.29267704338092027</v>
      </c>
      <c r="AX59" s="62">
        <v>0.17210128618036444</v>
      </c>
      <c r="AY59" s="62">
        <v>-0.10543366713052098</v>
      </c>
      <c r="AZ59" s="62">
        <v>-0.34639629768642399</v>
      </c>
      <c r="BA59" s="62">
        <v>-0.52863381662631281</v>
      </c>
      <c r="BB59" s="62">
        <v>-0.21455938000731176</v>
      </c>
      <c r="BC59" s="62" t="e">
        <v>#DIV/0!</v>
      </c>
      <c r="BD59" s="62">
        <v>7.519071928086854E-2</v>
      </c>
      <c r="BE59" s="62">
        <v>0.20866100671436832</v>
      </c>
      <c r="BF59" s="62">
        <v>0.69604631761234825</v>
      </c>
      <c r="BG59" s="62">
        <v>1</v>
      </c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</row>
    <row r="60" spans="1:84" x14ac:dyDescent="0.25">
      <c r="A60" s="61" t="s">
        <v>630</v>
      </c>
      <c r="B60" s="62">
        <v>-0.32779360935958912</v>
      </c>
      <c r="C60" s="62">
        <v>-0.26524592368915112</v>
      </c>
      <c r="D60" s="62">
        <v>-0.33823697919823742</v>
      </c>
      <c r="E60" s="62">
        <v>-0.21815997157121458</v>
      </c>
      <c r="F60" s="62">
        <v>-0.1612049457946719</v>
      </c>
      <c r="G60" s="62">
        <v>-0.15126690556714592</v>
      </c>
      <c r="H60" s="62">
        <v>-0.14734244199437405</v>
      </c>
      <c r="I60" s="62">
        <v>-0.14773678154636768</v>
      </c>
      <c r="J60" s="62">
        <v>-0.2522471710600081</v>
      </c>
      <c r="K60" s="62">
        <v>-0.17457739734559233</v>
      </c>
      <c r="L60" s="62">
        <v>-0.15356502221214663</v>
      </c>
      <c r="M60" s="62">
        <v>-0.35731500829026619</v>
      </c>
      <c r="N60" s="62">
        <v>0.12067799875195023</v>
      </c>
      <c r="O60" s="62">
        <v>7.460225594139179E-2</v>
      </c>
      <c r="P60" s="62">
        <v>-0.79921496550472471</v>
      </c>
      <c r="Q60" s="62">
        <v>0.54727128844111739</v>
      </c>
      <c r="R60" s="62">
        <v>0.45524717716850749</v>
      </c>
      <c r="S60" s="62">
        <v>-0.12205498689708766</v>
      </c>
      <c r="T60" s="62" t="e">
        <v>#DIV/0!</v>
      </c>
      <c r="U60" s="62" t="e">
        <v>#DIV/0!</v>
      </c>
      <c r="V60" s="62">
        <v>-0.52451069928056449</v>
      </c>
      <c r="W60" s="62">
        <v>0.62782608807497076</v>
      </c>
      <c r="X60" s="62">
        <v>-0.5136505713703402</v>
      </c>
      <c r="Y60" s="62">
        <v>-0.11846044923306538</v>
      </c>
      <c r="Z60" s="62">
        <v>-0.69260288158865901</v>
      </c>
      <c r="AA60" s="62">
        <v>-0.5128567815089865</v>
      </c>
      <c r="AB60" s="62">
        <v>-0.43184296807112116</v>
      </c>
      <c r="AC60" s="62">
        <v>-0.79513401911777482</v>
      </c>
      <c r="AD60" s="62">
        <v>0.5334063638703237</v>
      </c>
      <c r="AE60" s="62" t="e">
        <v>#DIV/0!</v>
      </c>
      <c r="AF60" s="62" t="e">
        <v>#DIV/0!</v>
      </c>
      <c r="AG60" s="62" t="e">
        <v>#DIV/0!</v>
      </c>
      <c r="AH60" s="62" t="e">
        <v>#DIV/0!</v>
      </c>
      <c r="AI60" s="62" t="e">
        <v>#DIV/0!</v>
      </c>
      <c r="AJ60" s="62">
        <v>0.69516975366048184</v>
      </c>
      <c r="AK60" s="62">
        <v>0.84664304490434661</v>
      </c>
      <c r="AL60" s="62" t="e">
        <v>#DIV/0!</v>
      </c>
      <c r="AM60" s="62" t="e">
        <v>#DIV/0!</v>
      </c>
      <c r="AN60" s="62" t="e">
        <v>#DIV/0!</v>
      </c>
      <c r="AO60" s="62">
        <v>-0.57386292899640079</v>
      </c>
      <c r="AP60" s="62">
        <v>0.4750359993136597</v>
      </c>
      <c r="AQ60" s="62">
        <v>0.67789541065198589</v>
      </c>
      <c r="AR60" s="62">
        <v>0.83831621747465335</v>
      </c>
      <c r="AS60" s="62">
        <v>0.93554776605472101</v>
      </c>
      <c r="AT60" s="62">
        <v>-0.93713141770773112</v>
      </c>
      <c r="AU60" s="62">
        <v>0.57052066561295456</v>
      </c>
      <c r="AV60" s="62">
        <v>0.69879892621715423</v>
      </c>
      <c r="AW60" s="62">
        <v>-0.45755048802091014</v>
      </c>
      <c r="AX60" s="62">
        <v>7.5919922835091455E-2</v>
      </c>
      <c r="AY60" s="62">
        <v>-0.26648812335988992</v>
      </c>
      <c r="AZ60" s="62">
        <v>-0.4013330872820049</v>
      </c>
      <c r="BA60" s="62">
        <v>-0.53563229980282634</v>
      </c>
      <c r="BB60" s="62">
        <v>-0.26095624091817504</v>
      </c>
      <c r="BC60" s="62" t="e">
        <v>#DIV/0!</v>
      </c>
      <c r="BD60" s="62">
        <v>0.44816608274673314</v>
      </c>
      <c r="BE60" s="62">
        <v>0.56020618277291667</v>
      </c>
      <c r="BF60" s="62">
        <v>0.12714556740225114</v>
      </c>
      <c r="BG60" s="62">
        <v>0.58207252797410403</v>
      </c>
      <c r="BH60" s="62">
        <v>1</v>
      </c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</row>
    <row r="61" spans="1:84" x14ac:dyDescent="0.25">
      <c r="A61" s="61" t="s">
        <v>631</v>
      </c>
      <c r="B61" s="62">
        <v>-0.34878975331945561</v>
      </c>
      <c r="C61" s="62">
        <v>-0.18418290149149186</v>
      </c>
      <c r="D61" s="62">
        <v>-0.39196565498616381</v>
      </c>
      <c r="E61" s="62">
        <v>-0.27281949441188408</v>
      </c>
      <c r="F61" s="62">
        <v>-0.14785957141720238</v>
      </c>
      <c r="G61" s="62">
        <v>-9.113408060649035E-2</v>
      </c>
      <c r="H61" s="62">
        <v>-0.10098214979210716</v>
      </c>
      <c r="I61" s="62">
        <v>-0.10285558967856109</v>
      </c>
      <c r="J61" s="62">
        <v>-0.19022776177040535</v>
      </c>
      <c r="K61" s="62">
        <v>-0.28009245094293822</v>
      </c>
      <c r="L61" s="62">
        <v>-0.22456508335254799</v>
      </c>
      <c r="M61" s="62">
        <v>-0.465926827489623</v>
      </c>
      <c r="N61" s="62">
        <v>0.37473878542566741</v>
      </c>
      <c r="O61" s="62">
        <v>0.34700138008561737</v>
      </c>
      <c r="P61" s="62">
        <v>-0.80182035104317906</v>
      </c>
      <c r="Q61" s="62">
        <v>0.52214727543266326</v>
      </c>
      <c r="R61" s="62">
        <v>0.34307853206918465</v>
      </c>
      <c r="S61" s="62">
        <v>-0.44082839834623289</v>
      </c>
      <c r="T61" s="62">
        <v>0.78430676920408215</v>
      </c>
      <c r="U61" s="62">
        <v>0.99608321228927665</v>
      </c>
      <c r="V61" s="62">
        <v>-0.45882124895036097</v>
      </c>
      <c r="W61" s="62">
        <v>0.62443640082978646</v>
      </c>
      <c r="X61" s="62">
        <v>-0.42758578741287573</v>
      </c>
      <c r="Y61" s="62">
        <v>-0.16224098338623338</v>
      </c>
      <c r="Z61" s="62">
        <v>-0.690657504452863</v>
      </c>
      <c r="AA61" s="62">
        <v>-0.471620804600206</v>
      </c>
      <c r="AB61" s="62">
        <v>-0.39907516456968195</v>
      </c>
      <c r="AC61" s="62">
        <v>-0.82177632533452205</v>
      </c>
      <c r="AD61" s="62">
        <v>0.5111106168030457</v>
      </c>
      <c r="AE61" s="62" t="e">
        <v>#DIV/0!</v>
      </c>
      <c r="AF61" s="62" t="e">
        <v>#DIV/0!</v>
      </c>
      <c r="AG61" s="62" t="e">
        <v>#DIV/0!</v>
      </c>
      <c r="AH61" s="62" t="e">
        <v>#DIV/0!</v>
      </c>
      <c r="AI61" s="62" t="e">
        <v>#DIV/0!</v>
      </c>
      <c r="AJ61" s="62">
        <v>0.43152219927201763</v>
      </c>
      <c r="AK61" s="62">
        <v>0.84432156789604207</v>
      </c>
      <c r="AL61" s="62" t="e">
        <v>#DIV/0!</v>
      </c>
      <c r="AM61" s="62">
        <v>0.99999999999999989</v>
      </c>
      <c r="AN61" s="62">
        <v>1</v>
      </c>
      <c r="AO61" s="62">
        <v>-0.41272469139934637</v>
      </c>
      <c r="AP61" s="62">
        <v>0.41304275634359783</v>
      </c>
      <c r="AQ61" s="62">
        <v>0.59519097129907939</v>
      </c>
      <c r="AR61" s="62">
        <v>0.83097330973312256</v>
      </c>
      <c r="AS61" s="62">
        <v>0.93305017212020602</v>
      </c>
      <c r="AT61" s="62">
        <v>-0.94285959786646245</v>
      </c>
      <c r="AU61" s="62">
        <v>0.20698534460553888</v>
      </c>
      <c r="AV61" s="62">
        <v>0.70722422499947368</v>
      </c>
      <c r="AW61" s="62">
        <v>-0.36999155615619728</v>
      </c>
      <c r="AX61" s="62">
        <v>-4.236134320460648E-2</v>
      </c>
      <c r="AY61" s="62">
        <v>-2.0144292969100638E-2</v>
      </c>
      <c r="AZ61" s="62">
        <v>-0.42992506792851015</v>
      </c>
      <c r="BA61" s="62">
        <v>-0.52187530508715119</v>
      </c>
      <c r="BB61" s="62">
        <v>-0.24277683926528115</v>
      </c>
      <c r="BC61" s="62" t="e">
        <v>#DIV/0!</v>
      </c>
      <c r="BD61" s="62">
        <v>0.59847361847329028</v>
      </c>
      <c r="BE61" s="62">
        <v>0.40014001856196563</v>
      </c>
      <c r="BF61" s="62">
        <v>0.33036661562642911</v>
      </c>
      <c r="BG61" s="62">
        <v>0.68915937963549756</v>
      </c>
      <c r="BH61" s="62">
        <v>0.97796022699421004</v>
      </c>
      <c r="BI61" s="62">
        <v>1</v>
      </c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</row>
    <row r="62" spans="1:84" x14ac:dyDescent="0.25">
      <c r="A62" s="61" t="s">
        <v>632</v>
      </c>
      <c r="B62" s="62">
        <v>-0.39397192557893518</v>
      </c>
      <c r="C62" s="62">
        <v>-0.35879540913527252</v>
      </c>
      <c r="D62" s="62">
        <v>-0.54236320400893878</v>
      </c>
      <c r="E62" s="62">
        <v>-0.41351057846371925</v>
      </c>
      <c r="F62" s="62" t="e">
        <v>#DIV/0!</v>
      </c>
      <c r="G62" s="62">
        <v>0.52818318421012322</v>
      </c>
      <c r="H62" s="62">
        <v>-4.7302370797938406E-2</v>
      </c>
      <c r="I62" s="62">
        <v>-3.2033721059720861E-2</v>
      </c>
      <c r="J62" s="62">
        <v>0.49987202787784063</v>
      </c>
      <c r="K62" s="62">
        <v>0.53452082607131013</v>
      </c>
      <c r="L62" s="62">
        <v>0.19607456200919185</v>
      </c>
      <c r="M62" s="62">
        <v>3.1952685164112122E-3</v>
      </c>
      <c r="N62" s="62">
        <v>-0.3340423182991531</v>
      </c>
      <c r="O62" s="62">
        <v>-0.27467704937938764</v>
      </c>
      <c r="P62" s="62">
        <v>0.96972801029313427</v>
      </c>
      <c r="Q62" s="62" t="e">
        <v>#DIV/0!</v>
      </c>
      <c r="R62" s="62">
        <v>3.9136365887648426E-2</v>
      </c>
      <c r="S62" s="62">
        <v>0.42621205986134747</v>
      </c>
      <c r="T62" s="62" t="e">
        <v>#DIV/0!</v>
      </c>
      <c r="U62" s="62" t="e">
        <v>#DIV/0!</v>
      </c>
      <c r="V62" s="62">
        <v>0.72152841308036919</v>
      </c>
      <c r="W62" s="62">
        <v>-0.27696161600062952</v>
      </c>
      <c r="X62" s="62">
        <v>0.66748070054800024</v>
      </c>
      <c r="Y62" s="62">
        <v>-0.57238996015395482</v>
      </c>
      <c r="Z62" s="62">
        <v>-7.1312315632112797E-3</v>
      </c>
      <c r="AA62" s="62">
        <v>0.26576756256540135</v>
      </c>
      <c r="AB62" s="62">
        <v>0.21038581780430207</v>
      </c>
      <c r="AC62" s="62">
        <v>-0.95229340175504007</v>
      </c>
      <c r="AD62" s="62">
        <v>0.16087003157749125</v>
      </c>
      <c r="AE62" s="62" t="e">
        <v>#DIV/0!</v>
      </c>
      <c r="AF62" s="62" t="e">
        <v>#DIV/0!</v>
      </c>
      <c r="AG62" s="62" t="e">
        <v>#DIV/0!</v>
      </c>
      <c r="AH62" s="62" t="e">
        <v>#DIV/0!</v>
      </c>
      <c r="AI62" s="62" t="e">
        <v>#DIV/0!</v>
      </c>
      <c r="AJ62" s="62">
        <v>-8.0375719530722145E-2</v>
      </c>
      <c r="AK62" s="62">
        <v>-0.57411152279722155</v>
      </c>
      <c r="AL62" s="62" t="e">
        <v>#DIV/0!</v>
      </c>
      <c r="AM62" s="62" t="e">
        <v>#DIV/0!</v>
      </c>
      <c r="AN62" s="62" t="e">
        <v>#DIV/0!</v>
      </c>
      <c r="AO62" s="62">
        <v>0.87859728719178543</v>
      </c>
      <c r="AP62" s="62">
        <v>0.15961331848972407</v>
      </c>
      <c r="AQ62" s="62">
        <v>-0.59118410848465697</v>
      </c>
      <c r="AR62" s="62">
        <v>0.63447753836538412</v>
      </c>
      <c r="AS62" s="62">
        <v>-0.4857399031706231</v>
      </c>
      <c r="AT62" s="62">
        <v>0.98384073948689288</v>
      </c>
      <c r="AU62" s="62">
        <v>-0.67126794638382714</v>
      </c>
      <c r="AV62" s="62">
        <v>-0.93659553282127339</v>
      </c>
      <c r="AW62" s="62">
        <v>-3.5106273891560853E-2</v>
      </c>
      <c r="AX62" s="62">
        <v>0.15254413187042259</v>
      </c>
      <c r="AY62" s="62">
        <v>0.64979756875695383</v>
      </c>
      <c r="AZ62" s="62">
        <v>0.54052835917065112</v>
      </c>
      <c r="BA62" s="62">
        <v>0.57246692311814606</v>
      </c>
      <c r="BB62" s="62">
        <v>0.3031045052327922</v>
      </c>
      <c r="BC62" s="62" t="e">
        <v>#DIV/0!</v>
      </c>
      <c r="BD62" s="62">
        <v>0.74195735169498145</v>
      </c>
      <c r="BE62" s="62">
        <v>-0.1026727344189538</v>
      </c>
      <c r="BF62" s="62">
        <v>-0.39220176087563435</v>
      </c>
      <c r="BG62" s="62">
        <v>-0.39229833761328586</v>
      </c>
      <c r="BH62" s="62">
        <v>-0.33824672120469934</v>
      </c>
      <c r="BI62" s="62">
        <v>-0.35794648928067913</v>
      </c>
      <c r="BJ62" s="62">
        <v>1</v>
      </c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</row>
    <row r="63" spans="1:84" x14ac:dyDescent="0.25">
      <c r="A63" s="61" t="s">
        <v>633</v>
      </c>
      <c r="B63" s="62">
        <v>-0.29624177467268697</v>
      </c>
      <c r="C63" s="62">
        <v>-0.23282797572201488</v>
      </c>
      <c r="D63" s="62">
        <v>-0.16002028321931674</v>
      </c>
      <c r="E63" s="62">
        <v>-0.28259204523071707</v>
      </c>
      <c r="F63" s="62" t="e">
        <v>#DIV/0!</v>
      </c>
      <c r="G63" s="62">
        <v>7.7546281961381192E-2</v>
      </c>
      <c r="H63" s="62">
        <v>-0.35505295812062909</v>
      </c>
      <c r="I63" s="62">
        <v>-0.34457223721373204</v>
      </c>
      <c r="J63" s="62">
        <v>-0.15971232766202256</v>
      </c>
      <c r="K63" s="62">
        <v>0.22442420056691686</v>
      </c>
      <c r="L63" s="62">
        <v>-0.3981948458141123</v>
      </c>
      <c r="M63" s="62">
        <v>-0.80965626565555826</v>
      </c>
      <c r="N63" s="62">
        <v>0.44306768508425742</v>
      </c>
      <c r="O63" s="62">
        <v>0.46443978759063165</v>
      </c>
      <c r="P63" s="62">
        <v>-0.57455573977842844</v>
      </c>
      <c r="Q63" s="62" t="e">
        <v>#DIV/0!</v>
      </c>
      <c r="R63" s="62">
        <v>0.36294831446204129</v>
      </c>
      <c r="S63" s="62">
        <v>0.34235897181782932</v>
      </c>
      <c r="T63" s="62">
        <v>-0.90217211619503634</v>
      </c>
      <c r="U63" s="62">
        <v>-0.95180220892944301</v>
      </c>
      <c r="V63" s="62">
        <v>0.5740900821443039</v>
      </c>
      <c r="W63" s="62">
        <v>0.83749554591243147</v>
      </c>
      <c r="X63" s="62">
        <v>0.95469204667155805</v>
      </c>
      <c r="Y63" s="62">
        <v>-0.44199831264326128</v>
      </c>
      <c r="Z63" s="62">
        <v>-0.30146616688723954</v>
      </c>
      <c r="AA63" s="62">
        <v>-0.18348770977115977</v>
      </c>
      <c r="AB63" s="62">
        <v>0.83477192124422672</v>
      </c>
      <c r="AC63" s="62">
        <v>-0.89354464000485467</v>
      </c>
      <c r="AD63" s="62">
        <v>-0.57628589279419984</v>
      </c>
      <c r="AE63" s="62" t="e">
        <v>#DIV/0!</v>
      </c>
      <c r="AF63" s="62" t="e">
        <v>#DIV/0!</v>
      </c>
      <c r="AG63" s="62" t="e">
        <v>#DIV/0!</v>
      </c>
      <c r="AH63" s="62" t="e">
        <v>#DIV/0!</v>
      </c>
      <c r="AI63" s="62" t="e">
        <v>#DIV/0!</v>
      </c>
      <c r="AJ63" s="62">
        <v>0.99237937498029105</v>
      </c>
      <c r="AK63" s="62">
        <v>0.96959536147120595</v>
      </c>
      <c r="AL63" s="62" t="e">
        <v>#DIV/0!</v>
      </c>
      <c r="AM63" s="62" t="e">
        <v>#DIV/0!</v>
      </c>
      <c r="AN63" s="62" t="e">
        <v>#DIV/0!</v>
      </c>
      <c r="AO63" s="62">
        <v>-0.83029368062236419</v>
      </c>
      <c r="AP63" s="62">
        <v>7.6295223623176714E-2</v>
      </c>
      <c r="AQ63" s="62">
        <v>-2.7508855745520651E-2</v>
      </c>
      <c r="AR63" s="62">
        <v>9.6446485151210182E-2</v>
      </c>
      <c r="AS63" s="62">
        <v>0.22960709525458248</v>
      </c>
      <c r="AT63" s="62">
        <v>-0.46909478445760244</v>
      </c>
      <c r="AU63" s="62">
        <v>0.90993497096009357</v>
      </c>
      <c r="AV63" s="62">
        <v>0.80104068309611409</v>
      </c>
      <c r="AW63" s="62">
        <v>-0.70004674305580017</v>
      </c>
      <c r="AX63" s="62">
        <v>0.13449083962153321</v>
      </c>
      <c r="AY63" s="62">
        <v>1.1077699240029775E-2</v>
      </c>
      <c r="AZ63" s="62">
        <v>0.31088399256998739</v>
      </c>
      <c r="BA63" s="62">
        <v>-0.43000156217383045</v>
      </c>
      <c r="BB63" s="62">
        <v>-5.7341465053085953E-2</v>
      </c>
      <c r="BC63" s="62" t="e">
        <v>#DIV/0!</v>
      </c>
      <c r="BD63" s="62">
        <v>0.29201771197562909</v>
      </c>
      <c r="BE63" s="62">
        <v>-0.2892439154537188</v>
      </c>
      <c r="BF63" s="62">
        <v>-0.14969688093987665</v>
      </c>
      <c r="BG63" s="62">
        <v>6.9916033899762434E-2</v>
      </c>
      <c r="BH63" s="62">
        <v>0.27259157593298172</v>
      </c>
      <c r="BI63" s="62">
        <v>0.29023466686598898</v>
      </c>
      <c r="BJ63" s="62">
        <v>0.30303412325483681</v>
      </c>
      <c r="BK63" s="62">
        <v>1</v>
      </c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</row>
    <row r="64" spans="1:84" x14ac:dyDescent="0.25">
      <c r="A64" s="61" t="s">
        <v>634</v>
      </c>
      <c r="B64" s="62">
        <v>-0.14786338226591639</v>
      </c>
      <c r="C64" s="62">
        <v>-0.15980013450210812</v>
      </c>
      <c r="D64" s="62">
        <v>-0.54424282447859562</v>
      </c>
      <c r="E64" s="62">
        <v>-7.4026340314646777E-2</v>
      </c>
      <c r="F64" s="62" t="e">
        <v>#DIV/0!</v>
      </c>
      <c r="G64" s="62">
        <v>0.16499521285566332</v>
      </c>
      <c r="H64" s="62">
        <v>0.53823901180314349</v>
      </c>
      <c r="I64" s="62">
        <v>0.54278558381336295</v>
      </c>
      <c r="J64" s="62">
        <v>0.36284405373103751</v>
      </c>
      <c r="K64" s="62">
        <v>-0.25965620041935145</v>
      </c>
      <c r="L64" s="62">
        <v>0.71044806525990634</v>
      </c>
      <c r="M64" s="62">
        <v>0.50761224814520101</v>
      </c>
      <c r="N64" s="62">
        <v>-0.60455122600067557</v>
      </c>
      <c r="O64" s="62">
        <v>-0.56875879462648804</v>
      </c>
      <c r="P64" s="62">
        <v>-0.13852389638507268</v>
      </c>
      <c r="Q64" s="62" t="e">
        <v>#DIV/0!</v>
      </c>
      <c r="R64" s="62">
        <v>-0.49997270233404406</v>
      </c>
      <c r="S64" s="62">
        <v>0.6352207162939002</v>
      </c>
      <c r="T64" s="62" t="e">
        <v>#DIV/0!</v>
      </c>
      <c r="U64" s="62" t="e">
        <v>#DIV/0!</v>
      </c>
      <c r="V64" s="62">
        <v>0.75424776672663285</v>
      </c>
      <c r="W64" s="62">
        <v>0.99449025116656109</v>
      </c>
      <c r="X64" s="62">
        <v>0.73114852984587708</v>
      </c>
      <c r="Y64" s="62">
        <v>-0.53492916009822267</v>
      </c>
      <c r="Z64" s="62">
        <v>1.8982595687636685E-2</v>
      </c>
      <c r="AA64" s="62">
        <v>0.16829240009015881</v>
      </c>
      <c r="AB64" s="62">
        <v>0.96097971365288093</v>
      </c>
      <c r="AC64" s="62">
        <v>-0.71900882893499896</v>
      </c>
      <c r="AD64" s="62">
        <v>-0.79376887363799853</v>
      </c>
      <c r="AE64" s="62" t="e">
        <v>#DIV/0!</v>
      </c>
      <c r="AF64" s="62" t="e">
        <v>#DIV/0!</v>
      </c>
      <c r="AG64" s="62" t="e">
        <v>#DIV/0!</v>
      </c>
      <c r="AH64" s="62" t="e">
        <v>#DIV/0!</v>
      </c>
      <c r="AI64" s="62" t="e">
        <v>#DIV/0!</v>
      </c>
      <c r="AJ64" s="62">
        <v>0.82723688503613113</v>
      </c>
      <c r="AK64" s="62">
        <v>0.97460053721533746</v>
      </c>
      <c r="AL64" s="62" t="e">
        <v>#DIV/0!</v>
      </c>
      <c r="AM64" s="62" t="e">
        <v>#DIV/0!</v>
      </c>
      <c r="AN64" s="62" t="e">
        <v>#DIV/0!</v>
      </c>
      <c r="AO64" s="62">
        <v>-0.48515809844510649</v>
      </c>
      <c r="AP64" s="62">
        <v>-2.3427614965459951E-2</v>
      </c>
      <c r="AQ64" s="62">
        <v>6.3304873694880219E-3</v>
      </c>
      <c r="AR64" s="62">
        <v>0.82762224329283907</v>
      </c>
      <c r="AS64" s="62">
        <v>-9.2498188130406278E-2</v>
      </c>
      <c r="AT64" s="62">
        <v>-0.5596095518247951</v>
      </c>
      <c r="AU64" s="62">
        <v>0.9485980593442821</v>
      </c>
      <c r="AV64" s="62">
        <v>-0.85679902216045911</v>
      </c>
      <c r="AW64" s="62">
        <v>9.4848368769843233E-2</v>
      </c>
      <c r="AX64" s="62">
        <v>-0.79315090442168212</v>
      </c>
      <c r="AY64" s="62">
        <v>0.58599218666034769</v>
      </c>
      <c r="AZ64" s="62">
        <v>0.33926777971256666</v>
      </c>
      <c r="BA64" s="62">
        <v>0.67636436213436502</v>
      </c>
      <c r="BB64" s="62">
        <v>0.70411909839587516</v>
      </c>
      <c r="BC64" s="62" t="e">
        <v>#DIV/0!</v>
      </c>
      <c r="BD64" s="62">
        <v>0.72405192144588282</v>
      </c>
      <c r="BE64" s="62">
        <v>3.1406992121187992E-2</v>
      </c>
      <c r="BF64" s="62">
        <v>-0.19620135192534202</v>
      </c>
      <c r="BG64" s="62">
        <v>-0.12039595908401764</v>
      </c>
      <c r="BH64" s="62">
        <v>2.4798201812734375E-2</v>
      </c>
      <c r="BI64" s="62">
        <v>4.0422632327422062E-2</v>
      </c>
      <c r="BJ64" s="62">
        <v>0.57488508044033104</v>
      </c>
      <c r="BK64" s="62">
        <v>-0.16448320385424686</v>
      </c>
      <c r="BL64" s="62">
        <v>1</v>
      </c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</row>
    <row r="65" spans="1:84" x14ac:dyDescent="0.25">
      <c r="A65" s="61" t="s">
        <v>635</v>
      </c>
      <c r="B65" s="62">
        <v>-0.15886266534374263</v>
      </c>
      <c r="C65" s="62">
        <v>5.474079436306524E-2</v>
      </c>
      <c r="D65" s="62">
        <v>-0.50384513059821356</v>
      </c>
      <c r="E65" s="62">
        <v>-0.20042646700881253</v>
      </c>
      <c r="F65" s="62" t="e">
        <v>#DIV/0!</v>
      </c>
      <c r="G65" s="62">
        <v>-9.5475335641796916E-2</v>
      </c>
      <c r="H65" s="62">
        <v>0.10697468114624158</v>
      </c>
      <c r="I65" s="62">
        <v>0.10581108015528519</v>
      </c>
      <c r="J65" s="62">
        <v>-0.15076213420316376</v>
      </c>
      <c r="K65" s="62">
        <v>-0.4467797813212066</v>
      </c>
      <c r="L65" s="62">
        <v>0.18865642716200692</v>
      </c>
      <c r="M65" s="62">
        <v>-0.27310233859797184</v>
      </c>
      <c r="N65" s="62">
        <v>9.0240305065964685E-2</v>
      </c>
      <c r="O65" s="62">
        <v>0.10091342080775463</v>
      </c>
      <c r="P65" s="62" t="e">
        <v>#DIV/0!</v>
      </c>
      <c r="Q65" s="62" t="e">
        <v>#DIV/0!</v>
      </c>
      <c r="R65" s="62" t="e">
        <v>#DIV/0!</v>
      </c>
      <c r="S65" s="62" t="e">
        <v>#DIV/0!</v>
      </c>
      <c r="T65" s="62" t="e">
        <v>#DIV/0!</v>
      </c>
      <c r="U65" s="62" t="e">
        <v>#DIV/0!</v>
      </c>
      <c r="V65" s="62" t="e">
        <v>#DIV/0!</v>
      </c>
      <c r="W65" s="62" t="e">
        <v>#DIV/0!</v>
      </c>
      <c r="X65" s="62" t="e">
        <v>#DIV/0!</v>
      </c>
      <c r="Y65" s="62" t="e">
        <v>#DIV/0!</v>
      </c>
      <c r="Z65" s="62" t="e">
        <v>#DIV/0!</v>
      </c>
      <c r="AA65" s="62" t="e">
        <v>#DIV/0!</v>
      </c>
      <c r="AB65" s="62" t="e">
        <v>#DIV/0!</v>
      </c>
      <c r="AC65" s="62" t="e">
        <v>#DIV/0!</v>
      </c>
      <c r="AD65" s="62" t="e">
        <v>#DIV/0!</v>
      </c>
      <c r="AE65" s="62" t="e">
        <v>#DIV/0!</v>
      </c>
      <c r="AF65" s="62" t="e">
        <v>#DIV/0!</v>
      </c>
      <c r="AG65" s="62" t="e">
        <v>#DIV/0!</v>
      </c>
      <c r="AH65" s="62" t="e">
        <v>#DIV/0!</v>
      </c>
      <c r="AI65" s="62" t="e">
        <v>#DIV/0!</v>
      </c>
      <c r="AJ65" s="62" t="e">
        <v>#DIV/0!</v>
      </c>
      <c r="AK65" s="62" t="e">
        <v>#DIV/0!</v>
      </c>
      <c r="AL65" s="62" t="e">
        <v>#DIV/0!</v>
      </c>
      <c r="AM65" s="62" t="e">
        <v>#DIV/0!</v>
      </c>
      <c r="AN65" s="62" t="e">
        <v>#DIV/0!</v>
      </c>
      <c r="AO65" s="62" t="e">
        <v>#DIV/0!</v>
      </c>
      <c r="AP65" s="62">
        <v>0.17207640174810876</v>
      </c>
      <c r="AQ65" s="62">
        <v>6.7569064700653714E-2</v>
      </c>
      <c r="AR65" s="62">
        <v>0.93227915987926491</v>
      </c>
      <c r="AS65" s="62">
        <v>0.34526744623204897</v>
      </c>
      <c r="AT65" s="62">
        <v>-0.80397543020269258</v>
      </c>
      <c r="AU65" s="62">
        <v>0.27547980049459814</v>
      </c>
      <c r="AV65" s="62">
        <v>-0.39778107526007683</v>
      </c>
      <c r="AW65" s="62">
        <v>-0.36059048872412464</v>
      </c>
      <c r="AX65" s="62">
        <v>-0.29461593757883847</v>
      </c>
      <c r="AY65" s="62">
        <v>0.35945798887133884</v>
      </c>
      <c r="AZ65" s="62">
        <v>-0.34225305990654364</v>
      </c>
      <c r="BA65" s="62">
        <v>-1.0000000000000002</v>
      </c>
      <c r="BB65" s="62">
        <v>0.5303397891573669</v>
      </c>
      <c r="BC65" s="62" t="e">
        <v>#DIV/0!</v>
      </c>
      <c r="BD65" s="62">
        <v>-1</v>
      </c>
      <c r="BE65" s="62">
        <v>-1</v>
      </c>
      <c r="BF65" s="62">
        <v>-0.1145556783196935</v>
      </c>
      <c r="BG65" s="62">
        <v>0.57864926094939684</v>
      </c>
      <c r="BH65" s="62">
        <v>0.33706509543880986</v>
      </c>
      <c r="BI65" s="62">
        <v>0.37237655637862388</v>
      </c>
      <c r="BJ65" s="62">
        <v>0.37381946275060579</v>
      </c>
      <c r="BK65" s="62">
        <v>4.5781680501864812E-2</v>
      </c>
      <c r="BL65" s="62">
        <v>0.68802397879534372</v>
      </c>
      <c r="BM65" s="62">
        <v>1</v>
      </c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</row>
    <row r="66" spans="1:84" x14ac:dyDescent="0.25">
      <c r="A66" s="61" t="s">
        <v>636</v>
      </c>
      <c r="B66" s="62">
        <v>-0.25017909114990639</v>
      </c>
      <c r="C66" s="62">
        <v>-0.13838469594592537</v>
      </c>
      <c r="D66" s="62">
        <v>-0.4656051696971315</v>
      </c>
      <c r="E66" s="62">
        <v>-0.21765998155856212</v>
      </c>
      <c r="F66" s="62">
        <v>1.1528270073820047E-2</v>
      </c>
      <c r="G66" s="62">
        <v>0.16822419951116083</v>
      </c>
      <c r="H66" s="62">
        <v>9.5775803481655278E-2</v>
      </c>
      <c r="I66" s="62">
        <v>0.10407731940623478</v>
      </c>
      <c r="J66" s="62">
        <v>0.27139984541112494</v>
      </c>
      <c r="K66" s="62">
        <v>-7.9888864004193497E-2</v>
      </c>
      <c r="L66" s="62">
        <v>0.24261570456678155</v>
      </c>
      <c r="M66" s="62">
        <v>3.6975205057498149E-2</v>
      </c>
      <c r="N66" s="62">
        <v>-0.40691025491116534</v>
      </c>
      <c r="O66" s="62">
        <v>-0.17577074427915135</v>
      </c>
      <c r="P66" s="62">
        <v>-0.34664196241104872</v>
      </c>
      <c r="Q66" s="62" t="e">
        <v>#DIV/0!</v>
      </c>
      <c r="R66" s="62">
        <v>5.5888884817737815E-2</v>
      </c>
      <c r="S66" s="62">
        <v>0.22214100950828641</v>
      </c>
      <c r="T66" s="62" t="e">
        <v>#DIV/0!</v>
      </c>
      <c r="U66" s="62" t="e">
        <v>#DIV/0!</v>
      </c>
      <c r="V66" s="62">
        <v>0.72790198506537329</v>
      </c>
      <c r="W66" s="62">
        <v>0.94922283925835382</v>
      </c>
      <c r="X66" s="62">
        <v>0.73605557108143593</v>
      </c>
      <c r="Y66" s="62">
        <v>-0.58503178974562364</v>
      </c>
      <c r="Z66" s="62">
        <v>-8.838534766964036E-2</v>
      </c>
      <c r="AA66" s="62">
        <v>0.17504263211718216</v>
      </c>
      <c r="AB66" s="62">
        <v>0.68264698939590751</v>
      </c>
      <c r="AC66" s="62">
        <v>-0.97383083323904784</v>
      </c>
      <c r="AD66" s="62">
        <v>-0.36891102995702629</v>
      </c>
      <c r="AE66" s="62" t="e">
        <v>#DIV/0!</v>
      </c>
      <c r="AF66" s="62" t="e">
        <v>#DIV/0!</v>
      </c>
      <c r="AG66" s="62" t="e">
        <v>#DIV/0!</v>
      </c>
      <c r="AH66" s="62" t="e">
        <v>#DIV/0!</v>
      </c>
      <c r="AI66" s="62" t="e">
        <v>#DIV/0!</v>
      </c>
      <c r="AJ66" s="62">
        <v>0.13982112980814082</v>
      </c>
      <c r="AK66" s="62">
        <v>0.99994116056760574</v>
      </c>
      <c r="AL66" s="62" t="e">
        <v>#DIV/0!</v>
      </c>
      <c r="AM66" s="62" t="e">
        <v>#DIV/0!</v>
      </c>
      <c r="AN66" s="62" t="e">
        <v>#DIV/0!</v>
      </c>
      <c r="AO66" s="62">
        <v>-0.64229230649181546</v>
      </c>
      <c r="AP66" s="62">
        <v>0.17707598953402001</v>
      </c>
      <c r="AQ66" s="62">
        <v>-0.13919669375422725</v>
      </c>
      <c r="AR66" s="62">
        <v>0.84494829017436879</v>
      </c>
      <c r="AS66" s="62">
        <v>0.11211751459209517</v>
      </c>
      <c r="AT66" s="62">
        <v>-0.96329737594658527</v>
      </c>
      <c r="AU66" s="62">
        <v>0.60053096455939869</v>
      </c>
      <c r="AV66" s="62">
        <v>-0.76379499155950648</v>
      </c>
      <c r="AW66" s="62">
        <v>-0.52278747290282412</v>
      </c>
      <c r="AX66" s="62">
        <v>-0.21486644237619323</v>
      </c>
      <c r="AY66" s="62">
        <v>0.28874956460944873</v>
      </c>
      <c r="AZ66" s="62">
        <v>0.4362781753101041</v>
      </c>
      <c r="BA66" s="62">
        <v>-3.1002734578460516E-2</v>
      </c>
      <c r="BB66" s="62">
        <v>0.24109850661106833</v>
      </c>
      <c r="BC66" s="62" t="e">
        <v>#DIV/0!</v>
      </c>
      <c r="BD66" s="62">
        <v>0.56399021224444379</v>
      </c>
      <c r="BE66" s="62">
        <v>-0.35526725415749383</v>
      </c>
      <c r="BF66" s="62">
        <v>-0.27259548144607887</v>
      </c>
      <c r="BG66" s="62">
        <v>5.8545016050215108E-2</v>
      </c>
      <c r="BH66" s="62">
        <v>0.25126366120809956</v>
      </c>
      <c r="BI66" s="62">
        <v>0.30923457055714204</v>
      </c>
      <c r="BJ66" s="62">
        <v>0.69997214271313279</v>
      </c>
      <c r="BK66" s="62">
        <v>0.47777551775080768</v>
      </c>
      <c r="BL66" s="62">
        <v>0.78489085205406606</v>
      </c>
      <c r="BM66" s="62">
        <v>0.78688374363127955</v>
      </c>
      <c r="BN66" s="62">
        <v>1</v>
      </c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</row>
    <row r="67" spans="1:84" x14ac:dyDescent="0.25">
      <c r="A67" s="61" t="s">
        <v>637</v>
      </c>
      <c r="B67" s="62">
        <v>-0.10423139036677065</v>
      </c>
      <c r="C67" s="62">
        <v>7.6445963474500922E-3</v>
      </c>
      <c r="D67" s="62">
        <v>-0.24209117085501236</v>
      </c>
      <c r="E67" s="62">
        <v>-2.3134425241214302E-2</v>
      </c>
      <c r="F67" s="62">
        <v>-7.8370000653845522E-3</v>
      </c>
      <c r="G67" s="62">
        <v>-2.9416907426129933E-2</v>
      </c>
      <c r="H67" s="62">
        <v>9.6799795821280094E-2</v>
      </c>
      <c r="I67" s="62">
        <v>9.7972817275263691E-2</v>
      </c>
      <c r="J67" s="62">
        <v>2.5978785740650386E-2</v>
      </c>
      <c r="K67" s="62">
        <v>-0.34729019441860892</v>
      </c>
      <c r="L67" s="62">
        <v>0.1019024664790423</v>
      </c>
      <c r="M67" s="62">
        <v>-0.16116749276679651</v>
      </c>
      <c r="N67" s="62">
        <v>-0.12471234120931837</v>
      </c>
      <c r="O67" s="62">
        <v>8.266854475756083E-2</v>
      </c>
      <c r="P67" s="62">
        <v>-0.69554000534224791</v>
      </c>
      <c r="Q67" s="62" t="e">
        <v>#DIV/0!</v>
      </c>
      <c r="R67" s="62">
        <v>8.7486087333961196E-2</v>
      </c>
      <c r="S67" s="62">
        <v>-0.36781783163539339</v>
      </c>
      <c r="T67" s="62">
        <v>1</v>
      </c>
      <c r="U67" s="62">
        <v>1</v>
      </c>
      <c r="V67" s="62">
        <v>0.47892799398064162</v>
      </c>
      <c r="W67" s="62">
        <v>0.74168154168009437</v>
      </c>
      <c r="X67" s="62">
        <v>0.92092273667737279</v>
      </c>
      <c r="Y67" s="62">
        <v>-0.31291952326286071</v>
      </c>
      <c r="Z67" s="62">
        <v>-0.38587134751669372</v>
      </c>
      <c r="AA67" s="62">
        <v>-0.24115759348716137</v>
      </c>
      <c r="AB67" s="62">
        <v>0.79912923858951479</v>
      </c>
      <c r="AC67" s="62">
        <v>-0.91959651652372965</v>
      </c>
      <c r="AD67" s="62">
        <v>-0.52464976153671283</v>
      </c>
      <c r="AE67" s="62" t="e">
        <v>#DIV/0!</v>
      </c>
      <c r="AF67" s="62" t="e">
        <v>#DIV/0!</v>
      </c>
      <c r="AG67" s="62" t="e">
        <v>#DIV/0!</v>
      </c>
      <c r="AH67" s="62" t="e">
        <v>#DIV/0!</v>
      </c>
      <c r="AI67" s="62" t="e">
        <v>#DIV/0!</v>
      </c>
      <c r="AJ67" s="62">
        <v>0.24145878172958343</v>
      </c>
      <c r="AK67" s="62">
        <v>0.91936443114287991</v>
      </c>
      <c r="AL67" s="62" t="e">
        <v>#DIV/0!</v>
      </c>
      <c r="AM67" s="62" t="e">
        <v>#DIV/0!</v>
      </c>
      <c r="AN67" s="62" t="e">
        <v>#DIV/0!</v>
      </c>
      <c r="AO67" s="62">
        <v>-0.77137430050646083</v>
      </c>
      <c r="AP67" s="62">
        <v>0.25144964864594482</v>
      </c>
      <c r="AQ67" s="62">
        <v>0.28192809238610106</v>
      </c>
      <c r="AR67" s="62">
        <v>0.87014930235937815</v>
      </c>
      <c r="AS67" s="62">
        <v>0.66501722801993768</v>
      </c>
      <c r="AT67" s="62">
        <v>-0.94618038393234782</v>
      </c>
      <c r="AU67" s="62">
        <v>0.55333343016995951</v>
      </c>
      <c r="AV67" s="62">
        <v>0.34953462893610615</v>
      </c>
      <c r="AW67" s="62">
        <v>-0.61919563352939466</v>
      </c>
      <c r="AX67" s="62">
        <v>-0.2873454170143902</v>
      </c>
      <c r="AY67" s="62">
        <v>-0.19637418743310239</v>
      </c>
      <c r="AZ67" s="62">
        <v>-1.6409319727192093E-2</v>
      </c>
      <c r="BA67" s="62">
        <v>-0.2159362311872553</v>
      </c>
      <c r="BB67" s="62">
        <v>5.1204564313092539E-2</v>
      </c>
      <c r="BC67" s="62" t="e">
        <v>#DIV/0!</v>
      </c>
      <c r="BD67" s="62">
        <v>0.41792723404659338</v>
      </c>
      <c r="BE67" s="62">
        <v>-0.44468490151606221</v>
      </c>
      <c r="BF67" s="62">
        <v>-6.5869286870801361E-2</v>
      </c>
      <c r="BG67" s="62">
        <v>0.47408847851639713</v>
      </c>
      <c r="BH67" s="62">
        <v>0.79884010914096781</v>
      </c>
      <c r="BI67" s="62">
        <v>0.82320135519257809</v>
      </c>
      <c r="BJ67" s="62">
        <v>0.19088013276847748</v>
      </c>
      <c r="BK67" s="62">
        <v>0.45920544051745282</v>
      </c>
      <c r="BL67" s="62">
        <v>0.50355192958078976</v>
      </c>
      <c r="BM67" s="62">
        <v>0.71013309353569498</v>
      </c>
      <c r="BN67" s="62">
        <v>0.79448405505100106</v>
      </c>
      <c r="BO67" s="62">
        <v>1</v>
      </c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</row>
    <row r="68" spans="1:84" x14ac:dyDescent="0.25">
      <c r="A68" s="61" t="s">
        <v>638</v>
      </c>
      <c r="B68" s="62" t="e">
        <v>#DIV/0!</v>
      </c>
      <c r="C68" s="62" t="e">
        <v>#DIV/0!</v>
      </c>
      <c r="D68" s="62" t="e">
        <v>#DIV/0!</v>
      </c>
      <c r="E68" s="62" t="e">
        <v>#DIV/0!</v>
      </c>
      <c r="F68" s="62" t="e">
        <v>#DIV/0!</v>
      </c>
      <c r="G68" s="62" t="e">
        <v>#DIV/0!</v>
      </c>
      <c r="H68" s="62" t="e">
        <v>#DIV/0!</v>
      </c>
      <c r="I68" s="62" t="e">
        <v>#DIV/0!</v>
      </c>
      <c r="J68" s="62" t="e">
        <v>#DIV/0!</v>
      </c>
      <c r="K68" s="62" t="e">
        <v>#DIV/0!</v>
      </c>
      <c r="L68" s="62" t="e">
        <v>#DIV/0!</v>
      </c>
      <c r="M68" s="62" t="e">
        <v>#DIV/0!</v>
      </c>
      <c r="N68" s="62" t="e">
        <v>#DIV/0!</v>
      </c>
      <c r="O68" s="62" t="e">
        <v>#DIV/0!</v>
      </c>
      <c r="P68" s="62" t="e">
        <v>#DIV/0!</v>
      </c>
      <c r="Q68" s="62" t="e">
        <v>#DIV/0!</v>
      </c>
      <c r="R68" s="62" t="e">
        <v>#DIV/0!</v>
      </c>
      <c r="S68" s="62" t="e">
        <v>#DIV/0!</v>
      </c>
      <c r="T68" s="62" t="e">
        <v>#DIV/0!</v>
      </c>
      <c r="U68" s="62" t="e">
        <v>#DIV/0!</v>
      </c>
      <c r="V68" s="62" t="e">
        <v>#DIV/0!</v>
      </c>
      <c r="W68" s="62" t="e">
        <v>#DIV/0!</v>
      </c>
      <c r="X68" s="62" t="e">
        <v>#DIV/0!</v>
      </c>
      <c r="Y68" s="62" t="e">
        <v>#DIV/0!</v>
      </c>
      <c r="Z68" s="62" t="e">
        <v>#DIV/0!</v>
      </c>
      <c r="AA68" s="62" t="e">
        <v>#DIV/0!</v>
      </c>
      <c r="AB68" s="62" t="e">
        <v>#DIV/0!</v>
      </c>
      <c r="AC68" s="62" t="e">
        <v>#DIV/0!</v>
      </c>
      <c r="AD68" s="62" t="e">
        <v>#DIV/0!</v>
      </c>
      <c r="AE68" s="62" t="e">
        <v>#DIV/0!</v>
      </c>
      <c r="AF68" s="62" t="e">
        <v>#DIV/0!</v>
      </c>
      <c r="AG68" s="62" t="e">
        <v>#DIV/0!</v>
      </c>
      <c r="AH68" s="62" t="e">
        <v>#DIV/0!</v>
      </c>
      <c r="AI68" s="62" t="e">
        <v>#DIV/0!</v>
      </c>
      <c r="AJ68" s="62" t="e">
        <v>#DIV/0!</v>
      </c>
      <c r="AK68" s="62" t="e">
        <v>#DIV/0!</v>
      </c>
      <c r="AL68" s="62" t="e">
        <v>#DIV/0!</v>
      </c>
      <c r="AM68" s="62" t="e">
        <v>#DIV/0!</v>
      </c>
      <c r="AN68" s="62" t="e">
        <v>#DIV/0!</v>
      </c>
      <c r="AO68" s="62" t="e">
        <v>#DIV/0!</v>
      </c>
      <c r="AP68" s="62" t="e">
        <v>#DIV/0!</v>
      </c>
      <c r="AQ68" s="62" t="e">
        <v>#DIV/0!</v>
      </c>
      <c r="AR68" s="62" t="e">
        <v>#DIV/0!</v>
      </c>
      <c r="AS68" s="62" t="e">
        <v>#DIV/0!</v>
      </c>
      <c r="AT68" s="62" t="e">
        <v>#DIV/0!</v>
      </c>
      <c r="AU68" s="62" t="e">
        <v>#DIV/0!</v>
      </c>
      <c r="AV68" s="62" t="e">
        <v>#DIV/0!</v>
      </c>
      <c r="AW68" s="62" t="e">
        <v>#DIV/0!</v>
      </c>
      <c r="AX68" s="62" t="e">
        <v>#DIV/0!</v>
      </c>
      <c r="AY68" s="62" t="e">
        <v>#DIV/0!</v>
      </c>
      <c r="AZ68" s="62" t="e">
        <v>#DIV/0!</v>
      </c>
      <c r="BA68" s="62" t="e">
        <v>#DIV/0!</v>
      </c>
      <c r="BB68" s="62" t="e">
        <v>#DIV/0!</v>
      </c>
      <c r="BC68" s="62" t="e">
        <v>#DIV/0!</v>
      </c>
      <c r="BD68" s="62" t="e">
        <v>#DIV/0!</v>
      </c>
      <c r="BE68" s="62" t="e">
        <v>#DIV/0!</v>
      </c>
      <c r="BF68" s="62" t="e">
        <v>#DIV/0!</v>
      </c>
      <c r="BG68" s="62" t="e">
        <v>#DIV/0!</v>
      </c>
      <c r="BH68" s="62" t="e">
        <v>#DIV/0!</v>
      </c>
      <c r="BI68" s="62" t="e">
        <v>#DIV/0!</v>
      </c>
      <c r="BJ68" s="62" t="e">
        <v>#DIV/0!</v>
      </c>
      <c r="BK68" s="62" t="e">
        <v>#DIV/0!</v>
      </c>
      <c r="BL68" s="62" t="e">
        <v>#DIV/0!</v>
      </c>
      <c r="BM68" s="62" t="e">
        <v>#DIV/0!</v>
      </c>
      <c r="BN68" s="62" t="e">
        <v>#DIV/0!</v>
      </c>
      <c r="BO68" s="62" t="e">
        <v>#DIV/0!</v>
      </c>
      <c r="BP68" s="62">
        <v>1</v>
      </c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</row>
    <row r="69" spans="1:84" x14ac:dyDescent="0.25">
      <c r="A69" s="61" t="s">
        <v>639</v>
      </c>
      <c r="B69" s="62">
        <v>-8.5872255024612695E-2</v>
      </c>
      <c r="C69" s="62">
        <v>-0.31712924623848027</v>
      </c>
      <c r="D69" s="62">
        <v>-0.19158463086019561</v>
      </c>
      <c r="E69" s="62">
        <v>-0.1305687561577811</v>
      </c>
      <c r="F69" s="62">
        <v>-0.40542119406741034</v>
      </c>
      <c r="G69" s="62">
        <v>-0.25865184511880918</v>
      </c>
      <c r="H69" s="62">
        <v>0.30270525744118848</v>
      </c>
      <c r="I69" s="62">
        <v>0.31308848967017322</v>
      </c>
      <c r="J69" s="62">
        <v>0.51878363621945178</v>
      </c>
      <c r="K69" s="62">
        <v>0.15960048833576701</v>
      </c>
      <c r="L69" s="62">
        <v>0.22550398711281583</v>
      </c>
      <c r="M69" s="62">
        <v>0.64420956559735609</v>
      </c>
      <c r="N69" s="62">
        <v>-0.38957663596476222</v>
      </c>
      <c r="O69" s="62">
        <v>-0.41202106593119153</v>
      </c>
      <c r="P69" s="62" t="e">
        <v>#DIV/0!</v>
      </c>
      <c r="Q69" s="62" t="e">
        <v>#DIV/0!</v>
      </c>
      <c r="R69" s="62">
        <v>1</v>
      </c>
      <c r="S69" s="62">
        <v>-0.96066932210799116</v>
      </c>
      <c r="T69" s="62">
        <v>0.99999999999999989</v>
      </c>
      <c r="U69" s="62">
        <v>1</v>
      </c>
      <c r="V69" s="62">
        <v>-1</v>
      </c>
      <c r="W69" s="62" t="e">
        <v>#DIV/0!</v>
      </c>
      <c r="X69" s="62" t="e">
        <v>#DIV/0!</v>
      </c>
      <c r="Y69" s="62" t="e">
        <v>#DIV/0!</v>
      </c>
      <c r="Z69" s="62" t="e">
        <v>#DIV/0!</v>
      </c>
      <c r="AA69" s="62" t="e">
        <v>#DIV/0!</v>
      </c>
      <c r="AB69" s="62" t="e">
        <v>#DIV/0!</v>
      </c>
      <c r="AC69" s="62" t="e">
        <v>#DIV/0!</v>
      </c>
      <c r="AD69" s="62" t="e">
        <v>#DIV/0!</v>
      </c>
      <c r="AE69" s="62" t="e">
        <v>#DIV/0!</v>
      </c>
      <c r="AF69" s="62" t="e">
        <v>#DIV/0!</v>
      </c>
      <c r="AG69" s="62" t="e">
        <v>#DIV/0!</v>
      </c>
      <c r="AH69" s="62" t="e">
        <v>#DIV/0!</v>
      </c>
      <c r="AI69" s="62" t="e">
        <v>#DIV/0!</v>
      </c>
      <c r="AJ69" s="62" t="e">
        <v>#DIV/0!</v>
      </c>
      <c r="AK69" s="62" t="e">
        <v>#DIV/0!</v>
      </c>
      <c r="AL69" s="62" t="e">
        <v>#DIV/0!</v>
      </c>
      <c r="AM69" s="62" t="e">
        <v>#DIV/0!</v>
      </c>
      <c r="AN69" s="62" t="e">
        <v>#DIV/0!</v>
      </c>
      <c r="AO69" s="62" t="e">
        <v>#DIV/0!</v>
      </c>
      <c r="AP69" s="62">
        <v>-8.1560011784412412E-2</v>
      </c>
      <c r="AQ69" s="62">
        <v>-0.34220387834350341</v>
      </c>
      <c r="AR69" s="62">
        <v>-1</v>
      </c>
      <c r="AS69" s="62">
        <v>-0.41746623514691855</v>
      </c>
      <c r="AT69" s="62" t="e">
        <v>#DIV/0!</v>
      </c>
      <c r="AU69" s="62" t="e">
        <v>#DIV/0!</v>
      </c>
      <c r="AV69" s="62" t="e">
        <v>#DIV/0!</v>
      </c>
      <c r="AW69" s="62">
        <v>0.23996631980560545</v>
      </c>
      <c r="AX69" s="62">
        <v>0.40863131099395444</v>
      </c>
      <c r="AY69" s="62">
        <v>-0.38794878158883278</v>
      </c>
      <c r="AZ69" s="62">
        <v>0.16033835088233914</v>
      </c>
      <c r="BA69" s="62">
        <v>-0.27551867129030638</v>
      </c>
      <c r="BB69" s="62">
        <v>-0.48654210490984839</v>
      </c>
      <c r="BC69" s="62" t="e">
        <v>#DIV/0!</v>
      </c>
      <c r="BD69" s="62">
        <v>2.6446886790942627E-2</v>
      </c>
      <c r="BE69" s="62">
        <v>9.9970073434208037E-2</v>
      </c>
      <c r="BF69" s="62">
        <v>-0.60559867844231363</v>
      </c>
      <c r="BG69" s="62">
        <v>-0.46502915579400084</v>
      </c>
      <c r="BH69" s="62">
        <v>-0.49796499458888865</v>
      </c>
      <c r="BI69" s="62">
        <v>-0.37982512245329825</v>
      </c>
      <c r="BJ69" s="62">
        <v>-0.1850087382265633</v>
      </c>
      <c r="BK69" s="62">
        <v>-0.49602370060900941</v>
      </c>
      <c r="BL69" s="62">
        <v>-0.66499275805720559</v>
      </c>
      <c r="BM69" s="62">
        <v>-0.94158897993819024</v>
      </c>
      <c r="BN69" s="62">
        <v>-0.50759604636302436</v>
      </c>
      <c r="BO69" s="62">
        <v>-0.5052046664052311</v>
      </c>
      <c r="BP69" s="62" t="e">
        <v>#DIV/0!</v>
      </c>
      <c r="BQ69" s="62">
        <v>1</v>
      </c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</row>
    <row r="70" spans="1:84" x14ac:dyDescent="0.25">
      <c r="A70" s="61" t="s">
        <v>640</v>
      </c>
      <c r="B70" s="62" t="e">
        <v>#DIV/0!</v>
      </c>
      <c r="C70" s="62" t="e">
        <v>#DIV/0!</v>
      </c>
      <c r="D70" s="62" t="e">
        <v>#DIV/0!</v>
      </c>
      <c r="E70" s="62" t="e">
        <v>#DIV/0!</v>
      </c>
      <c r="F70" s="62" t="e">
        <v>#DIV/0!</v>
      </c>
      <c r="G70" s="62" t="e">
        <v>#DIV/0!</v>
      </c>
      <c r="H70" s="62" t="e">
        <v>#DIV/0!</v>
      </c>
      <c r="I70" s="62" t="e">
        <v>#DIV/0!</v>
      </c>
      <c r="J70" s="62" t="e">
        <v>#DIV/0!</v>
      </c>
      <c r="K70" s="62" t="e">
        <v>#DIV/0!</v>
      </c>
      <c r="L70" s="62" t="e">
        <v>#DIV/0!</v>
      </c>
      <c r="M70" s="62" t="e">
        <v>#DIV/0!</v>
      </c>
      <c r="N70" s="62" t="e">
        <v>#DIV/0!</v>
      </c>
      <c r="O70" s="62" t="e">
        <v>#DIV/0!</v>
      </c>
      <c r="P70" s="62" t="e">
        <v>#DIV/0!</v>
      </c>
      <c r="Q70" s="62" t="e">
        <v>#DIV/0!</v>
      </c>
      <c r="R70" s="62" t="e">
        <v>#DIV/0!</v>
      </c>
      <c r="S70" s="62" t="e">
        <v>#DIV/0!</v>
      </c>
      <c r="T70" s="62" t="e">
        <v>#DIV/0!</v>
      </c>
      <c r="U70" s="62" t="e">
        <v>#DIV/0!</v>
      </c>
      <c r="V70" s="62" t="e">
        <v>#DIV/0!</v>
      </c>
      <c r="W70" s="62" t="e">
        <v>#DIV/0!</v>
      </c>
      <c r="X70" s="62" t="e">
        <v>#DIV/0!</v>
      </c>
      <c r="Y70" s="62" t="e">
        <v>#DIV/0!</v>
      </c>
      <c r="Z70" s="62" t="e">
        <v>#DIV/0!</v>
      </c>
      <c r="AA70" s="62" t="e">
        <v>#DIV/0!</v>
      </c>
      <c r="AB70" s="62" t="e">
        <v>#DIV/0!</v>
      </c>
      <c r="AC70" s="62" t="e">
        <v>#DIV/0!</v>
      </c>
      <c r="AD70" s="62" t="e">
        <v>#DIV/0!</v>
      </c>
      <c r="AE70" s="62" t="e">
        <v>#DIV/0!</v>
      </c>
      <c r="AF70" s="62" t="e">
        <v>#DIV/0!</v>
      </c>
      <c r="AG70" s="62" t="e">
        <v>#DIV/0!</v>
      </c>
      <c r="AH70" s="62" t="e">
        <v>#DIV/0!</v>
      </c>
      <c r="AI70" s="62" t="e">
        <v>#DIV/0!</v>
      </c>
      <c r="AJ70" s="62" t="e">
        <v>#DIV/0!</v>
      </c>
      <c r="AK70" s="62" t="e">
        <v>#DIV/0!</v>
      </c>
      <c r="AL70" s="62" t="e">
        <v>#DIV/0!</v>
      </c>
      <c r="AM70" s="62" t="e">
        <v>#DIV/0!</v>
      </c>
      <c r="AN70" s="62" t="e">
        <v>#DIV/0!</v>
      </c>
      <c r="AO70" s="62" t="e">
        <v>#DIV/0!</v>
      </c>
      <c r="AP70" s="62" t="e">
        <v>#DIV/0!</v>
      </c>
      <c r="AQ70" s="62" t="e">
        <v>#DIV/0!</v>
      </c>
      <c r="AR70" s="62" t="e">
        <v>#DIV/0!</v>
      </c>
      <c r="AS70" s="62" t="e">
        <v>#DIV/0!</v>
      </c>
      <c r="AT70" s="62" t="e">
        <v>#DIV/0!</v>
      </c>
      <c r="AU70" s="62" t="e">
        <v>#DIV/0!</v>
      </c>
      <c r="AV70" s="62" t="e">
        <v>#DIV/0!</v>
      </c>
      <c r="AW70" s="62" t="e">
        <v>#DIV/0!</v>
      </c>
      <c r="AX70" s="62" t="e">
        <v>#DIV/0!</v>
      </c>
      <c r="AY70" s="62" t="e">
        <v>#DIV/0!</v>
      </c>
      <c r="AZ70" s="62" t="e">
        <v>#DIV/0!</v>
      </c>
      <c r="BA70" s="62" t="e">
        <v>#DIV/0!</v>
      </c>
      <c r="BB70" s="62" t="e">
        <v>#DIV/0!</v>
      </c>
      <c r="BC70" s="62" t="e">
        <v>#DIV/0!</v>
      </c>
      <c r="BD70" s="62" t="e">
        <v>#DIV/0!</v>
      </c>
      <c r="BE70" s="62" t="e">
        <v>#DIV/0!</v>
      </c>
      <c r="BF70" s="62" t="e">
        <v>#DIV/0!</v>
      </c>
      <c r="BG70" s="62" t="e">
        <v>#DIV/0!</v>
      </c>
      <c r="BH70" s="62" t="e">
        <v>#DIV/0!</v>
      </c>
      <c r="BI70" s="62" t="e">
        <v>#DIV/0!</v>
      </c>
      <c r="BJ70" s="62" t="e">
        <v>#DIV/0!</v>
      </c>
      <c r="BK70" s="62" t="e">
        <v>#DIV/0!</v>
      </c>
      <c r="BL70" s="62" t="e">
        <v>#DIV/0!</v>
      </c>
      <c r="BM70" s="62" t="e">
        <v>#DIV/0!</v>
      </c>
      <c r="BN70" s="62" t="e">
        <v>#DIV/0!</v>
      </c>
      <c r="BO70" s="62" t="e">
        <v>#DIV/0!</v>
      </c>
      <c r="BP70" s="62" t="e">
        <v>#DIV/0!</v>
      </c>
      <c r="BQ70" s="62" t="e">
        <v>#DIV/0!</v>
      </c>
      <c r="BR70" s="62">
        <v>1</v>
      </c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</row>
    <row r="71" spans="1:84" x14ac:dyDescent="0.25">
      <c r="A71" s="61" t="s">
        <v>641</v>
      </c>
      <c r="B71" s="62">
        <v>-0.58782400009845781</v>
      </c>
      <c r="C71" s="62">
        <v>-0.40299394498179553</v>
      </c>
      <c r="D71" s="62">
        <v>-0.58782400009845781</v>
      </c>
      <c r="E71" s="62">
        <v>-0.58496499781788425</v>
      </c>
      <c r="F71" s="62">
        <v>-0.19490398051869881</v>
      </c>
      <c r="G71" s="62">
        <v>-2.2665032498477008E-2</v>
      </c>
      <c r="H71" s="62">
        <v>3.4141949560713696E-2</v>
      </c>
      <c r="I71" s="62">
        <v>4.7645480707316661E-2</v>
      </c>
      <c r="J71" s="62">
        <v>0.55278054658015796</v>
      </c>
      <c r="K71" s="62">
        <v>3.9969453356391509E-2</v>
      </c>
      <c r="L71" s="62">
        <v>0.22904722173259109</v>
      </c>
      <c r="M71" s="62">
        <v>4.9012989908833147E-2</v>
      </c>
      <c r="N71" s="62">
        <v>-0.49032629656578092</v>
      </c>
      <c r="O71" s="62">
        <v>-0.53580213325764769</v>
      </c>
      <c r="P71" s="62" t="e">
        <v>#DIV/0!</v>
      </c>
      <c r="Q71" s="62" t="e">
        <v>#DIV/0!</v>
      </c>
      <c r="R71" s="62">
        <v>1</v>
      </c>
      <c r="S71" s="62">
        <v>-0.91460339830835424</v>
      </c>
      <c r="T71" s="62">
        <v>1</v>
      </c>
      <c r="U71" s="62">
        <v>1</v>
      </c>
      <c r="V71" s="62">
        <v>-1</v>
      </c>
      <c r="W71" s="62" t="e">
        <v>#DIV/0!</v>
      </c>
      <c r="X71" s="62" t="e">
        <v>#DIV/0!</v>
      </c>
      <c r="Y71" s="62" t="e">
        <v>#DIV/0!</v>
      </c>
      <c r="Z71" s="62" t="e">
        <v>#DIV/0!</v>
      </c>
      <c r="AA71" s="62" t="e">
        <v>#DIV/0!</v>
      </c>
      <c r="AB71" s="62" t="e">
        <v>#DIV/0!</v>
      </c>
      <c r="AC71" s="62" t="e">
        <v>#DIV/0!</v>
      </c>
      <c r="AD71" s="62" t="e">
        <v>#DIV/0!</v>
      </c>
      <c r="AE71" s="62" t="e">
        <v>#DIV/0!</v>
      </c>
      <c r="AF71" s="62" t="e">
        <v>#DIV/0!</v>
      </c>
      <c r="AG71" s="62" t="e">
        <v>#DIV/0!</v>
      </c>
      <c r="AH71" s="62" t="e">
        <v>#DIV/0!</v>
      </c>
      <c r="AI71" s="62" t="e">
        <v>#DIV/0!</v>
      </c>
      <c r="AJ71" s="62" t="e">
        <v>#DIV/0!</v>
      </c>
      <c r="AK71" s="62" t="e">
        <v>#DIV/0!</v>
      </c>
      <c r="AL71" s="62" t="e">
        <v>#DIV/0!</v>
      </c>
      <c r="AM71" s="62" t="e">
        <v>#DIV/0!</v>
      </c>
      <c r="AN71" s="62" t="e">
        <v>#DIV/0!</v>
      </c>
      <c r="AO71" s="62" t="e">
        <v>#DIV/0!</v>
      </c>
      <c r="AP71" s="62">
        <v>0.74157170214499202</v>
      </c>
      <c r="AQ71" s="62">
        <v>0.11122453230262809</v>
      </c>
      <c r="AR71" s="62">
        <v>-0.99999999999999978</v>
      </c>
      <c r="AS71" s="62">
        <v>0.46603320856447011</v>
      </c>
      <c r="AT71" s="62" t="e">
        <v>#DIV/0!</v>
      </c>
      <c r="AU71" s="62" t="e">
        <v>#DIV/0!</v>
      </c>
      <c r="AV71" s="62" t="e">
        <v>#DIV/0!</v>
      </c>
      <c r="AW71" s="62">
        <v>-0.44022399745442492</v>
      </c>
      <c r="AX71" s="62">
        <v>0.26666875303410981</v>
      </c>
      <c r="AY71" s="62">
        <v>-0.87480084873868813</v>
      </c>
      <c r="AZ71" s="62">
        <v>-0.26389206595525638</v>
      </c>
      <c r="BA71" s="62">
        <v>-0.97045070629825347</v>
      </c>
      <c r="BB71" s="62">
        <v>-0.75105140414181792</v>
      </c>
      <c r="BC71" s="62" t="e">
        <v>#DIV/0!</v>
      </c>
      <c r="BD71" s="62">
        <v>0.45253248381052691</v>
      </c>
      <c r="BE71" s="62">
        <v>-0.84308909714606095</v>
      </c>
      <c r="BF71" s="62">
        <v>-0.89550586523718867</v>
      </c>
      <c r="BG71" s="62">
        <v>-0.31285650424239136</v>
      </c>
      <c r="BH71" s="62">
        <v>0.36851891650907892</v>
      </c>
      <c r="BI71" s="62">
        <v>0.24227341241434758</v>
      </c>
      <c r="BJ71" s="62">
        <v>0.11880015438616605</v>
      </c>
      <c r="BK71" s="62">
        <v>0.31992730650147849</v>
      </c>
      <c r="BL71" s="62">
        <v>-0.22439834893248761</v>
      </c>
      <c r="BM71" s="62">
        <v>-0.61672054734323956</v>
      </c>
      <c r="BN71" s="62">
        <v>0.17829356699332077</v>
      </c>
      <c r="BO71" s="62">
        <v>0.23194310354980219</v>
      </c>
      <c r="BP71" s="62" t="e">
        <v>#DIV/0!</v>
      </c>
      <c r="BQ71" s="62">
        <v>0.54251303509278959</v>
      </c>
      <c r="BR71" s="62" t="e">
        <v>#DIV/0!</v>
      </c>
      <c r="BS71" s="62">
        <v>1</v>
      </c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</row>
    <row r="72" spans="1:84" x14ac:dyDescent="0.25">
      <c r="A72" s="61" t="s">
        <v>642</v>
      </c>
      <c r="B72" s="62">
        <v>2.3356952842278136E-2</v>
      </c>
      <c r="C72" s="62">
        <v>-0.15737146173929525</v>
      </c>
      <c r="D72" s="62">
        <v>0.27897583673651932</v>
      </c>
      <c r="E72" s="62">
        <v>-0.18161297832128492</v>
      </c>
      <c r="F72" s="62">
        <v>0.19256829292065852</v>
      </c>
      <c r="G72" s="62">
        <v>5.3139244292575806E-2</v>
      </c>
      <c r="H72" s="62">
        <v>-0.38272885340609308</v>
      </c>
      <c r="I72" s="62">
        <v>-0.3724750635580682</v>
      </c>
      <c r="J72" s="62">
        <v>-0.55620334768606039</v>
      </c>
      <c r="K72" s="62">
        <v>0.79313038262364688</v>
      </c>
      <c r="L72" s="62">
        <v>-0.59360619472574661</v>
      </c>
      <c r="M72" s="62">
        <v>-0.44346553663424459</v>
      </c>
      <c r="N72" s="62">
        <v>0.69660652668434264</v>
      </c>
      <c r="O72" s="62">
        <v>0.70167518959641628</v>
      </c>
      <c r="P72" s="62" t="e">
        <v>#DIV/0!</v>
      </c>
      <c r="Q72" s="62" t="e">
        <v>#DIV/0!</v>
      </c>
      <c r="R72" s="62">
        <v>0.5829928913208704</v>
      </c>
      <c r="S72" s="62" t="e">
        <v>#DIV/0!</v>
      </c>
      <c r="T72" s="62" t="e">
        <v>#DIV/0!</v>
      </c>
      <c r="U72" s="62" t="e">
        <v>#DIV/0!</v>
      </c>
      <c r="V72" s="62" t="e">
        <v>#DIV/0!</v>
      </c>
      <c r="W72" s="62" t="e">
        <v>#DIV/0!</v>
      </c>
      <c r="X72" s="62" t="e">
        <v>#DIV/0!</v>
      </c>
      <c r="Y72" s="62" t="e">
        <v>#DIV/0!</v>
      </c>
      <c r="Z72" s="62" t="e">
        <v>#DIV/0!</v>
      </c>
      <c r="AA72" s="62" t="e">
        <v>#DIV/0!</v>
      </c>
      <c r="AB72" s="62" t="e">
        <v>#DIV/0!</v>
      </c>
      <c r="AC72" s="62" t="e">
        <v>#DIV/0!</v>
      </c>
      <c r="AD72" s="62" t="e">
        <v>#DIV/0!</v>
      </c>
      <c r="AE72" s="62" t="e">
        <v>#DIV/0!</v>
      </c>
      <c r="AF72" s="62" t="e">
        <v>#DIV/0!</v>
      </c>
      <c r="AG72" s="62" t="e">
        <v>#DIV/0!</v>
      </c>
      <c r="AH72" s="62" t="e">
        <v>#DIV/0!</v>
      </c>
      <c r="AI72" s="62" t="e">
        <v>#DIV/0!</v>
      </c>
      <c r="AJ72" s="62" t="e">
        <v>#DIV/0!</v>
      </c>
      <c r="AK72" s="62" t="e">
        <v>#DIV/0!</v>
      </c>
      <c r="AL72" s="62" t="e">
        <v>#DIV/0!</v>
      </c>
      <c r="AM72" s="62" t="e">
        <v>#DIV/0!</v>
      </c>
      <c r="AN72" s="62" t="e">
        <v>#DIV/0!</v>
      </c>
      <c r="AO72" s="62" t="e">
        <v>#DIV/0!</v>
      </c>
      <c r="AP72" s="62">
        <v>0.25659854348797617</v>
      </c>
      <c r="AQ72" s="62">
        <v>-7.3391484647723423E-2</v>
      </c>
      <c r="AR72" s="62">
        <v>-0.58194308172683751</v>
      </c>
      <c r="AS72" s="62">
        <v>-3.8278956506665733E-2</v>
      </c>
      <c r="AT72" s="62">
        <v>-0.88314782635449862</v>
      </c>
      <c r="AU72" s="62">
        <v>0.41475094770699833</v>
      </c>
      <c r="AV72" s="62">
        <v>0.96657044065215092</v>
      </c>
      <c r="AW72" s="62">
        <v>-0.99995212447633364</v>
      </c>
      <c r="AX72" s="62">
        <v>0.99995212447633386</v>
      </c>
      <c r="AY72" s="62">
        <v>-0.99995212447633397</v>
      </c>
      <c r="AZ72" s="62">
        <v>-0.99995212447633397</v>
      </c>
      <c r="BA72" s="62" t="e">
        <v>#DIV/0!</v>
      </c>
      <c r="BB72" s="62">
        <v>-0.99995212447633386</v>
      </c>
      <c r="BC72" s="62" t="e">
        <v>#DIV/0!</v>
      </c>
      <c r="BD72" s="62" t="e">
        <v>#DIV/0!</v>
      </c>
      <c r="BE72" s="62" t="e">
        <v>#DIV/0!</v>
      </c>
      <c r="BF72" s="62">
        <v>0.65680178419312907</v>
      </c>
      <c r="BG72" s="62">
        <v>0.53071238167935764</v>
      </c>
      <c r="BH72" s="62">
        <v>9.2452303713466532E-3</v>
      </c>
      <c r="BI72" s="62">
        <v>0.1969167002637765</v>
      </c>
      <c r="BJ72" s="62">
        <v>-0.73718339021275403</v>
      </c>
      <c r="BK72" s="62">
        <v>0.93179754080332511</v>
      </c>
      <c r="BL72" s="62">
        <v>-0.89009043032934243</v>
      </c>
      <c r="BM72" s="62">
        <v>-0.69659663056086196</v>
      </c>
      <c r="BN72" s="62">
        <v>-0.77889832213031163</v>
      </c>
      <c r="BO72" s="62">
        <v>-5.9141726334972181E-2</v>
      </c>
      <c r="BP72" s="62" t="e">
        <v>#DIV/0!</v>
      </c>
      <c r="BQ72" s="62">
        <v>0.99999999999999978</v>
      </c>
      <c r="BR72" s="62" t="e">
        <v>#DIV/0!</v>
      </c>
      <c r="BS72" s="62">
        <v>0.99999999999999989</v>
      </c>
      <c r="BT72" s="62">
        <v>1</v>
      </c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</row>
    <row r="73" spans="1:84" x14ac:dyDescent="0.25">
      <c r="A73" s="61" t="s">
        <v>643</v>
      </c>
      <c r="B73" s="62">
        <v>0.4092091632583113</v>
      </c>
      <c r="C73" s="62">
        <v>6.7469736257468035E-2</v>
      </c>
      <c r="D73" s="62">
        <v>0.62857269065861909</v>
      </c>
      <c r="E73" s="62">
        <v>4.7379093388884651E-2</v>
      </c>
      <c r="F73" s="62">
        <v>0.14237225626877051</v>
      </c>
      <c r="G73" s="62">
        <v>-7.4349262338034973E-4</v>
      </c>
      <c r="H73" s="62">
        <v>-8.0929138068939796E-2</v>
      </c>
      <c r="I73" s="62">
        <v>-6.233500552793305E-2</v>
      </c>
      <c r="J73" s="62">
        <v>-0.2808427806158888</v>
      </c>
      <c r="K73" s="62">
        <v>0.44094096122379439</v>
      </c>
      <c r="L73" s="62">
        <v>-0.19154864535829672</v>
      </c>
      <c r="M73" s="62">
        <v>-0.17969095589885006</v>
      </c>
      <c r="N73" s="62">
        <v>0.26666257791515546</v>
      </c>
      <c r="O73" s="62">
        <v>0.2627290175750307</v>
      </c>
      <c r="P73" s="62" t="e">
        <v>#DIV/0!</v>
      </c>
      <c r="Q73" s="62" t="e">
        <v>#DIV/0!</v>
      </c>
      <c r="R73" s="62">
        <v>0.1466601775614492</v>
      </c>
      <c r="S73" s="62" t="e">
        <v>#DIV/0!</v>
      </c>
      <c r="T73" s="62" t="e">
        <v>#DIV/0!</v>
      </c>
      <c r="U73" s="62" t="e">
        <v>#DIV/0!</v>
      </c>
      <c r="V73" s="62" t="e">
        <v>#DIV/0!</v>
      </c>
      <c r="W73" s="62" t="e">
        <v>#DIV/0!</v>
      </c>
      <c r="X73" s="62" t="e">
        <v>#DIV/0!</v>
      </c>
      <c r="Y73" s="62" t="e">
        <v>#DIV/0!</v>
      </c>
      <c r="Z73" s="62" t="e">
        <v>#DIV/0!</v>
      </c>
      <c r="AA73" s="62" t="e">
        <v>#DIV/0!</v>
      </c>
      <c r="AB73" s="62" t="e">
        <v>#DIV/0!</v>
      </c>
      <c r="AC73" s="62" t="e">
        <v>#DIV/0!</v>
      </c>
      <c r="AD73" s="62" t="e">
        <v>#DIV/0!</v>
      </c>
      <c r="AE73" s="62" t="e">
        <v>#DIV/0!</v>
      </c>
      <c r="AF73" s="62" t="e">
        <v>#DIV/0!</v>
      </c>
      <c r="AG73" s="62" t="e">
        <v>#DIV/0!</v>
      </c>
      <c r="AH73" s="62" t="e">
        <v>#DIV/0!</v>
      </c>
      <c r="AI73" s="62" t="e">
        <v>#DIV/0!</v>
      </c>
      <c r="AJ73" s="62" t="e">
        <v>#DIV/0!</v>
      </c>
      <c r="AK73" s="62" t="e">
        <v>#DIV/0!</v>
      </c>
      <c r="AL73" s="62" t="e">
        <v>#DIV/0!</v>
      </c>
      <c r="AM73" s="62" t="e">
        <v>#DIV/0!</v>
      </c>
      <c r="AN73" s="62" t="e">
        <v>#DIV/0!</v>
      </c>
      <c r="AO73" s="62" t="e">
        <v>#DIV/0!</v>
      </c>
      <c r="AP73" s="62">
        <v>-7.0425359418754399E-2</v>
      </c>
      <c r="AQ73" s="62">
        <v>-0.17497442817317035</v>
      </c>
      <c r="AR73" s="62">
        <v>-0.36162637178264312</v>
      </c>
      <c r="AS73" s="62">
        <v>-0.3354095639051386</v>
      </c>
      <c r="AT73" s="62">
        <v>-0.74462105431358194</v>
      </c>
      <c r="AU73" s="62">
        <v>0.18404994566213767</v>
      </c>
      <c r="AV73" s="62">
        <v>0.87668884303413208</v>
      </c>
      <c r="AW73" s="62">
        <v>-0.80295506854696608</v>
      </c>
      <c r="AX73" s="62">
        <v>0.8029550685469663</v>
      </c>
      <c r="AY73" s="62">
        <v>-0.80295506854696608</v>
      </c>
      <c r="AZ73" s="62">
        <v>-0.8029550685469663</v>
      </c>
      <c r="BA73" s="62" t="e">
        <v>#DIV/0!</v>
      </c>
      <c r="BB73" s="62">
        <v>-0.8029550685469663</v>
      </c>
      <c r="BC73" s="62" t="e">
        <v>#DIV/0!</v>
      </c>
      <c r="BD73" s="62" t="e">
        <v>#DIV/0!</v>
      </c>
      <c r="BE73" s="62" t="e">
        <v>#DIV/0!</v>
      </c>
      <c r="BF73" s="62">
        <v>0.18121588649171566</v>
      </c>
      <c r="BG73" s="62">
        <v>-2.696412957083617E-2</v>
      </c>
      <c r="BH73" s="62">
        <v>-0.33467149401698709</v>
      </c>
      <c r="BI73" s="62">
        <v>-0.24926536079719649</v>
      </c>
      <c r="BJ73" s="62">
        <v>-0.45350845320879191</v>
      </c>
      <c r="BK73" s="62">
        <v>0.50912790696262256</v>
      </c>
      <c r="BL73" s="62">
        <v>-0.57691679498396498</v>
      </c>
      <c r="BM73" s="62">
        <v>-0.65441901026933036</v>
      </c>
      <c r="BN73" s="62">
        <v>-0.42307446520648823</v>
      </c>
      <c r="BO73" s="62">
        <v>-1.4825663022732556E-2</v>
      </c>
      <c r="BP73" s="62" t="e">
        <v>#DIV/0!</v>
      </c>
      <c r="BQ73" s="62">
        <v>1</v>
      </c>
      <c r="BR73" s="62" t="e">
        <v>#DIV/0!</v>
      </c>
      <c r="BS73" s="62">
        <v>1</v>
      </c>
      <c r="BT73" s="62">
        <v>0.57678964710271396</v>
      </c>
      <c r="BU73" s="62">
        <v>1</v>
      </c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</row>
    <row r="74" spans="1:84" x14ac:dyDescent="0.25">
      <c r="A74" s="61" t="s">
        <v>644</v>
      </c>
      <c r="B74" s="62">
        <v>0.37273250147667453</v>
      </c>
      <c r="C74" s="62">
        <v>0.18916779520667437</v>
      </c>
      <c r="D74" s="62">
        <v>0.61318119941254812</v>
      </c>
      <c r="E74" s="62">
        <v>0.17418102635760033</v>
      </c>
      <c r="F74" s="62">
        <v>-0.1022212979524923</v>
      </c>
      <c r="G74" s="62">
        <v>-7.4860901439780844E-2</v>
      </c>
      <c r="H74" s="62">
        <v>2.9508169281945905E-2</v>
      </c>
      <c r="I74" s="62">
        <v>3.9349011417551656E-2</v>
      </c>
      <c r="J74" s="62">
        <v>-8.2677134972146585E-2</v>
      </c>
      <c r="K74" s="62">
        <v>0.12218358263883483</v>
      </c>
      <c r="L74" s="62">
        <v>7.5718927337836445E-2</v>
      </c>
      <c r="M74" s="62">
        <v>8.0575511715766088E-2</v>
      </c>
      <c r="N74" s="62">
        <v>-6.2138474827437049E-2</v>
      </c>
      <c r="O74" s="62">
        <v>1.8513853376024705E-2</v>
      </c>
      <c r="P74" s="62" t="e">
        <v>#DIV/0!</v>
      </c>
      <c r="Q74" s="62" t="e">
        <v>#DIV/0!</v>
      </c>
      <c r="R74" s="62">
        <v>0.50033481078410469</v>
      </c>
      <c r="S74" s="62">
        <v>1</v>
      </c>
      <c r="T74" s="62" t="e">
        <v>#DIV/0!</v>
      </c>
      <c r="U74" s="62" t="e">
        <v>#DIV/0!</v>
      </c>
      <c r="V74" s="62">
        <v>-1</v>
      </c>
      <c r="W74" s="62" t="e">
        <v>#DIV/0!</v>
      </c>
      <c r="X74" s="62" t="e">
        <v>#DIV/0!</v>
      </c>
      <c r="Y74" s="62" t="e">
        <v>#DIV/0!</v>
      </c>
      <c r="Z74" s="62" t="e">
        <v>#DIV/0!</v>
      </c>
      <c r="AA74" s="62" t="e">
        <v>#DIV/0!</v>
      </c>
      <c r="AB74" s="62" t="e">
        <v>#DIV/0!</v>
      </c>
      <c r="AC74" s="62" t="e">
        <v>#DIV/0!</v>
      </c>
      <c r="AD74" s="62" t="e">
        <v>#DIV/0!</v>
      </c>
      <c r="AE74" s="62" t="e">
        <v>#DIV/0!</v>
      </c>
      <c r="AF74" s="62" t="e">
        <v>#DIV/0!</v>
      </c>
      <c r="AG74" s="62" t="e">
        <v>#DIV/0!</v>
      </c>
      <c r="AH74" s="62" t="e">
        <v>#DIV/0!</v>
      </c>
      <c r="AI74" s="62" t="e">
        <v>#DIV/0!</v>
      </c>
      <c r="AJ74" s="62">
        <v>-1</v>
      </c>
      <c r="AK74" s="62" t="e">
        <v>#DIV/0!</v>
      </c>
      <c r="AL74" s="62" t="e">
        <v>#DIV/0!</v>
      </c>
      <c r="AM74" s="62">
        <v>-1</v>
      </c>
      <c r="AN74" s="62">
        <v>-1</v>
      </c>
      <c r="AO74" s="62">
        <v>-1</v>
      </c>
      <c r="AP74" s="62">
        <v>-0.18827465920465861</v>
      </c>
      <c r="AQ74" s="62">
        <v>-8.6553443722532694E-2</v>
      </c>
      <c r="AR74" s="62">
        <v>-0.2839654723877712</v>
      </c>
      <c r="AS74" s="62">
        <v>-0.32800632246670186</v>
      </c>
      <c r="AT74" s="62">
        <v>-0.66473306834791002</v>
      </c>
      <c r="AU74" s="62">
        <v>7.2211822091424127E-2</v>
      </c>
      <c r="AV74" s="62">
        <v>0.81695142477547422</v>
      </c>
      <c r="AW74" s="62">
        <v>-0.79848294209993453</v>
      </c>
      <c r="AX74" s="62">
        <v>0.79848294209993476</v>
      </c>
      <c r="AY74" s="62">
        <v>-0.79848294209993476</v>
      </c>
      <c r="AZ74" s="62">
        <v>-0.79848294209993464</v>
      </c>
      <c r="BA74" s="62" t="e">
        <v>#DIV/0!</v>
      </c>
      <c r="BB74" s="62">
        <v>-0.79848294209993464</v>
      </c>
      <c r="BC74" s="62" t="e">
        <v>#DIV/0!</v>
      </c>
      <c r="BD74" s="62" t="e">
        <v>#DIV/0!</v>
      </c>
      <c r="BE74" s="62" t="e">
        <v>#DIV/0!</v>
      </c>
      <c r="BF74" s="62">
        <v>-0.19881909303425727</v>
      </c>
      <c r="BG74" s="62">
        <v>-0.25035872179707608</v>
      </c>
      <c r="BH74" s="62">
        <v>-0.27414137510830072</v>
      </c>
      <c r="BI74" s="62">
        <v>-0.3134137920897514</v>
      </c>
      <c r="BJ74" s="62">
        <v>-0.45210651016448877</v>
      </c>
      <c r="BK74" s="62">
        <v>0.49221684440296154</v>
      </c>
      <c r="BL74" s="62">
        <v>-0.60103538426816772</v>
      </c>
      <c r="BM74" s="62">
        <v>-0.67976218893891516</v>
      </c>
      <c r="BN74" s="62">
        <v>-0.46400894516518304</v>
      </c>
      <c r="BO74" s="62">
        <v>-0.22927453763647407</v>
      </c>
      <c r="BP74" s="62" t="e">
        <v>#DIV/0!</v>
      </c>
      <c r="BQ74" s="62">
        <v>0.72458879945440136</v>
      </c>
      <c r="BR74" s="62" t="e">
        <v>#DIV/0!</v>
      </c>
      <c r="BS74" s="62">
        <v>-0.48312213996695985</v>
      </c>
      <c r="BT74" s="62">
        <v>0.28064248166979255</v>
      </c>
      <c r="BU74" s="62">
        <v>0.89318614736267254</v>
      </c>
      <c r="BV74" s="62">
        <v>1</v>
      </c>
      <c r="BW74" s="62"/>
      <c r="BX74" s="62"/>
      <c r="BY74" s="62"/>
      <c r="BZ74" s="62"/>
      <c r="CA74" s="62"/>
      <c r="CB74" s="62"/>
      <c r="CC74" s="62"/>
      <c r="CD74" s="62"/>
      <c r="CE74" s="62"/>
      <c r="CF74" s="62"/>
    </row>
    <row r="75" spans="1:84" x14ac:dyDescent="0.25">
      <c r="A75" s="61" t="s">
        <v>645</v>
      </c>
      <c r="B75" s="62">
        <v>-0.33204818094350158</v>
      </c>
      <c r="C75" s="62">
        <v>-0.28713588281620617</v>
      </c>
      <c r="D75" s="62">
        <v>-0.33671598745422276</v>
      </c>
      <c r="E75" s="62">
        <v>-0.35594622088660149</v>
      </c>
      <c r="F75" s="62">
        <v>6.7406431423023552E-4</v>
      </c>
      <c r="G75" s="62">
        <v>0.52597047329543767</v>
      </c>
      <c r="H75" s="62">
        <v>-0.46919881914730738</v>
      </c>
      <c r="I75" s="62">
        <v>-0.40494976976803504</v>
      </c>
      <c r="J75" s="62">
        <v>0.27246793740133185</v>
      </c>
      <c r="K75" s="62">
        <v>0.80302115512617533</v>
      </c>
      <c r="L75" s="62">
        <v>-0.26941831849583658</v>
      </c>
      <c r="M75" s="62">
        <v>-0.49373412348678264</v>
      </c>
      <c r="N75" s="62">
        <v>-0.17616525293176749</v>
      </c>
      <c r="O75" s="62">
        <v>-1.3827443055032687E-2</v>
      </c>
      <c r="P75" s="62">
        <v>0.56394842296706293</v>
      </c>
      <c r="Q75" s="62" t="e">
        <v>#DIV/0!</v>
      </c>
      <c r="R75" s="62">
        <v>-0.17326347428473196</v>
      </c>
      <c r="S75" s="62">
        <v>0.57890751965255582</v>
      </c>
      <c r="T75" s="62">
        <v>-0.55877675404652183</v>
      </c>
      <c r="U75" s="62">
        <v>-0.65194971961282033</v>
      </c>
      <c r="V75" s="62" t="e">
        <v>#DIV/0!</v>
      </c>
      <c r="W75" s="62">
        <v>-0.84447583483026101</v>
      </c>
      <c r="X75" s="62" t="e">
        <v>#DIV/0!</v>
      </c>
      <c r="Y75" s="62" t="e">
        <v>#DIV/0!</v>
      </c>
      <c r="Z75" s="62" t="e">
        <v>#DIV/0!</v>
      </c>
      <c r="AA75" s="62" t="e">
        <v>#DIV/0!</v>
      </c>
      <c r="AB75" s="62" t="e">
        <v>#DIV/0!</v>
      </c>
      <c r="AC75" s="62" t="e">
        <v>#DIV/0!</v>
      </c>
      <c r="AD75" s="62" t="e">
        <v>#DIV/0!</v>
      </c>
      <c r="AE75" s="62" t="e">
        <v>#DIV/0!</v>
      </c>
      <c r="AF75" s="62" t="e">
        <v>#DIV/0!</v>
      </c>
      <c r="AG75" s="62" t="e">
        <v>#DIV/0!</v>
      </c>
      <c r="AH75" s="62" t="e">
        <v>#DIV/0!</v>
      </c>
      <c r="AI75" s="62" t="e">
        <v>#DIV/0!</v>
      </c>
      <c r="AJ75" s="62">
        <v>0.60239475604412573</v>
      </c>
      <c r="AK75" s="62">
        <v>-0.97267185750176022</v>
      </c>
      <c r="AL75" s="62" t="e">
        <v>#DIV/0!</v>
      </c>
      <c r="AM75" s="62">
        <v>0.99999999999999978</v>
      </c>
      <c r="AN75" s="62">
        <v>1</v>
      </c>
      <c r="AO75" s="62">
        <v>0.9388917977338781</v>
      </c>
      <c r="AP75" s="62">
        <v>0.39662437331533223</v>
      </c>
      <c r="AQ75" s="62">
        <v>-0.60723385371893424</v>
      </c>
      <c r="AR75" s="62">
        <v>-0.11898919004141643</v>
      </c>
      <c r="AS75" s="62">
        <v>-0.31792032427088746</v>
      </c>
      <c r="AT75" s="62" t="e">
        <v>#DIV/0!</v>
      </c>
      <c r="AU75" s="62" t="e">
        <v>#DIV/0!</v>
      </c>
      <c r="AV75" s="62" t="e">
        <v>#DIV/0!</v>
      </c>
      <c r="AW75" s="62">
        <v>-0.59861412428591199</v>
      </c>
      <c r="AX75" s="62">
        <v>0.50998046722080492</v>
      </c>
      <c r="AY75" s="62">
        <v>-0.12223899348186719</v>
      </c>
      <c r="AZ75" s="62">
        <v>0.35781315719743872</v>
      </c>
      <c r="BA75" s="62" t="e">
        <v>#DIV/0!</v>
      </c>
      <c r="BB75" s="62">
        <v>-0.44659996347625142</v>
      </c>
      <c r="BC75" s="62" t="e">
        <v>#DIV/0!</v>
      </c>
      <c r="BD75" s="62">
        <v>0.63545604741573347</v>
      </c>
      <c r="BE75" s="62">
        <v>-9.7130170750364432E-3</v>
      </c>
      <c r="BF75" s="62">
        <v>0.61164524454831259</v>
      </c>
      <c r="BG75" s="62">
        <v>0.1004205533148919</v>
      </c>
      <c r="BH75" s="62">
        <v>5.0898051580802073E-2</v>
      </c>
      <c r="BI75" s="62">
        <v>0.16498665069370244</v>
      </c>
      <c r="BJ75" s="62">
        <v>0.76107317005783615</v>
      </c>
      <c r="BK75" s="62">
        <v>0.69415463622008489</v>
      </c>
      <c r="BL75" s="62">
        <v>0.1902890367034944</v>
      </c>
      <c r="BM75" s="62">
        <v>-0.662097637480621</v>
      </c>
      <c r="BN75" s="62">
        <v>0.54261096470177628</v>
      </c>
      <c r="BO75" s="62">
        <v>0.19737487884151714</v>
      </c>
      <c r="BP75" s="62" t="e">
        <v>#DIV/0!</v>
      </c>
      <c r="BQ75" s="62">
        <v>0.20901887569626629</v>
      </c>
      <c r="BR75" s="62" t="e">
        <v>#DIV/0!</v>
      </c>
      <c r="BS75" s="62">
        <v>0.5222805039099303</v>
      </c>
      <c r="BT75" s="62">
        <v>0.6467700114694177</v>
      </c>
      <c r="BU75" s="62">
        <v>0.49996067205228067</v>
      </c>
      <c r="BV75" s="62">
        <v>9.7869822890693445E-2</v>
      </c>
      <c r="BW75" s="62">
        <v>1</v>
      </c>
      <c r="BX75" s="62"/>
      <c r="BY75" s="62"/>
      <c r="BZ75" s="62"/>
      <c r="CA75" s="62"/>
      <c r="CB75" s="62"/>
      <c r="CC75" s="62"/>
      <c r="CD75" s="62"/>
      <c r="CE75" s="62"/>
      <c r="CF75" s="62"/>
    </row>
    <row r="76" spans="1:84" x14ac:dyDescent="0.25">
      <c r="A76" s="61" t="s">
        <v>646</v>
      </c>
      <c r="B76" s="62">
        <v>0.22403419575058556</v>
      </c>
      <c r="C76" s="62">
        <v>3.7230203491817604E-2</v>
      </c>
      <c r="D76" s="62">
        <v>0.29917211620063006</v>
      </c>
      <c r="E76" s="62">
        <v>-1.1977770558632068E-2</v>
      </c>
      <c r="F76" s="62">
        <v>-7.0975360230914247E-2</v>
      </c>
      <c r="G76" s="62">
        <v>-5.337514626341993E-2</v>
      </c>
      <c r="H76" s="62">
        <v>-5.6881712105143763E-2</v>
      </c>
      <c r="I76" s="62">
        <v>-4.4398520579613812E-2</v>
      </c>
      <c r="J76" s="62">
        <v>-0.19246049902715021</v>
      </c>
      <c r="K76" s="62">
        <v>0.4260195811438669</v>
      </c>
      <c r="L76" s="62">
        <v>-6.0802473381692548E-2</v>
      </c>
      <c r="M76" s="62">
        <v>-0.21794994571130613</v>
      </c>
      <c r="N76" s="62">
        <v>0.13423195597463466</v>
      </c>
      <c r="O76" s="62">
        <v>0.18023366049766892</v>
      </c>
      <c r="P76" s="62" t="e">
        <v>#DIV/0!</v>
      </c>
      <c r="Q76" s="62">
        <v>-1</v>
      </c>
      <c r="R76" s="62">
        <v>-7.2353996353715809E-3</v>
      </c>
      <c r="S76" s="62">
        <v>0.99046983095959151</v>
      </c>
      <c r="T76" s="62" t="e">
        <v>#DIV/0!</v>
      </c>
      <c r="U76" s="62" t="e">
        <v>#DIV/0!</v>
      </c>
      <c r="V76" s="62">
        <v>-0.46835604706109019</v>
      </c>
      <c r="W76" s="62" t="e">
        <v>#DIV/0!</v>
      </c>
      <c r="X76" s="62" t="e">
        <v>#DIV/0!</v>
      </c>
      <c r="Y76" s="62">
        <v>-1</v>
      </c>
      <c r="Z76" s="62">
        <v>1</v>
      </c>
      <c r="AA76" s="62">
        <v>-1.0000000000000002</v>
      </c>
      <c r="AB76" s="62" t="e">
        <v>#DIV/0!</v>
      </c>
      <c r="AC76" s="62" t="e">
        <v>#DIV/0!</v>
      </c>
      <c r="AD76" s="62" t="e">
        <v>#DIV/0!</v>
      </c>
      <c r="AE76" s="62" t="e">
        <v>#DIV/0!</v>
      </c>
      <c r="AF76" s="62" t="e">
        <v>#DIV/0!</v>
      </c>
      <c r="AG76" s="62" t="e">
        <v>#DIV/0!</v>
      </c>
      <c r="AH76" s="62" t="e">
        <v>#DIV/0!</v>
      </c>
      <c r="AI76" s="62" t="e">
        <v>#DIV/0!</v>
      </c>
      <c r="AJ76" s="62">
        <v>1</v>
      </c>
      <c r="AK76" s="62" t="e">
        <v>#DIV/0!</v>
      </c>
      <c r="AL76" s="62" t="e">
        <v>#DIV/0!</v>
      </c>
      <c r="AM76" s="62">
        <v>0.99999999999999989</v>
      </c>
      <c r="AN76" s="62">
        <v>1</v>
      </c>
      <c r="AO76" s="62">
        <v>1</v>
      </c>
      <c r="AP76" s="62">
        <v>-0.17572856470651615</v>
      </c>
      <c r="AQ76" s="62">
        <v>0.10985467626543029</v>
      </c>
      <c r="AR76" s="62">
        <v>-0.16918337191203217</v>
      </c>
      <c r="AS76" s="62">
        <v>-0.16169428617112222</v>
      </c>
      <c r="AT76" s="62">
        <v>-0.69316584251912639</v>
      </c>
      <c r="AU76" s="62">
        <v>0.11078249086279503</v>
      </c>
      <c r="AV76" s="62">
        <v>0.32019745898243823</v>
      </c>
      <c r="AW76" s="62">
        <v>0.56527539542647542</v>
      </c>
      <c r="AX76" s="62">
        <v>-0.2849230809817398</v>
      </c>
      <c r="AY76" s="62">
        <v>0.60243910786560106</v>
      </c>
      <c r="AZ76" s="62">
        <v>-0.98032706713352391</v>
      </c>
      <c r="BA76" s="62">
        <v>0.98683675568985008</v>
      </c>
      <c r="BB76" s="62">
        <v>0.12274714145764593</v>
      </c>
      <c r="BC76" s="62" t="e">
        <v>#DIV/0!</v>
      </c>
      <c r="BD76" s="62">
        <v>0.98683675568984996</v>
      </c>
      <c r="BE76" s="62">
        <v>-0.98683675568985008</v>
      </c>
      <c r="BF76" s="62">
        <v>8.7056455091610849E-2</v>
      </c>
      <c r="BG76" s="62">
        <v>-3.7297870539225834E-2</v>
      </c>
      <c r="BH76" s="62">
        <v>-0.20424538752518595</v>
      </c>
      <c r="BI76" s="62">
        <v>-6.8629502927877367E-2</v>
      </c>
      <c r="BJ76" s="62">
        <v>-0.42386228283572058</v>
      </c>
      <c r="BK76" s="62">
        <v>7.2959515510889528E-2</v>
      </c>
      <c r="BL76" s="62">
        <v>-0.3703279590323087</v>
      </c>
      <c r="BM76" s="62">
        <v>-9.6850262348550903E-2</v>
      </c>
      <c r="BN76" s="62">
        <v>-0.27959285321168176</v>
      </c>
      <c r="BO76" s="62">
        <v>8.8420700478590825E-2</v>
      </c>
      <c r="BP76" s="62" t="e">
        <v>#DIV/0!</v>
      </c>
      <c r="BQ76" s="62">
        <v>2.8290207945194639E-2</v>
      </c>
      <c r="BR76" s="62" t="e">
        <v>#DIV/0!</v>
      </c>
      <c r="BS76" s="62">
        <v>0.33529537859565828</v>
      </c>
      <c r="BT76" s="62">
        <v>0.559331492729498</v>
      </c>
      <c r="BU76" s="62">
        <v>0.94191058834861052</v>
      </c>
      <c r="BV76" s="62">
        <v>0.93543428140803819</v>
      </c>
      <c r="BW76" s="62">
        <v>0.38795926585033569</v>
      </c>
      <c r="BX76" s="62">
        <v>1</v>
      </c>
      <c r="BY76" s="62"/>
      <c r="BZ76" s="62"/>
      <c r="CA76" s="62"/>
      <c r="CB76" s="62"/>
      <c r="CC76" s="62"/>
      <c r="CD76" s="62"/>
      <c r="CE76" s="62"/>
      <c r="CF76" s="62"/>
    </row>
    <row r="77" spans="1:84" x14ac:dyDescent="0.25">
      <c r="A77" s="61" t="s">
        <v>647</v>
      </c>
      <c r="B77" s="62">
        <v>-0.38506559840436227</v>
      </c>
      <c r="C77" s="62">
        <v>-0.1721379178675361</v>
      </c>
      <c r="D77" s="62">
        <v>-0.38506559840436227</v>
      </c>
      <c r="E77" s="62">
        <v>-2.265477353279656E-2</v>
      </c>
      <c r="F77" s="62" t="e">
        <v>#DIV/0!</v>
      </c>
      <c r="G77" s="62" t="e">
        <v>#DIV/0!</v>
      </c>
      <c r="H77" s="62">
        <v>-1.7949517608961584E-2</v>
      </c>
      <c r="I77" s="62">
        <v>-2.3163693085313644E-2</v>
      </c>
      <c r="J77" s="62">
        <v>-0.34462105698620205</v>
      </c>
      <c r="K77" s="62">
        <v>0.71575352037930218</v>
      </c>
      <c r="L77" s="62">
        <v>-0.38931593611447685</v>
      </c>
      <c r="M77" s="62">
        <v>-0.602146676305926</v>
      </c>
      <c r="N77" s="62">
        <v>0.69893411166756403</v>
      </c>
      <c r="O77" s="62">
        <v>0.4545963982297998</v>
      </c>
      <c r="P77" s="62" t="e">
        <v>#DIV/0!</v>
      </c>
      <c r="Q77" s="62" t="e">
        <v>#DIV/0!</v>
      </c>
      <c r="R77" s="62">
        <v>-0.95166363465587567</v>
      </c>
      <c r="S77" s="62">
        <v>1</v>
      </c>
      <c r="T77" s="62" t="e">
        <v>#DIV/0!</v>
      </c>
      <c r="U77" s="62" t="e">
        <v>#DIV/0!</v>
      </c>
      <c r="V77" s="62">
        <v>-1</v>
      </c>
      <c r="W77" s="62" t="e">
        <v>#DIV/0!</v>
      </c>
      <c r="X77" s="62" t="e">
        <v>#DIV/0!</v>
      </c>
      <c r="Y77" s="62" t="e">
        <v>#DIV/0!</v>
      </c>
      <c r="Z77" s="62" t="e">
        <v>#DIV/0!</v>
      </c>
      <c r="AA77" s="62" t="e">
        <v>#DIV/0!</v>
      </c>
      <c r="AB77" s="62" t="e">
        <v>#DIV/0!</v>
      </c>
      <c r="AC77" s="62" t="e">
        <v>#DIV/0!</v>
      </c>
      <c r="AD77" s="62" t="e">
        <v>#DIV/0!</v>
      </c>
      <c r="AE77" s="62" t="e">
        <v>#DIV/0!</v>
      </c>
      <c r="AF77" s="62" t="e">
        <v>#DIV/0!</v>
      </c>
      <c r="AG77" s="62" t="e">
        <v>#DIV/0!</v>
      </c>
      <c r="AH77" s="62" t="e">
        <v>#DIV/0!</v>
      </c>
      <c r="AI77" s="62" t="e">
        <v>#DIV/0!</v>
      </c>
      <c r="AJ77" s="62" t="e">
        <v>#DIV/0!</v>
      </c>
      <c r="AK77" s="62" t="e">
        <v>#DIV/0!</v>
      </c>
      <c r="AL77" s="62" t="e">
        <v>#DIV/0!</v>
      </c>
      <c r="AM77" s="62" t="e">
        <v>#DIV/0!</v>
      </c>
      <c r="AN77" s="62" t="e">
        <v>#DIV/0!</v>
      </c>
      <c r="AO77" s="62" t="e">
        <v>#DIV/0!</v>
      </c>
      <c r="AP77" s="62">
        <v>0.29123067883910092</v>
      </c>
      <c r="AQ77" s="62">
        <v>0.68636276956182818</v>
      </c>
      <c r="AR77" s="62">
        <v>0.9636614526328261</v>
      </c>
      <c r="AS77" s="62">
        <v>0.89223633579623518</v>
      </c>
      <c r="AT77" s="62" t="e">
        <v>#DIV/0!</v>
      </c>
      <c r="AU77" s="62" t="e">
        <v>#DIV/0!</v>
      </c>
      <c r="AV77" s="62" t="e">
        <v>#DIV/0!</v>
      </c>
      <c r="AW77" s="62">
        <v>-0.9999710616670453</v>
      </c>
      <c r="AX77" s="62">
        <v>0.99997106166704552</v>
      </c>
      <c r="AY77" s="62">
        <v>-0.99997106166704564</v>
      </c>
      <c r="AZ77" s="62">
        <v>-0.99997106166704552</v>
      </c>
      <c r="BA77" s="62" t="e">
        <v>#DIV/0!</v>
      </c>
      <c r="BB77" s="62">
        <v>-0.99997106166704552</v>
      </c>
      <c r="BC77" s="62" t="e">
        <v>#DIV/0!</v>
      </c>
      <c r="BD77" s="62" t="e">
        <v>#DIV/0!</v>
      </c>
      <c r="BE77" s="62" t="e">
        <v>#DIV/0!</v>
      </c>
      <c r="BF77" s="62">
        <v>0.26463997740703532</v>
      </c>
      <c r="BG77" s="62">
        <v>0.76746690421104979</v>
      </c>
      <c r="BH77" s="62">
        <v>0.82807100929873689</v>
      </c>
      <c r="BI77" s="62">
        <v>0.81421799347207502</v>
      </c>
      <c r="BJ77" s="62">
        <v>-0.62168424752559071</v>
      </c>
      <c r="BK77" s="62">
        <v>0.91063393778932888</v>
      </c>
      <c r="BL77" s="62">
        <v>-0.42922339627886869</v>
      </c>
      <c r="BM77" s="62" t="e">
        <v>#DIV/0!</v>
      </c>
      <c r="BN77" s="62">
        <v>-0.30099053247747781</v>
      </c>
      <c r="BO77" s="62">
        <v>0.60076498507068832</v>
      </c>
      <c r="BP77" s="62" t="e">
        <v>#DIV/0!</v>
      </c>
      <c r="BQ77" s="62">
        <v>0.30831853341381826</v>
      </c>
      <c r="BR77" s="62" t="e">
        <v>#DIV/0!</v>
      </c>
      <c r="BS77" s="62">
        <v>0.99835976023805884</v>
      </c>
      <c r="BT77" s="62">
        <v>0.7285532147717001</v>
      </c>
      <c r="BU77" s="62">
        <v>-0.1375914037361127</v>
      </c>
      <c r="BV77" s="62">
        <v>-0.13929775692199378</v>
      </c>
      <c r="BW77" s="62">
        <v>0.23148799017661478</v>
      </c>
      <c r="BX77" s="62">
        <v>8.2189115490632056E-2</v>
      </c>
      <c r="BY77" s="62">
        <v>1</v>
      </c>
      <c r="BZ77" s="62"/>
      <c r="CA77" s="62"/>
      <c r="CB77" s="62"/>
      <c r="CC77" s="62"/>
      <c r="CD77" s="62"/>
      <c r="CE77" s="62"/>
      <c r="CF77" s="62"/>
    </row>
    <row r="78" spans="1:84" x14ac:dyDescent="0.25">
      <c r="A78" s="61" t="s">
        <v>648</v>
      </c>
      <c r="B78" s="62">
        <v>0.54616026928441386</v>
      </c>
      <c r="C78" s="62">
        <v>3.5612836769942598E-2</v>
      </c>
      <c r="D78" s="62">
        <v>0.54616026928441386</v>
      </c>
      <c r="E78" s="62">
        <v>0.51178526720534379</v>
      </c>
      <c r="F78" s="62" t="e">
        <v>#DIV/0!</v>
      </c>
      <c r="G78" s="62" t="e">
        <v>#DIV/0!</v>
      </c>
      <c r="H78" s="62">
        <v>0.107144198349343</v>
      </c>
      <c r="I78" s="62">
        <v>0.12995426342895783</v>
      </c>
      <c r="J78" s="62">
        <v>-0.84415452788745604</v>
      </c>
      <c r="K78" s="62">
        <v>0.99432807648455168</v>
      </c>
      <c r="L78" s="62">
        <v>-0.50266029006481761</v>
      </c>
      <c r="M78" s="62">
        <v>-0.76395863333610181</v>
      </c>
      <c r="N78" s="62">
        <v>0.89074984215907249</v>
      </c>
      <c r="O78" s="62">
        <v>0.99673893306748718</v>
      </c>
      <c r="P78" s="62" t="e">
        <v>#DIV/0!</v>
      </c>
      <c r="Q78" s="62" t="e">
        <v>#DIV/0!</v>
      </c>
      <c r="R78" s="62">
        <v>0.96831415779797092</v>
      </c>
      <c r="S78" s="62" t="e">
        <v>#DIV/0!</v>
      </c>
      <c r="T78" s="62" t="e">
        <v>#DIV/0!</v>
      </c>
      <c r="U78" s="62" t="e">
        <v>#DIV/0!</v>
      </c>
      <c r="V78" s="62" t="e">
        <v>#DIV/0!</v>
      </c>
      <c r="W78" s="62" t="e">
        <v>#DIV/0!</v>
      </c>
      <c r="X78" s="62" t="e">
        <v>#DIV/0!</v>
      </c>
      <c r="Y78" s="62" t="e">
        <v>#DIV/0!</v>
      </c>
      <c r="Z78" s="62" t="e">
        <v>#DIV/0!</v>
      </c>
      <c r="AA78" s="62" t="e">
        <v>#DIV/0!</v>
      </c>
      <c r="AB78" s="62" t="e">
        <v>#DIV/0!</v>
      </c>
      <c r="AC78" s="62" t="e">
        <v>#DIV/0!</v>
      </c>
      <c r="AD78" s="62" t="e">
        <v>#DIV/0!</v>
      </c>
      <c r="AE78" s="62" t="e">
        <v>#DIV/0!</v>
      </c>
      <c r="AF78" s="62" t="e">
        <v>#DIV/0!</v>
      </c>
      <c r="AG78" s="62" t="e">
        <v>#DIV/0!</v>
      </c>
      <c r="AH78" s="62" t="e">
        <v>#DIV/0!</v>
      </c>
      <c r="AI78" s="62" t="e">
        <v>#DIV/0!</v>
      </c>
      <c r="AJ78" s="62" t="e">
        <v>#DIV/0!</v>
      </c>
      <c r="AK78" s="62" t="e">
        <v>#DIV/0!</v>
      </c>
      <c r="AL78" s="62" t="e">
        <v>#DIV/0!</v>
      </c>
      <c r="AM78" s="62" t="e">
        <v>#DIV/0!</v>
      </c>
      <c r="AN78" s="62" t="e">
        <v>#DIV/0!</v>
      </c>
      <c r="AO78" s="62" t="e">
        <v>#DIV/0!</v>
      </c>
      <c r="AP78" s="62">
        <v>-0.16521860742277042</v>
      </c>
      <c r="AQ78" s="62">
        <v>0.60160860280675266</v>
      </c>
      <c r="AR78" s="62">
        <v>0.88729432165593092</v>
      </c>
      <c r="AS78" s="62">
        <v>0.47996009869856998</v>
      </c>
      <c r="AT78" s="62" t="e">
        <v>#DIV/0!</v>
      </c>
      <c r="AU78" s="62" t="e">
        <v>#DIV/0!</v>
      </c>
      <c r="AV78" s="62" t="e">
        <v>#DIV/0!</v>
      </c>
      <c r="AW78" s="62" t="e">
        <v>#DIV/0!</v>
      </c>
      <c r="AX78" s="62" t="e">
        <v>#DIV/0!</v>
      </c>
      <c r="AY78" s="62" t="e">
        <v>#DIV/0!</v>
      </c>
      <c r="AZ78" s="62" t="e">
        <v>#DIV/0!</v>
      </c>
      <c r="BA78" s="62" t="e">
        <v>#DIV/0!</v>
      </c>
      <c r="BB78" s="62" t="e">
        <v>#DIV/0!</v>
      </c>
      <c r="BC78" s="62" t="e">
        <v>#DIV/0!</v>
      </c>
      <c r="BD78" s="62" t="e">
        <v>#DIV/0!</v>
      </c>
      <c r="BE78" s="62" t="e">
        <v>#DIV/0!</v>
      </c>
      <c r="BF78" s="62">
        <v>-0.2028294875615525</v>
      </c>
      <c r="BG78" s="62">
        <v>4.3498972954725129E-2</v>
      </c>
      <c r="BH78" s="62">
        <v>0.12132525978397729</v>
      </c>
      <c r="BI78" s="62">
        <v>9.2760381200623715E-2</v>
      </c>
      <c r="BJ78" s="62">
        <v>-0.9361680093572573</v>
      </c>
      <c r="BK78" s="62">
        <v>0.58118274301039385</v>
      </c>
      <c r="BL78" s="62">
        <v>-0.96798045231237506</v>
      </c>
      <c r="BM78" s="62" t="e">
        <v>#DIV/0!</v>
      </c>
      <c r="BN78" s="62">
        <v>-0.76356733029323087</v>
      </c>
      <c r="BO78" s="62">
        <v>-0.15026657012695546</v>
      </c>
      <c r="BP78" s="62" t="e">
        <v>#DIV/0!</v>
      </c>
      <c r="BQ78" s="62" t="e">
        <v>#DIV/0!</v>
      </c>
      <c r="BR78" s="62" t="e">
        <v>#DIV/0!</v>
      </c>
      <c r="BS78" s="62" t="e">
        <v>#DIV/0!</v>
      </c>
      <c r="BT78" s="62">
        <v>0.82620708296010181</v>
      </c>
      <c r="BU78" s="62">
        <v>0.87934947508364802</v>
      </c>
      <c r="BV78" s="62">
        <v>0.9072060437931283</v>
      </c>
      <c r="BW78" s="62">
        <v>0.98733345053859078</v>
      </c>
      <c r="BX78" s="62">
        <v>0.87213222523307521</v>
      </c>
      <c r="BY78" s="62">
        <v>0.71537665602468625</v>
      </c>
      <c r="BZ78" s="62">
        <v>1</v>
      </c>
      <c r="CA78" s="62"/>
      <c r="CB78" s="62"/>
      <c r="CC78" s="62"/>
      <c r="CD78" s="62"/>
      <c r="CE78" s="62"/>
      <c r="CF78" s="62"/>
    </row>
    <row r="79" spans="1:84" x14ac:dyDescent="0.25">
      <c r="A79" s="61" t="s">
        <v>649</v>
      </c>
      <c r="B79" s="62" t="e">
        <v>#DIV/0!</v>
      </c>
      <c r="C79" s="62" t="e">
        <v>#DIV/0!</v>
      </c>
      <c r="D79" s="62" t="e">
        <v>#DIV/0!</v>
      </c>
      <c r="E79" s="62" t="e">
        <v>#DIV/0!</v>
      </c>
      <c r="F79" s="62" t="e">
        <v>#DIV/0!</v>
      </c>
      <c r="G79" s="62" t="e">
        <v>#DIV/0!</v>
      </c>
      <c r="H79" s="62" t="e">
        <v>#DIV/0!</v>
      </c>
      <c r="I79" s="62" t="e">
        <v>#DIV/0!</v>
      </c>
      <c r="J79" s="62" t="e">
        <v>#DIV/0!</v>
      </c>
      <c r="K79" s="62" t="e">
        <v>#DIV/0!</v>
      </c>
      <c r="L79" s="62" t="e">
        <v>#DIV/0!</v>
      </c>
      <c r="M79" s="62" t="e">
        <v>#DIV/0!</v>
      </c>
      <c r="N79" s="62" t="e">
        <v>#DIV/0!</v>
      </c>
      <c r="O79" s="62" t="e">
        <v>#DIV/0!</v>
      </c>
      <c r="P79" s="62" t="e">
        <v>#DIV/0!</v>
      </c>
      <c r="Q79" s="62" t="e">
        <v>#DIV/0!</v>
      </c>
      <c r="R79" s="62" t="e">
        <v>#DIV/0!</v>
      </c>
      <c r="S79" s="62" t="e">
        <v>#DIV/0!</v>
      </c>
      <c r="T79" s="62" t="e">
        <v>#DIV/0!</v>
      </c>
      <c r="U79" s="62" t="e">
        <v>#DIV/0!</v>
      </c>
      <c r="V79" s="62" t="e">
        <v>#DIV/0!</v>
      </c>
      <c r="W79" s="62" t="e">
        <v>#DIV/0!</v>
      </c>
      <c r="X79" s="62" t="e">
        <v>#DIV/0!</v>
      </c>
      <c r="Y79" s="62" t="e">
        <v>#DIV/0!</v>
      </c>
      <c r="Z79" s="62" t="e">
        <v>#DIV/0!</v>
      </c>
      <c r="AA79" s="62" t="e">
        <v>#DIV/0!</v>
      </c>
      <c r="AB79" s="62" t="e">
        <v>#DIV/0!</v>
      </c>
      <c r="AC79" s="62" t="e">
        <v>#DIV/0!</v>
      </c>
      <c r="AD79" s="62" t="e">
        <v>#DIV/0!</v>
      </c>
      <c r="AE79" s="62" t="e">
        <v>#DIV/0!</v>
      </c>
      <c r="AF79" s="62" t="e">
        <v>#DIV/0!</v>
      </c>
      <c r="AG79" s="62" t="e">
        <v>#DIV/0!</v>
      </c>
      <c r="AH79" s="62" t="e">
        <v>#DIV/0!</v>
      </c>
      <c r="AI79" s="62" t="e">
        <v>#DIV/0!</v>
      </c>
      <c r="AJ79" s="62" t="e">
        <v>#DIV/0!</v>
      </c>
      <c r="AK79" s="62" t="e">
        <v>#DIV/0!</v>
      </c>
      <c r="AL79" s="62" t="e">
        <v>#DIV/0!</v>
      </c>
      <c r="AM79" s="62" t="e">
        <v>#DIV/0!</v>
      </c>
      <c r="AN79" s="62" t="e">
        <v>#DIV/0!</v>
      </c>
      <c r="AO79" s="62" t="e">
        <v>#DIV/0!</v>
      </c>
      <c r="AP79" s="62" t="e">
        <v>#DIV/0!</v>
      </c>
      <c r="AQ79" s="62" t="e">
        <v>#DIV/0!</v>
      </c>
      <c r="AR79" s="62" t="e">
        <v>#DIV/0!</v>
      </c>
      <c r="AS79" s="62" t="e">
        <v>#DIV/0!</v>
      </c>
      <c r="AT79" s="62" t="e">
        <v>#DIV/0!</v>
      </c>
      <c r="AU79" s="62" t="e">
        <v>#DIV/0!</v>
      </c>
      <c r="AV79" s="62" t="e">
        <v>#DIV/0!</v>
      </c>
      <c r="AW79" s="62" t="e">
        <v>#DIV/0!</v>
      </c>
      <c r="AX79" s="62" t="e">
        <v>#DIV/0!</v>
      </c>
      <c r="AY79" s="62" t="e">
        <v>#DIV/0!</v>
      </c>
      <c r="AZ79" s="62" t="e">
        <v>#DIV/0!</v>
      </c>
      <c r="BA79" s="62" t="e">
        <v>#DIV/0!</v>
      </c>
      <c r="BB79" s="62" t="e">
        <v>#DIV/0!</v>
      </c>
      <c r="BC79" s="62" t="e">
        <v>#DIV/0!</v>
      </c>
      <c r="BD79" s="62" t="e">
        <v>#DIV/0!</v>
      </c>
      <c r="BE79" s="62" t="e">
        <v>#DIV/0!</v>
      </c>
      <c r="BF79" s="62" t="e">
        <v>#DIV/0!</v>
      </c>
      <c r="BG79" s="62" t="e">
        <v>#DIV/0!</v>
      </c>
      <c r="BH79" s="62" t="e">
        <v>#DIV/0!</v>
      </c>
      <c r="BI79" s="62" t="e">
        <v>#DIV/0!</v>
      </c>
      <c r="BJ79" s="62" t="e">
        <v>#DIV/0!</v>
      </c>
      <c r="BK79" s="62" t="e">
        <v>#DIV/0!</v>
      </c>
      <c r="BL79" s="62" t="e">
        <v>#DIV/0!</v>
      </c>
      <c r="BM79" s="62" t="e">
        <v>#DIV/0!</v>
      </c>
      <c r="BN79" s="62" t="e">
        <v>#DIV/0!</v>
      </c>
      <c r="BO79" s="62" t="e">
        <v>#DIV/0!</v>
      </c>
      <c r="BP79" s="62" t="e">
        <v>#DIV/0!</v>
      </c>
      <c r="BQ79" s="62" t="e">
        <v>#DIV/0!</v>
      </c>
      <c r="BR79" s="62" t="e">
        <v>#DIV/0!</v>
      </c>
      <c r="BS79" s="62" t="e">
        <v>#DIV/0!</v>
      </c>
      <c r="BT79" s="62" t="e">
        <v>#DIV/0!</v>
      </c>
      <c r="BU79" s="62" t="e">
        <v>#DIV/0!</v>
      </c>
      <c r="BV79" s="62" t="e">
        <v>#DIV/0!</v>
      </c>
      <c r="BW79" s="62" t="e">
        <v>#DIV/0!</v>
      </c>
      <c r="BX79" s="62" t="e">
        <v>#DIV/0!</v>
      </c>
      <c r="BY79" s="62" t="e">
        <v>#DIV/0!</v>
      </c>
      <c r="BZ79" s="62" t="e">
        <v>#DIV/0!</v>
      </c>
      <c r="CA79" s="62">
        <v>1</v>
      </c>
      <c r="CB79" s="62"/>
      <c r="CC79" s="62"/>
      <c r="CD79" s="62"/>
      <c r="CE79" s="62"/>
      <c r="CF79" s="62"/>
    </row>
    <row r="80" spans="1:84" x14ac:dyDescent="0.25">
      <c r="A80" s="61" t="s">
        <v>650</v>
      </c>
      <c r="B80" s="62">
        <v>-0.17207400801025877</v>
      </c>
      <c r="C80" s="62">
        <v>8.7800254512578904E-2</v>
      </c>
      <c r="D80" s="62">
        <v>-0.17207400801025877</v>
      </c>
      <c r="E80" s="62">
        <v>0.21811171773783075</v>
      </c>
      <c r="F80" s="62">
        <v>9.439610990408738E-2</v>
      </c>
      <c r="G80" s="62">
        <v>4.9789083022013292E-2</v>
      </c>
      <c r="H80" s="62">
        <v>0.17609487304669205</v>
      </c>
      <c r="I80" s="62">
        <v>0.17669686226246914</v>
      </c>
      <c r="J80" s="62">
        <v>-0.28098597690582411</v>
      </c>
      <c r="K80" s="62">
        <v>0.81911981353797503</v>
      </c>
      <c r="L80" s="62">
        <v>-0.28488228327684956</v>
      </c>
      <c r="M80" s="62">
        <v>-0.61193089402066658</v>
      </c>
      <c r="N80" s="62">
        <v>0.66212362675961045</v>
      </c>
      <c r="O80" s="62">
        <v>0.59297947641370408</v>
      </c>
      <c r="P80" s="62" t="e">
        <v>#DIV/0!</v>
      </c>
      <c r="Q80" s="62" t="e">
        <v>#DIV/0!</v>
      </c>
      <c r="R80" s="62">
        <v>0.85310797407542094</v>
      </c>
      <c r="S80" s="62">
        <v>-1</v>
      </c>
      <c r="T80" s="62" t="e">
        <v>#DIV/0!</v>
      </c>
      <c r="U80" s="62" t="e">
        <v>#DIV/0!</v>
      </c>
      <c r="V80" s="62">
        <v>1</v>
      </c>
      <c r="W80" s="62" t="e">
        <v>#DIV/0!</v>
      </c>
      <c r="X80" s="62" t="e">
        <v>#DIV/0!</v>
      </c>
      <c r="Y80" s="62" t="e">
        <v>#DIV/0!</v>
      </c>
      <c r="Z80" s="62" t="e">
        <v>#DIV/0!</v>
      </c>
      <c r="AA80" s="62" t="e">
        <v>#DIV/0!</v>
      </c>
      <c r="AB80" s="62" t="e">
        <v>#DIV/0!</v>
      </c>
      <c r="AC80" s="62" t="e">
        <v>#DIV/0!</v>
      </c>
      <c r="AD80" s="62" t="e">
        <v>#DIV/0!</v>
      </c>
      <c r="AE80" s="62" t="e">
        <v>#DIV/0!</v>
      </c>
      <c r="AF80" s="62" t="e">
        <v>#DIV/0!</v>
      </c>
      <c r="AG80" s="62" t="e">
        <v>#DIV/0!</v>
      </c>
      <c r="AH80" s="62" t="e">
        <v>#DIV/0!</v>
      </c>
      <c r="AI80" s="62" t="e">
        <v>#DIV/0!</v>
      </c>
      <c r="AJ80" s="62" t="e">
        <v>#DIV/0!</v>
      </c>
      <c r="AK80" s="62" t="e">
        <v>#DIV/0!</v>
      </c>
      <c r="AL80" s="62" t="e">
        <v>#DIV/0!</v>
      </c>
      <c r="AM80" s="62" t="e">
        <v>#DIV/0!</v>
      </c>
      <c r="AN80" s="62" t="e">
        <v>#DIV/0!</v>
      </c>
      <c r="AO80" s="62" t="e">
        <v>#DIV/0!</v>
      </c>
      <c r="AP80" s="62">
        <v>4.5900096052615316E-2</v>
      </c>
      <c r="AQ80" s="62">
        <v>0.89953658396985292</v>
      </c>
      <c r="AR80" s="62">
        <v>0.97600517589289515</v>
      </c>
      <c r="AS80" s="62">
        <v>0.77433294805919872</v>
      </c>
      <c r="AT80" s="62" t="e">
        <v>#DIV/0!</v>
      </c>
      <c r="AU80" s="62" t="e">
        <v>#DIV/0!</v>
      </c>
      <c r="AV80" s="62" t="e">
        <v>#DIV/0!</v>
      </c>
      <c r="AW80" s="62">
        <v>-0.99969087318122518</v>
      </c>
      <c r="AX80" s="62">
        <v>0.9996908731812254</v>
      </c>
      <c r="AY80" s="62">
        <v>-0.9996908731812254</v>
      </c>
      <c r="AZ80" s="62">
        <v>-0.9996908731812254</v>
      </c>
      <c r="BA80" s="62" t="e">
        <v>#DIV/0!</v>
      </c>
      <c r="BB80" s="62">
        <v>-0.9996908731812254</v>
      </c>
      <c r="BC80" s="62" t="e">
        <v>#DIV/0!</v>
      </c>
      <c r="BD80" s="62" t="e">
        <v>#DIV/0!</v>
      </c>
      <c r="BE80" s="62" t="e">
        <v>#DIV/0!</v>
      </c>
      <c r="BF80" s="62">
        <v>0.35870171431163655</v>
      </c>
      <c r="BG80" s="62">
        <v>0.80851155238101924</v>
      </c>
      <c r="BH80" s="62">
        <v>0.8580632051329089</v>
      </c>
      <c r="BI80" s="62">
        <v>0.80889409222246056</v>
      </c>
      <c r="BJ80" s="62">
        <v>-0.77992683629371073</v>
      </c>
      <c r="BK80" s="62">
        <v>0.96127045265891231</v>
      </c>
      <c r="BL80" s="62">
        <v>-0.66982710542658996</v>
      </c>
      <c r="BM80" s="62" t="e">
        <v>#DIV/0!</v>
      </c>
      <c r="BN80" s="62">
        <v>-0.37993315357101859</v>
      </c>
      <c r="BO80" s="62">
        <v>0.67612202263240506</v>
      </c>
      <c r="BP80" s="62" t="e">
        <v>#DIV/0!</v>
      </c>
      <c r="BQ80" s="62">
        <v>0.2107553072794289</v>
      </c>
      <c r="BR80" s="62" t="e">
        <v>#DIV/0!</v>
      </c>
      <c r="BS80" s="62">
        <v>0.62937219601093897</v>
      </c>
      <c r="BT80" s="62">
        <v>0.93267409435997217</v>
      </c>
      <c r="BU80" s="62">
        <v>0.14323610598656378</v>
      </c>
      <c r="BV80" s="62">
        <v>0.16289711229375203</v>
      </c>
      <c r="BW80" s="62">
        <v>0.40387083368022186</v>
      </c>
      <c r="BX80" s="62">
        <v>0.30698543386438626</v>
      </c>
      <c r="BY80" s="62">
        <v>0.92008120651785852</v>
      </c>
      <c r="BZ80" s="62">
        <v>0.79281443742005775</v>
      </c>
      <c r="CA80" s="62" t="e">
        <v>#DIV/0!</v>
      </c>
      <c r="CB80" s="62">
        <v>1</v>
      </c>
      <c r="CC80" s="62"/>
      <c r="CD80" s="62"/>
      <c r="CE80" s="62"/>
      <c r="CF80" s="62"/>
    </row>
    <row r="81" spans="1:84" x14ac:dyDescent="0.25">
      <c r="A81" s="61" t="s">
        <v>651</v>
      </c>
      <c r="B81" s="62">
        <v>9.2761455190663825E-2</v>
      </c>
      <c r="C81" s="62">
        <v>-0.15984882941395942</v>
      </c>
      <c r="D81" s="62">
        <v>9.2761455190663825E-2</v>
      </c>
      <c r="E81" s="62">
        <v>-5.5827244037767981E-2</v>
      </c>
      <c r="F81" s="62">
        <v>-0.2954240654513729</v>
      </c>
      <c r="G81" s="62">
        <v>-0.37750242324731542</v>
      </c>
      <c r="H81" s="62">
        <v>0.46133172068931744</v>
      </c>
      <c r="I81" s="62">
        <v>0.47434610807744376</v>
      </c>
      <c r="J81" s="62">
        <v>-4.5625433589991375E-2</v>
      </c>
      <c r="K81" s="62">
        <v>0.93029727111967397</v>
      </c>
      <c r="L81" s="62">
        <v>-0.16513067244897317</v>
      </c>
      <c r="M81" s="62">
        <v>-0.67456267926007851</v>
      </c>
      <c r="N81" s="62">
        <v>0.32373651172114865</v>
      </c>
      <c r="O81" s="62">
        <v>0.99804312065517897</v>
      </c>
      <c r="P81" s="62" t="e">
        <v>#DIV/0!</v>
      </c>
      <c r="Q81" s="62" t="e">
        <v>#DIV/0!</v>
      </c>
      <c r="R81" s="62">
        <v>-0.99416429666657657</v>
      </c>
      <c r="S81" s="62">
        <v>0.99999999999999978</v>
      </c>
      <c r="T81" s="62" t="e">
        <v>#DIV/0!</v>
      </c>
      <c r="U81" s="62" t="e">
        <v>#DIV/0!</v>
      </c>
      <c r="V81" s="62">
        <v>-1</v>
      </c>
      <c r="W81" s="62" t="e">
        <v>#DIV/0!</v>
      </c>
      <c r="X81" s="62" t="e">
        <v>#DIV/0!</v>
      </c>
      <c r="Y81" s="62" t="e">
        <v>#DIV/0!</v>
      </c>
      <c r="Z81" s="62" t="e">
        <v>#DIV/0!</v>
      </c>
      <c r="AA81" s="62" t="e">
        <v>#DIV/0!</v>
      </c>
      <c r="AB81" s="62" t="e">
        <v>#DIV/0!</v>
      </c>
      <c r="AC81" s="62" t="e">
        <v>#DIV/0!</v>
      </c>
      <c r="AD81" s="62" t="e">
        <v>#DIV/0!</v>
      </c>
      <c r="AE81" s="62" t="e">
        <v>#DIV/0!</v>
      </c>
      <c r="AF81" s="62" t="e">
        <v>#DIV/0!</v>
      </c>
      <c r="AG81" s="62" t="e">
        <v>#DIV/0!</v>
      </c>
      <c r="AH81" s="62" t="e">
        <v>#DIV/0!</v>
      </c>
      <c r="AI81" s="62" t="e">
        <v>#DIV/0!</v>
      </c>
      <c r="AJ81" s="62" t="e">
        <v>#DIV/0!</v>
      </c>
      <c r="AK81" s="62" t="e">
        <v>#DIV/0!</v>
      </c>
      <c r="AL81" s="62" t="e">
        <v>#DIV/0!</v>
      </c>
      <c r="AM81" s="62" t="e">
        <v>#DIV/0!</v>
      </c>
      <c r="AN81" s="62" t="e">
        <v>#DIV/0!</v>
      </c>
      <c r="AO81" s="62" t="e">
        <v>#DIV/0!</v>
      </c>
      <c r="AP81" s="62">
        <v>-0.31640582103363007</v>
      </c>
      <c r="AQ81" s="62">
        <v>0.70877767829388028</v>
      </c>
      <c r="AR81" s="62">
        <v>0.99992549994963398</v>
      </c>
      <c r="AS81" s="62">
        <v>0.19114091538342629</v>
      </c>
      <c r="AT81" s="62" t="e">
        <v>#DIV/0!</v>
      </c>
      <c r="AU81" s="62" t="e">
        <v>#DIV/0!</v>
      </c>
      <c r="AV81" s="62" t="e">
        <v>#DIV/0!</v>
      </c>
      <c r="AW81" s="62">
        <v>-0.99974242415690517</v>
      </c>
      <c r="AX81" s="62">
        <v>0.99974242415690528</v>
      </c>
      <c r="AY81" s="62">
        <v>-0.99974242415690528</v>
      </c>
      <c r="AZ81" s="62">
        <v>-0.99974242415690528</v>
      </c>
      <c r="BA81" s="62" t="e">
        <v>#DIV/0!</v>
      </c>
      <c r="BB81" s="62">
        <v>-0.99974242415690517</v>
      </c>
      <c r="BC81" s="62" t="e">
        <v>#DIV/0!</v>
      </c>
      <c r="BD81" s="62" t="e">
        <v>#DIV/0!</v>
      </c>
      <c r="BE81" s="62" t="e">
        <v>#DIV/0!</v>
      </c>
      <c r="BF81" s="62">
        <v>0.13601353332268332</v>
      </c>
      <c r="BG81" s="62">
        <v>0.43028221886771484</v>
      </c>
      <c r="BH81" s="62">
        <v>0.30877958086968793</v>
      </c>
      <c r="BI81" s="62">
        <v>0.434323962871833</v>
      </c>
      <c r="BJ81" s="62">
        <v>-0.61734960707501274</v>
      </c>
      <c r="BK81" s="62">
        <v>0.77833130751832713</v>
      </c>
      <c r="BL81" s="62">
        <v>-0.67238824534687958</v>
      </c>
      <c r="BM81" s="62" t="e">
        <v>#DIV/0!</v>
      </c>
      <c r="BN81" s="62">
        <v>-0.28733730365756727</v>
      </c>
      <c r="BO81" s="62">
        <v>0.56306630422724746</v>
      </c>
      <c r="BP81" s="62" t="e">
        <v>#DIV/0!</v>
      </c>
      <c r="BQ81" s="62">
        <v>0.58063423713448725</v>
      </c>
      <c r="BR81" s="62" t="e">
        <v>#DIV/0!</v>
      </c>
      <c r="BS81" s="62">
        <v>0.90928158176278329</v>
      </c>
      <c r="BT81" s="62">
        <v>0.82320846565054262</v>
      </c>
      <c r="BU81" s="62">
        <v>0.85009561195101657</v>
      </c>
      <c r="BV81" s="62">
        <v>0.83781516036370429</v>
      </c>
      <c r="BW81" s="62">
        <v>0.921221266643519</v>
      </c>
      <c r="BX81" s="62">
        <v>0.94915572040895002</v>
      </c>
      <c r="BY81" s="62">
        <v>0.40010796571464874</v>
      </c>
      <c r="BZ81" s="62">
        <v>0.88423802428602971</v>
      </c>
      <c r="CA81" s="62" t="e">
        <v>#DIV/0!</v>
      </c>
      <c r="CB81" s="62">
        <v>0.59098323332937319</v>
      </c>
      <c r="CC81" s="62">
        <v>1</v>
      </c>
      <c r="CD81" s="62"/>
      <c r="CE81" s="62"/>
      <c r="CF81" s="62"/>
    </row>
    <row r="82" spans="1:84" x14ac:dyDescent="0.25">
      <c r="A82" s="61" t="s">
        <v>652</v>
      </c>
      <c r="B82" s="62">
        <v>-0.72890727906281982</v>
      </c>
      <c r="C82" s="62">
        <v>-0.10508930882400339</v>
      </c>
      <c r="D82" s="62">
        <v>-0.72890727906281982</v>
      </c>
      <c r="E82" s="62" t="e">
        <v>#DIV/0!</v>
      </c>
      <c r="F82" s="62" t="e">
        <v>#DIV/0!</v>
      </c>
      <c r="G82" s="62" t="e">
        <v>#DIV/0!</v>
      </c>
      <c r="H82" s="62">
        <v>-0.441449909892976</v>
      </c>
      <c r="I82" s="62">
        <v>-0.44144990989297606</v>
      </c>
      <c r="J82" s="62">
        <v>1.3505437448736056E-2</v>
      </c>
      <c r="K82" s="62">
        <v>0.99828502071514491</v>
      </c>
      <c r="L82" s="62">
        <v>-0.36026136745969983</v>
      </c>
      <c r="M82" s="62">
        <v>-0.76805655112888138</v>
      </c>
      <c r="N82" s="62">
        <v>0.87545957381492412</v>
      </c>
      <c r="O82" s="62">
        <v>0.99570702347837192</v>
      </c>
      <c r="P82" s="62" t="e">
        <v>#DIV/0!</v>
      </c>
      <c r="Q82" s="62" t="e">
        <v>#DIV/0!</v>
      </c>
      <c r="R82" s="62" t="e">
        <v>#DIV/0!</v>
      </c>
      <c r="S82" s="62" t="e">
        <v>#DIV/0!</v>
      </c>
      <c r="T82" s="62" t="e">
        <v>#DIV/0!</v>
      </c>
      <c r="U82" s="62" t="e">
        <v>#DIV/0!</v>
      </c>
      <c r="V82" s="62" t="e">
        <v>#DIV/0!</v>
      </c>
      <c r="W82" s="62" t="e">
        <v>#DIV/0!</v>
      </c>
      <c r="X82" s="62" t="e">
        <v>#DIV/0!</v>
      </c>
      <c r="Y82" s="62" t="e">
        <v>#DIV/0!</v>
      </c>
      <c r="Z82" s="62" t="e">
        <v>#DIV/0!</v>
      </c>
      <c r="AA82" s="62" t="e">
        <v>#DIV/0!</v>
      </c>
      <c r="AB82" s="62" t="e">
        <v>#DIV/0!</v>
      </c>
      <c r="AC82" s="62" t="e">
        <v>#DIV/0!</v>
      </c>
      <c r="AD82" s="62" t="e">
        <v>#DIV/0!</v>
      </c>
      <c r="AE82" s="62" t="e">
        <v>#DIV/0!</v>
      </c>
      <c r="AF82" s="62" t="e">
        <v>#DIV/0!</v>
      </c>
      <c r="AG82" s="62" t="e">
        <v>#DIV/0!</v>
      </c>
      <c r="AH82" s="62" t="e">
        <v>#DIV/0!</v>
      </c>
      <c r="AI82" s="62" t="e">
        <v>#DIV/0!</v>
      </c>
      <c r="AJ82" s="62" t="e">
        <v>#DIV/0!</v>
      </c>
      <c r="AK82" s="62" t="e">
        <v>#DIV/0!</v>
      </c>
      <c r="AL82" s="62" t="e">
        <v>#DIV/0!</v>
      </c>
      <c r="AM82" s="62" t="e">
        <v>#DIV/0!</v>
      </c>
      <c r="AN82" s="62" t="e">
        <v>#DIV/0!</v>
      </c>
      <c r="AO82" s="62" t="e">
        <v>#DIV/0!</v>
      </c>
      <c r="AP82" s="62">
        <v>0.80393127459026092</v>
      </c>
      <c r="AQ82" s="62">
        <v>1</v>
      </c>
      <c r="AR82" s="62" t="e">
        <v>#DIV/0!</v>
      </c>
      <c r="AS82" s="62">
        <v>1</v>
      </c>
      <c r="AT82" s="62" t="e">
        <v>#DIV/0!</v>
      </c>
      <c r="AU82" s="62" t="e">
        <v>#DIV/0!</v>
      </c>
      <c r="AV82" s="62" t="e">
        <v>#DIV/0!</v>
      </c>
      <c r="AW82" s="62">
        <v>-0.99828502071514491</v>
      </c>
      <c r="AX82" s="62">
        <v>0.99828502071514513</v>
      </c>
      <c r="AY82" s="62">
        <v>-0.99828502071514491</v>
      </c>
      <c r="AZ82" s="62">
        <v>-0.9982850207151448</v>
      </c>
      <c r="BA82" s="62" t="e">
        <v>#DIV/0!</v>
      </c>
      <c r="BB82" s="62">
        <v>-0.99828502071514502</v>
      </c>
      <c r="BC82" s="62" t="e">
        <v>#DIV/0!</v>
      </c>
      <c r="BD82" s="62" t="e">
        <v>#DIV/0!</v>
      </c>
      <c r="BE82" s="62" t="e">
        <v>#DIV/0!</v>
      </c>
      <c r="BF82" s="62">
        <v>0.19749491739459629</v>
      </c>
      <c r="BG82" s="62">
        <v>0.8890948845415112</v>
      </c>
      <c r="BH82" s="62">
        <v>0.95822125179979178</v>
      </c>
      <c r="BI82" s="62">
        <v>0.94518345269512671</v>
      </c>
      <c r="BJ82" s="62">
        <v>-0.99999999999999989</v>
      </c>
      <c r="BK82" s="62">
        <v>1</v>
      </c>
      <c r="BL82" s="62">
        <v>-1</v>
      </c>
      <c r="BM82" s="62" t="e">
        <v>#DIV/0!</v>
      </c>
      <c r="BN82" s="62">
        <v>-1</v>
      </c>
      <c r="BO82" s="62">
        <v>0.90041053527515769</v>
      </c>
      <c r="BP82" s="62" t="e">
        <v>#DIV/0!</v>
      </c>
      <c r="BQ82" s="62">
        <v>-0.15032513371578707</v>
      </c>
      <c r="BR82" s="62" t="e">
        <v>#DIV/0!</v>
      </c>
      <c r="BS82" s="62">
        <v>0.91829716968283537</v>
      </c>
      <c r="BT82" s="62">
        <v>0.99881005593790961</v>
      </c>
      <c r="BU82" s="62">
        <v>0.83647060999442702</v>
      </c>
      <c r="BV82" s="62">
        <v>-0.65899361308835214</v>
      </c>
      <c r="BW82" s="62">
        <v>0.99770976324394078</v>
      </c>
      <c r="BX82" s="62">
        <v>0.5798141129356249</v>
      </c>
      <c r="BY82" s="62">
        <v>0.87272141855582863</v>
      </c>
      <c r="BZ82" s="62">
        <v>-1</v>
      </c>
      <c r="CA82" s="62" t="e">
        <v>#DIV/0!</v>
      </c>
      <c r="CB82" s="62">
        <v>0.89363138050651769</v>
      </c>
      <c r="CC82" s="62">
        <v>0.82254062642935843</v>
      </c>
      <c r="CD82" s="62">
        <v>1</v>
      </c>
      <c r="CE82" s="62"/>
      <c r="CF82" s="62"/>
    </row>
    <row r="83" spans="1:84" x14ac:dyDescent="0.25">
      <c r="A83" s="61" t="s">
        <v>653</v>
      </c>
      <c r="B83" s="62">
        <v>-0.71989008276163824</v>
      </c>
      <c r="C83" s="62">
        <v>-0.49349558426000611</v>
      </c>
      <c r="D83" s="62">
        <v>-0.71989008276163824</v>
      </c>
      <c r="E83" s="62">
        <v>-0.74794714091371184</v>
      </c>
      <c r="F83" s="62">
        <v>-0.54298835861462535</v>
      </c>
      <c r="G83" s="62">
        <v>-0.54298835861462535</v>
      </c>
      <c r="H83" s="62">
        <v>2.7428284796816291E-2</v>
      </c>
      <c r="I83" s="62">
        <v>-3.2565075767271599E-2</v>
      </c>
      <c r="J83" s="62">
        <v>0.14104790244142346</v>
      </c>
      <c r="K83" s="62">
        <v>0.99997619170439289</v>
      </c>
      <c r="L83" s="62">
        <v>-0.82372035915445041</v>
      </c>
      <c r="M83" s="62">
        <v>-0.99511639675761709</v>
      </c>
      <c r="N83" s="62">
        <v>-0.12059373882414412</v>
      </c>
      <c r="O83" s="62">
        <v>0.99915880313490846</v>
      </c>
      <c r="P83" s="62" t="e">
        <v>#DIV/0!</v>
      </c>
      <c r="Q83" s="62" t="e">
        <v>#DIV/0!</v>
      </c>
      <c r="R83" s="62" t="e">
        <v>#DIV/0!</v>
      </c>
      <c r="S83" s="62" t="e">
        <v>#DIV/0!</v>
      </c>
      <c r="T83" s="62" t="e">
        <v>#DIV/0!</v>
      </c>
      <c r="U83" s="62" t="e">
        <v>#DIV/0!</v>
      </c>
      <c r="V83" s="62" t="e">
        <v>#DIV/0!</v>
      </c>
      <c r="W83" s="62" t="e">
        <v>#DIV/0!</v>
      </c>
      <c r="X83" s="62" t="e">
        <v>#DIV/0!</v>
      </c>
      <c r="Y83" s="62" t="e">
        <v>#DIV/0!</v>
      </c>
      <c r="Z83" s="62" t="e">
        <v>#DIV/0!</v>
      </c>
      <c r="AA83" s="62" t="e">
        <v>#DIV/0!</v>
      </c>
      <c r="AB83" s="62" t="e">
        <v>#DIV/0!</v>
      </c>
      <c r="AC83" s="62" t="e">
        <v>#DIV/0!</v>
      </c>
      <c r="AD83" s="62" t="e">
        <v>#DIV/0!</v>
      </c>
      <c r="AE83" s="62" t="e">
        <v>#DIV/0!</v>
      </c>
      <c r="AF83" s="62" t="e">
        <v>#DIV/0!</v>
      </c>
      <c r="AG83" s="62" t="e">
        <v>#DIV/0!</v>
      </c>
      <c r="AH83" s="62" t="e">
        <v>#DIV/0!</v>
      </c>
      <c r="AI83" s="62" t="e">
        <v>#DIV/0!</v>
      </c>
      <c r="AJ83" s="62" t="e">
        <v>#DIV/0!</v>
      </c>
      <c r="AK83" s="62" t="e">
        <v>#DIV/0!</v>
      </c>
      <c r="AL83" s="62" t="e">
        <v>#DIV/0!</v>
      </c>
      <c r="AM83" s="62" t="e">
        <v>#DIV/0!</v>
      </c>
      <c r="AN83" s="62" t="e">
        <v>#DIV/0!</v>
      </c>
      <c r="AO83" s="62" t="e">
        <v>#DIV/0!</v>
      </c>
      <c r="AP83" s="62">
        <v>0.77214035478733822</v>
      </c>
      <c r="AQ83" s="62">
        <v>1</v>
      </c>
      <c r="AR83" s="62" t="e">
        <v>#DIV/0!</v>
      </c>
      <c r="AS83" s="62">
        <v>1.0000000000000002</v>
      </c>
      <c r="AT83" s="62" t="e">
        <v>#DIV/0!</v>
      </c>
      <c r="AU83" s="62" t="e">
        <v>#DIV/0!</v>
      </c>
      <c r="AV83" s="62" t="e">
        <v>#DIV/0!</v>
      </c>
      <c r="AW83" s="62">
        <v>-0.99997619170439289</v>
      </c>
      <c r="AX83" s="62">
        <v>0.99997619170439311</v>
      </c>
      <c r="AY83" s="62">
        <v>-0.99997619170439267</v>
      </c>
      <c r="AZ83" s="62">
        <v>-0.99997619170439289</v>
      </c>
      <c r="BA83" s="62" t="e">
        <v>#DIV/0!</v>
      </c>
      <c r="BB83" s="62">
        <v>-0.99997619170439289</v>
      </c>
      <c r="BC83" s="62" t="e">
        <v>#DIV/0!</v>
      </c>
      <c r="BD83" s="62" t="e">
        <v>#DIV/0!</v>
      </c>
      <c r="BE83" s="62" t="e">
        <v>#DIV/0!</v>
      </c>
      <c r="BF83" s="62">
        <v>0.14659788386608236</v>
      </c>
      <c r="BG83" s="62">
        <v>0.86426640256624598</v>
      </c>
      <c r="BH83" s="62">
        <v>0.94216866915669817</v>
      </c>
      <c r="BI83" s="62">
        <v>0.88402717750488369</v>
      </c>
      <c r="BJ83" s="62">
        <v>-0.99999999999999978</v>
      </c>
      <c r="BK83" s="62">
        <v>1</v>
      </c>
      <c r="BL83" s="62">
        <v>-0.99999999999999989</v>
      </c>
      <c r="BM83" s="62" t="e">
        <v>#DIV/0!</v>
      </c>
      <c r="BN83" s="62">
        <v>-0.26858802425224682</v>
      </c>
      <c r="BO83" s="62">
        <v>0.49605652798286015</v>
      </c>
      <c r="BP83" s="62" t="e">
        <v>#DIV/0!</v>
      </c>
      <c r="BQ83" s="62">
        <v>0.75643502596306</v>
      </c>
      <c r="BR83" s="62" t="e">
        <v>#DIV/0!</v>
      </c>
      <c r="BS83" s="62">
        <v>0.98967092992248729</v>
      </c>
      <c r="BT83" s="62">
        <v>0.99999583898423372</v>
      </c>
      <c r="BU83" s="62">
        <v>0.8070488847164039</v>
      </c>
      <c r="BV83" s="62">
        <v>-0.12645768998688661</v>
      </c>
      <c r="BW83" s="62">
        <v>0.79473850294364612</v>
      </c>
      <c r="BX83" s="62">
        <v>0.95810660813226922</v>
      </c>
      <c r="BY83" s="62">
        <v>0.99575495181199869</v>
      </c>
      <c r="BZ83" s="62">
        <v>-1</v>
      </c>
      <c r="CA83" s="62" t="e">
        <v>#DIV/0!</v>
      </c>
      <c r="CB83" s="62">
        <v>0.61481027288857781</v>
      </c>
      <c r="CC83" s="62">
        <v>0.89853549725419657</v>
      </c>
      <c r="CD83" s="63">
        <v>0.8254301796557737</v>
      </c>
      <c r="CE83" s="62">
        <v>1</v>
      </c>
      <c r="CF83" s="62"/>
    </row>
    <row r="84" spans="1:84" x14ac:dyDescent="0.25">
      <c r="A84" s="61" t="s">
        <v>654</v>
      </c>
      <c r="B84" s="62">
        <v>-2.0459274281478076E-2</v>
      </c>
      <c r="C84" s="62">
        <v>0.36275096620229164</v>
      </c>
      <c r="D84" s="62">
        <v>-2.0459274281478076E-2</v>
      </c>
      <c r="E84" s="62">
        <v>0.57279696852581119</v>
      </c>
      <c r="F84" s="62">
        <v>0.60021229153602351</v>
      </c>
      <c r="G84" s="62">
        <v>0.60021229153602351</v>
      </c>
      <c r="H84" s="62">
        <v>-0.84529388178235687</v>
      </c>
      <c r="I84" s="62">
        <v>-0.83883187952289351</v>
      </c>
      <c r="J84" s="62">
        <v>-0.66808113772234401</v>
      </c>
      <c r="K84" s="62">
        <v>0.99881410487795907</v>
      </c>
      <c r="L84" s="62">
        <v>-0.83151660535920202</v>
      </c>
      <c r="M84" s="62">
        <v>-0.9965882854751742</v>
      </c>
      <c r="N84" s="62">
        <v>0.92460109829196058</v>
      </c>
      <c r="O84" s="62">
        <v>0.99657195175741375</v>
      </c>
      <c r="P84" s="62" t="e">
        <v>#DIV/0!</v>
      </c>
      <c r="Q84" s="62" t="e">
        <v>#DIV/0!</v>
      </c>
      <c r="R84" s="62" t="e">
        <v>#DIV/0!</v>
      </c>
      <c r="S84" s="62" t="e">
        <v>#DIV/0!</v>
      </c>
      <c r="T84" s="62" t="e">
        <v>#DIV/0!</v>
      </c>
      <c r="U84" s="62" t="e">
        <v>#DIV/0!</v>
      </c>
      <c r="V84" s="62" t="e">
        <v>#DIV/0!</v>
      </c>
      <c r="W84" s="62" t="e">
        <v>#DIV/0!</v>
      </c>
      <c r="X84" s="62" t="e">
        <v>#DIV/0!</v>
      </c>
      <c r="Y84" s="62" t="e">
        <v>#DIV/0!</v>
      </c>
      <c r="Z84" s="62" t="e">
        <v>#DIV/0!</v>
      </c>
      <c r="AA84" s="62" t="e">
        <v>#DIV/0!</v>
      </c>
      <c r="AB84" s="62" t="e">
        <v>#DIV/0!</v>
      </c>
      <c r="AC84" s="62" t="e">
        <v>#DIV/0!</v>
      </c>
      <c r="AD84" s="62" t="e">
        <v>#DIV/0!</v>
      </c>
      <c r="AE84" s="62" t="e">
        <v>#DIV/0!</v>
      </c>
      <c r="AF84" s="62" t="e">
        <v>#DIV/0!</v>
      </c>
      <c r="AG84" s="62" t="e">
        <v>#DIV/0!</v>
      </c>
      <c r="AH84" s="62" t="e">
        <v>#DIV/0!</v>
      </c>
      <c r="AI84" s="62" t="e">
        <v>#DIV/0!</v>
      </c>
      <c r="AJ84" s="62" t="e">
        <v>#DIV/0!</v>
      </c>
      <c r="AK84" s="62" t="e">
        <v>#DIV/0!</v>
      </c>
      <c r="AL84" s="62" t="e">
        <v>#DIV/0!</v>
      </c>
      <c r="AM84" s="62" t="e">
        <v>#DIV/0!</v>
      </c>
      <c r="AN84" s="62" t="e">
        <v>#DIV/0!</v>
      </c>
      <c r="AO84" s="62" t="e">
        <v>#DIV/0!</v>
      </c>
      <c r="AP84" s="62">
        <v>0.79802328123527977</v>
      </c>
      <c r="AQ84" s="62">
        <v>1</v>
      </c>
      <c r="AR84" s="62" t="e">
        <v>#DIV/0!</v>
      </c>
      <c r="AS84" s="62">
        <v>1</v>
      </c>
      <c r="AT84" s="62" t="e">
        <v>#DIV/0!</v>
      </c>
      <c r="AU84" s="62" t="e">
        <v>#DIV/0!</v>
      </c>
      <c r="AV84" s="62" t="e">
        <v>#DIV/0!</v>
      </c>
      <c r="AW84" s="62">
        <v>-0.99881410487795907</v>
      </c>
      <c r="AX84" s="62">
        <v>0.99881410487795941</v>
      </c>
      <c r="AY84" s="62">
        <v>-0.99881410487795919</v>
      </c>
      <c r="AZ84" s="62">
        <v>-0.9988141048779593</v>
      </c>
      <c r="BA84" s="62" t="e">
        <v>#DIV/0!</v>
      </c>
      <c r="BB84" s="62">
        <v>-0.9988141048779593</v>
      </c>
      <c r="BC84" s="62" t="e">
        <v>#DIV/0!</v>
      </c>
      <c r="BD84" s="62" t="e">
        <v>#DIV/0!</v>
      </c>
      <c r="BE84" s="62" t="e">
        <v>#DIV/0!</v>
      </c>
      <c r="BF84" s="62">
        <v>0.18781144844737657</v>
      </c>
      <c r="BG84" s="62">
        <v>0.88453468305957461</v>
      </c>
      <c r="BH84" s="62">
        <v>0.95535200716814939</v>
      </c>
      <c r="BI84" s="62">
        <v>0.47854284565832433</v>
      </c>
      <c r="BJ84" s="62">
        <v>-0.99999999999999989</v>
      </c>
      <c r="BK84" s="62">
        <v>1</v>
      </c>
      <c r="BL84" s="62">
        <v>-0.99999999999999989</v>
      </c>
      <c r="BM84" s="62" t="e">
        <v>#DIV/0!</v>
      </c>
      <c r="BN84" s="62">
        <v>-0.65360783886464169</v>
      </c>
      <c r="BO84" s="62">
        <v>0.41556786741139617</v>
      </c>
      <c r="BP84" s="62" t="e">
        <v>#DIV/0!</v>
      </c>
      <c r="BQ84" s="62">
        <v>-0.20283604909326675</v>
      </c>
      <c r="BR84" s="62" t="e">
        <v>#DIV/0!</v>
      </c>
      <c r="BS84" s="62">
        <v>0.12539061473921781</v>
      </c>
      <c r="BT84" s="62">
        <v>0.99924269069262051</v>
      </c>
      <c r="BU84" s="62">
        <v>0.83102198085055146</v>
      </c>
      <c r="BV84" s="62">
        <v>-0.10780583833379044</v>
      </c>
      <c r="BW84" s="62">
        <v>0.78793478836620134</v>
      </c>
      <c r="BX84" s="62">
        <v>-2.9848504188402927E-2</v>
      </c>
      <c r="BY84" s="62">
        <v>0.99282058299037168</v>
      </c>
      <c r="BZ84" s="62">
        <v>-1</v>
      </c>
      <c r="CA84" s="62" t="e">
        <v>#DIV/0!</v>
      </c>
      <c r="CB84" s="62">
        <v>0.81991710580994648</v>
      </c>
      <c r="CC84" s="62">
        <v>0.52580937670872252</v>
      </c>
      <c r="CD84" s="63">
        <v>0.81727657572129053</v>
      </c>
      <c r="CE84" s="62">
        <v>9.9128254900348906E-2</v>
      </c>
      <c r="CF84" s="62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Rawdata (Table S1)</vt:lpstr>
      <vt:lpstr>Correlation matrix (Table S2)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Shitephen シティフン</dc:creator>
  <cp:lastModifiedBy>Shitephen シティフン</cp:lastModifiedBy>
  <dcterms:created xsi:type="dcterms:W3CDTF">2020-09-22T17:01:18Z</dcterms:created>
  <dcterms:modified xsi:type="dcterms:W3CDTF">2020-09-22T17:02:24Z</dcterms:modified>
</cp:coreProperties>
</file>