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oh\Documents\Finances\"/>
    </mc:Choice>
  </mc:AlternateContent>
  <xr:revisionPtr revIDLastSave="0" documentId="13_ncr:1_{FC2FF5C9-E82D-45A6-B08D-DE08A1AF851E}" xr6:coauthVersionLast="45" xr6:coauthVersionMax="45" xr10:uidLastSave="{00000000-0000-0000-0000-000000000000}"/>
  <bookViews>
    <workbookView xWindow="-108" yWindow="-108" windowWidth="23256" windowHeight="12576" activeTab="1" xr2:uid="{4BF3E1BA-5126-434C-A671-452EB830630E}"/>
  </bookViews>
  <sheets>
    <sheet name="Card Data" sheetId="3" r:id="rId1"/>
    <sheet name="Personal Spending" sheetId="4" r:id="rId2"/>
    <sheet name="First Attempt at Card Data" sheetId="1" r:id="rId3"/>
    <sheet name="Step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7" i="3" l="1"/>
  <c r="R15" i="3"/>
  <c r="Q15" i="3"/>
  <c r="Q16" i="3"/>
  <c r="R16" i="3"/>
  <c r="Q2" i="3"/>
  <c r="Q5" i="3"/>
  <c r="R14" i="3"/>
  <c r="R13" i="3"/>
  <c r="Q10" i="3"/>
  <c r="R12" i="3"/>
  <c r="O16" i="3" l="1"/>
  <c r="O15" i="3"/>
  <c r="X15" i="3"/>
  <c r="X16" i="3"/>
  <c r="X14" i="3"/>
  <c r="X13" i="3"/>
  <c r="X12" i="3"/>
  <c r="W14" i="3"/>
  <c r="W13" i="3"/>
  <c r="W12" i="3"/>
  <c r="H2" i="4"/>
  <c r="G2" i="4"/>
  <c r="F2" i="4"/>
  <c r="E2" i="4"/>
  <c r="D2" i="4"/>
  <c r="C2" i="4"/>
  <c r="B2" i="4"/>
  <c r="S56" i="1" l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F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E54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S50" i="1" a="1"/>
  <c r="S50" i="1" s="1"/>
  <c r="R50" i="1" a="1"/>
  <c r="R50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50" i="1" a="1"/>
  <c r="F50" i="1" s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S47" i="1" a="1"/>
  <c r="S47" i="1" s="1"/>
  <c r="R47" i="1" a="1"/>
  <c r="R47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E55" i="1" s="1"/>
  <c r="S44" i="1" a="1"/>
  <c r="S44" i="1" s="1"/>
  <c r="R44" i="1" a="1"/>
  <c r="R44" i="1" s="1"/>
  <c r="Q44" i="1" a="1"/>
  <c r="Q44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X12" i="1"/>
  <c r="X8" i="1"/>
  <c r="E49" i="1" l="1"/>
  <c r="E47" i="1" a="1"/>
  <c r="E47" i="1" s="1"/>
  <c r="G15" i="1"/>
  <c r="G31" i="1" s="1"/>
  <c r="G24" i="1"/>
  <c r="AC38" i="1"/>
  <c r="AC37" i="1"/>
  <c r="AC36" i="1"/>
  <c r="S30" i="1"/>
  <c r="R30" i="1"/>
  <c r="Q30" i="1"/>
  <c r="P30" i="1"/>
  <c r="O30" i="1"/>
  <c r="N30" i="1"/>
  <c r="M30" i="1"/>
  <c r="L30" i="1"/>
  <c r="K30" i="1"/>
  <c r="J30" i="1"/>
  <c r="I30" i="1"/>
  <c r="H30" i="1"/>
  <c r="F30" i="1"/>
  <c r="E30" i="1"/>
  <c r="S24" i="1"/>
  <c r="R24" i="1"/>
  <c r="Q24" i="1"/>
  <c r="P24" i="1"/>
  <c r="O24" i="1"/>
  <c r="N24" i="1"/>
  <c r="M24" i="1"/>
  <c r="L24" i="1"/>
  <c r="K24" i="1"/>
  <c r="J24" i="1"/>
  <c r="I24" i="1"/>
  <c r="H24" i="1"/>
  <c r="F24" i="1"/>
  <c r="E24" i="1"/>
  <c r="E22" i="1" a="1"/>
  <c r="E22" i="1" s="1"/>
  <c r="E21" i="1"/>
  <c r="E18" i="1"/>
  <c r="E16" i="1" a="1"/>
  <c r="E16" i="1" s="1"/>
  <c r="S15" i="1"/>
  <c r="S18" i="1" s="1"/>
  <c r="R15" i="1"/>
  <c r="R18" i="1" s="1"/>
  <c r="Q15" i="1"/>
  <c r="P15" i="1"/>
  <c r="P31" i="1" s="1"/>
  <c r="O15" i="1"/>
  <c r="O31" i="1" s="1"/>
  <c r="N15" i="1"/>
  <c r="N31" i="1" s="1"/>
  <c r="M15" i="1"/>
  <c r="L15" i="1"/>
  <c r="L18" i="1" s="1"/>
  <c r="K15" i="1"/>
  <c r="K18" i="1" s="1"/>
  <c r="J15" i="1"/>
  <c r="J18" i="1" s="1"/>
  <c r="I15" i="1"/>
  <c r="H15" i="1"/>
  <c r="H31" i="1" s="1"/>
  <c r="F15" i="1"/>
  <c r="F31" i="1" s="1"/>
  <c r="E15" i="1"/>
  <c r="E50" i="1" l="1" a="1"/>
  <c r="E50" i="1" s="1"/>
  <c r="E56" i="1"/>
  <c r="I31" i="1"/>
  <c r="Q31" i="1"/>
  <c r="G18" i="1"/>
  <c r="G19" i="1" s="1" a="1"/>
  <c r="G19" i="1" s="1"/>
  <c r="G16" i="1" a="1"/>
  <c r="G16" i="1" s="1"/>
  <c r="K16" i="1" a="1"/>
  <c r="K16" i="1" s="1"/>
  <c r="G21" i="1"/>
  <c r="J32" i="1"/>
  <c r="J19" i="1" a="1"/>
  <c r="J19" i="1" s="1"/>
  <c r="K32" i="1"/>
  <c r="K19" i="1" a="1"/>
  <c r="K19" i="1" s="1"/>
  <c r="R19" i="1" a="1"/>
  <c r="R19" i="1" s="1"/>
  <c r="R32" i="1"/>
  <c r="S32" i="1"/>
  <c r="S19" i="1" a="1"/>
  <c r="S19" i="1" s="1"/>
  <c r="L19" i="1" a="1"/>
  <c r="L19" i="1" s="1"/>
  <c r="L32" i="1"/>
  <c r="J16" i="1" a="1"/>
  <c r="J16" i="1" s="1"/>
  <c r="R16" i="1" a="1"/>
  <c r="R16" i="1" s="1"/>
  <c r="M18" i="1"/>
  <c r="J31" i="1"/>
  <c r="R31" i="1"/>
  <c r="S16" i="1" a="1"/>
  <c r="S16" i="1" s="1"/>
  <c r="N18" i="1"/>
  <c r="N21" i="1" s="1"/>
  <c r="K31" i="1"/>
  <c r="S31" i="1"/>
  <c r="L16" i="1" a="1"/>
  <c r="L16" i="1" s="1"/>
  <c r="F18" i="1"/>
  <c r="F21" i="1" s="1"/>
  <c r="O18" i="1"/>
  <c r="O21" i="1" s="1"/>
  <c r="L31" i="1"/>
  <c r="M16" i="1" a="1"/>
  <c r="M16" i="1" s="1"/>
  <c r="H18" i="1"/>
  <c r="H21" i="1" s="1"/>
  <c r="P18" i="1"/>
  <c r="P21" i="1" s="1"/>
  <c r="M31" i="1"/>
  <c r="N16" i="1" a="1"/>
  <c r="N16" i="1" s="1"/>
  <c r="I18" i="1"/>
  <c r="Q18" i="1"/>
  <c r="J21" i="1"/>
  <c r="R21" i="1"/>
  <c r="F16" i="1" a="1"/>
  <c r="F16" i="1" s="1"/>
  <c r="O16" i="1" a="1"/>
  <c r="O16" i="1" s="1"/>
  <c r="K21" i="1"/>
  <c r="S21" i="1"/>
  <c r="H16" i="1" a="1"/>
  <c r="H16" i="1" s="1"/>
  <c r="P16" i="1" a="1"/>
  <c r="P16" i="1" s="1"/>
  <c r="L21" i="1"/>
  <c r="I16" i="1" a="1"/>
  <c r="I16" i="1" s="1"/>
  <c r="Q16" i="1" a="1"/>
  <c r="Q16" i="1" s="1"/>
  <c r="E19" i="1" a="1"/>
  <c r="E19" i="1" s="1"/>
  <c r="G32" i="1" l="1"/>
  <c r="G22" i="1" a="1"/>
  <c r="G22" i="1" s="1"/>
  <c r="G33" i="1"/>
  <c r="F22" i="1" a="1"/>
  <c r="F22" i="1" s="1"/>
  <c r="F33" i="1"/>
  <c r="P33" i="1"/>
  <c r="P22" i="1" a="1"/>
  <c r="P22" i="1" s="1"/>
  <c r="H33" i="1"/>
  <c r="H22" i="1" a="1"/>
  <c r="H22" i="1" s="1"/>
  <c r="O22" i="1" a="1"/>
  <c r="O22" i="1" s="1"/>
  <c r="O33" i="1"/>
  <c r="Q19" i="1" a="1"/>
  <c r="Q19" i="1" s="1"/>
  <c r="Q32" i="1"/>
  <c r="M19" i="1" a="1"/>
  <c r="M19" i="1" s="1"/>
  <c r="M32" i="1"/>
  <c r="R33" i="1"/>
  <c r="R22" i="1" a="1"/>
  <c r="R22" i="1" s="1"/>
  <c r="J33" i="1"/>
  <c r="J22" i="1" a="1"/>
  <c r="J22" i="1" s="1"/>
  <c r="I32" i="1"/>
  <c r="I19" i="1" a="1"/>
  <c r="I19" i="1" s="1"/>
  <c r="S22" i="1" a="1"/>
  <c r="S22" i="1" s="1"/>
  <c r="S33" i="1"/>
  <c r="K22" i="1" a="1"/>
  <c r="K22" i="1" s="1"/>
  <c r="K33" i="1"/>
  <c r="Q21" i="1"/>
  <c r="N19" i="1" a="1"/>
  <c r="N19" i="1" s="1"/>
  <c r="N32" i="1"/>
  <c r="M21" i="1"/>
  <c r="P19" i="1" a="1"/>
  <c r="P19" i="1" s="1"/>
  <c r="P32" i="1"/>
  <c r="H19" i="1" a="1"/>
  <c r="H19" i="1" s="1"/>
  <c r="H32" i="1"/>
  <c r="I21" i="1"/>
  <c r="O19" i="1" a="1"/>
  <c r="O19" i="1" s="1"/>
  <c r="O32" i="1"/>
  <c r="L22" i="1" a="1"/>
  <c r="L22" i="1" s="1"/>
  <c r="L33" i="1"/>
  <c r="F32" i="1"/>
  <c r="F19" i="1" a="1"/>
  <c r="F19" i="1" s="1"/>
  <c r="N22" i="1" a="1"/>
  <c r="N22" i="1" s="1"/>
  <c r="N33" i="1"/>
  <c r="Q33" i="1" l="1"/>
  <c r="Q22" i="1" a="1"/>
  <c r="Q22" i="1" s="1"/>
  <c r="I33" i="1"/>
  <c r="I22" i="1" a="1"/>
  <c r="I22" i="1" s="1"/>
  <c r="M22" i="1" a="1"/>
  <c r="M22" i="1" s="1"/>
  <c r="M33" i="1"/>
  <c r="E33" i="1" l="1"/>
  <c r="E31" i="1"/>
  <c r="E26" i="1"/>
  <c r="E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<sst xmlns="http://schemas.openxmlformats.org/spreadsheetml/2006/main" count="321" uniqueCount="147">
  <si>
    <t>Credit cards</t>
  </si>
  <si>
    <t>Own</t>
  </si>
  <si>
    <t>Annual Fee</t>
  </si>
  <si>
    <t>Sign Up Bonus</t>
  </si>
  <si>
    <t>Discover Student</t>
  </si>
  <si>
    <t>Yes</t>
  </si>
  <si>
    <t>Uber Visa</t>
  </si>
  <si>
    <t>Bank of America Cash Rewards</t>
  </si>
  <si>
    <t>Card Type</t>
  </si>
  <si>
    <t>Cash back</t>
  </si>
  <si>
    <t>Uber credit</t>
  </si>
  <si>
    <t>Spending Requirement in First 90 Days</t>
  </si>
  <si>
    <t>Additional benefits</t>
  </si>
  <si>
    <t>No foreign transaction fee</t>
  </si>
  <si>
    <t>None</t>
  </si>
  <si>
    <t>Spending Rewards Cap</t>
  </si>
  <si>
    <t>First $2500 per quarter</t>
  </si>
  <si>
    <t>$1500 per quarter, unlimited 1%</t>
  </si>
  <si>
    <t>Fraction of Year</t>
  </si>
  <si>
    <t>Quarter</t>
  </si>
  <si>
    <t>Entire</t>
  </si>
  <si>
    <t>Category</t>
  </si>
  <si>
    <t>Dining</t>
  </si>
  <si>
    <t>Travel</t>
  </si>
  <si>
    <t>Groceries</t>
  </si>
  <si>
    <t>Entertainment</t>
  </si>
  <si>
    <t>Online Shopping</t>
  </si>
  <si>
    <t>CVS</t>
  </si>
  <si>
    <t>Other</t>
  </si>
  <si>
    <t>Amazon</t>
  </si>
  <si>
    <t>Uber</t>
  </si>
  <si>
    <t>Home Improvement</t>
  </si>
  <si>
    <t>Savor One</t>
  </si>
  <si>
    <t>No</t>
  </si>
  <si>
    <t>Unlimited</t>
  </si>
  <si>
    <t>1st year: unlimited cashback match, use rewards on Amazon</t>
  </si>
  <si>
    <t>Exclusive reservations, use rewards on Amazon</t>
  </si>
  <si>
    <t>Capital One Savor One</t>
  </si>
  <si>
    <t xml:space="preserve">Capital One Savor </t>
  </si>
  <si>
    <t>Annual fee waived for first year, exclusive reservations, use rewards on Amazon</t>
  </si>
  <si>
    <t>Amex Blue Cash Everyday</t>
  </si>
  <si>
    <t>Amex Blue Cash Preferred</t>
  </si>
  <si>
    <t>$6000 per year</t>
  </si>
  <si>
    <t>Gas</t>
  </si>
  <si>
    <t>US Department Stores</t>
  </si>
  <si>
    <t>Streaming Services</t>
  </si>
  <si>
    <t>Car rental coverage, shoprunner</t>
  </si>
  <si>
    <t>Amex Cash Magnet</t>
  </si>
  <si>
    <t>Chase Freedom Unlimited</t>
  </si>
  <si>
    <t>3 months of DashPass ($0 delivery fee for orders over $12) and 50% off DashPass for next 9 months</t>
  </si>
  <si>
    <t>Lyft</t>
  </si>
  <si>
    <t>Citi Double Cash</t>
  </si>
  <si>
    <t>Amex Green</t>
  </si>
  <si>
    <t>Rewards</t>
  </si>
  <si>
    <t>Normal Offer</t>
  </si>
  <si>
    <t>$100 LoungeBuddy credit, $100 CLEAR credit, baggage insurance, car rental coverage, trip delay insurance, purchase protection, extended warranty</t>
  </si>
  <si>
    <t>Amex Gold</t>
  </si>
  <si>
    <t>Amex Platinum</t>
  </si>
  <si>
    <t>$25,000 per year (for supermarkets)</t>
  </si>
  <si>
    <t>Only flights</t>
  </si>
  <si>
    <t>No foreign transaction fees, $10 monthly credit at participating restaurants, $100 airline fee credit (checked baggage, drinks, etc), $100 hotel credit, Amex preferred seating, car rental coverage</t>
  </si>
  <si>
    <t>No foreign transaction fees, $200 airline fee credit, $100/$85 credit for Global Entry/TSA Pre-Check (every 4 years), complementary benefits with Fine Hotels &amp; Resorts ($550 value), Global Lounge Collection access, $15 uber cash per month for $200 per year, Marriott and Hilton Gold status, car rental coverage, $50 credit per 6 months on Saks Fifth Ave, Preferred Seating, Return protection</t>
  </si>
  <si>
    <t>Chase Sapphire Preferred</t>
  </si>
  <si>
    <t>Chase Sapphire Reserve</t>
  </si>
  <si>
    <t>No foreign transaction fees, DashPass benefits, rental coverage, trip cancellation/interruption insurance, extended warranty protection purchase protection, $300 travel credit, Priority Pass, 1 year of LyftPink (15% off car rides), 50% more point value</t>
  </si>
  <si>
    <t>No foreign transaction fees, DashPass benefits, rental coverage, trip cancellation/interruption insurance, extended warranty protection purchase protection, 25% more point value</t>
  </si>
  <si>
    <t>Cash back value</t>
  </si>
  <si>
    <t>Best card(s)</t>
  </si>
  <si>
    <t>2nd best card(s)</t>
  </si>
  <si>
    <t>Name (Brief)</t>
  </si>
  <si>
    <t>Name (Full)</t>
  </si>
  <si>
    <t>Discover</t>
  </si>
  <si>
    <t>BoA</t>
  </si>
  <si>
    <t>Amex Everyday</t>
  </si>
  <si>
    <t>Amex Preferred</t>
  </si>
  <si>
    <t>Amex Magnet</t>
  </si>
  <si>
    <t>Freedom Unlmt</t>
  </si>
  <si>
    <t>Double Cash</t>
  </si>
  <si>
    <t>Monthly Expense</t>
  </si>
  <si>
    <t>Annual Expense</t>
  </si>
  <si>
    <t>Expenses</t>
  </si>
  <si>
    <t>2nd Best</t>
  </si>
  <si>
    <t>1st Best</t>
  </si>
  <si>
    <t>3rd best card(s)</t>
  </si>
  <si>
    <t>3rd Best</t>
  </si>
  <si>
    <t>Value of card for cash rewards</t>
  </si>
  <si>
    <t>MVP</t>
  </si>
  <si>
    <t xml:space="preserve">Incremental value of each card | current cards that I own </t>
  </si>
  <si>
    <t>For major categories (based on my expenditures and common reward buckets)</t>
  </si>
  <si>
    <t>Cash back based cards</t>
  </si>
  <si>
    <t>Include expected fiscal value of benefits</t>
  </si>
  <si>
    <t>Deduct annual fee</t>
  </si>
  <si>
    <t>Include spending bonus</t>
  </si>
  <si>
    <t>1st year lookout</t>
  </si>
  <si>
    <t>5th year lookout</t>
  </si>
  <si>
    <t>Dollar value</t>
  </si>
  <si>
    <t>Flights</t>
  </si>
  <si>
    <t xml:space="preserve">Valuation of a point </t>
  </si>
  <si>
    <t>For both Chase and Amex:</t>
  </si>
  <si>
    <t>Valuation of additional benefits - first year</t>
  </si>
  <si>
    <t>Valuation of additional benefits - annually</t>
  </si>
  <si>
    <t>Car rental coverage, return protection, shoprunner</t>
  </si>
  <si>
    <t>Chase Reserve</t>
  </si>
  <si>
    <t>Amex Plat</t>
  </si>
  <si>
    <t>Chase Pref</t>
  </si>
  <si>
    <t>Value of card for point rewards</t>
  </si>
  <si>
    <t>Coverage</t>
  </si>
  <si>
    <t>Domestic</t>
  </si>
  <si>
    <t>International</t>
  </si>
  <si>
    <t>Fraction of expenses in each group</t>
  </si>
  <si>
    <t>Card Name</t>
  </si>
  <si>
    <t>Owned</t>
  </si>
  <si>
    <t>Reward Type</t>
  </si>
  <si>
    <t>Cash Back</t>
  </si>
  <si>
    <t>Not in MVP</t>
  </si>
  <si>
    <t>Spending rewards cap</t>
  </si>
  <si>
    <t>Additional Benefits (Full)</t>
  </si>
  <si>
    <t>Benefits only for the first year</t>
  </si>
  <si>
    <t>Sign Up Spending Requirement</t>
  </si>
  <si>
    <t>Data</t>
  </si>
  <si>
    <t>Functions</t>
  </si>
  <si>
    <t>Get value of each card that I own when their benefits are compared against each other</t>
  </si>
  <si>
    <t>Determine what's the next best card to get | the cards that I have now?</t>
  </si>
  <si>
    <t>Get value of a card | my valuations and spending habits</t>
  </si>
  <si>
    <t>Monthly Spending</t>
  </si>
  <si>
    <t>Annual Spending</t>
  </si>
  <si>
    <t>Sign-Up Bonus</t>
  </si>
  <si>
    <t>Capital One Savor</t>
  </si>
  <si>
    <t>Cents Per Point</t>
  </si>
  <si>
    <t>No foreign transaction fees, $100 LoungeBuddy credit, $100 CLEAR credit, baggage insurance, car rental coverage, trip delay insurance, purchase protection, extended warranty</t>
  </si>
  <si>
    <t>Rotating</t>
  </si>
  <si>
    <t>Rotating Categories</t>
  </si>
  <si>
    <t>Dining, Groceries</t>
  </si>
  <si>
    <t>Standard Rate</t>
  </si>
  <si>
    <t>0.01, 0.01</t>
  </si>
  <si>
    <t>Currently incremental value does not consider a world where rotating cards may surpass another card for part of the year</t>
  </si>
  <si>
    <t>TD Cash</t>
  </si>
  <si>
    <t>Amex Coverage</t>
  </si>
  <si>
    <t>Credit Card Company</t>
  </si>
  <si>
    <t>Amex</t>
  </si>
  <si>
    <t>Mastercard</t>
  </si>
  <si>
    <t>Visa</t>
  </si>
  <si>
    <t>Discover Coverage</t>
  </si>
  <si>
    <t>Visa Coverage</t>
  </si>
  <si>
    <t>Mastercard Coverage</t>
  </si>
  <si>
    <t>Additional Benefits - Every Year (Personal Valuation)</t>
  </si>
  <si>
    <t>Additional Benefits - 1st Year Only (Personal 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</si>
</sst>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%"/>
    <numFmt numFmtId="165" formatCode="0.#%"/>
    <numFmt numFmtId="166" formatCode="_(&quot;$&quot;* #,##0_);_(&quot;$&quot;* \(#,##0\);_(&quot;$&quot;* &quot;-&quot;??_);_(@_)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9" fontId="0" fillId="0" borderId="0" xfId="0" applyNumberFormat="1"/>
    <xf numFmtId="44" fontId="0" fillId="0" borderId="0" xfId="1" applyFont="1"/>
    <xf numFmtId="0" fontId="0" fillId="2" borderId="0" xfId="0" applyFill="1"/>
    <xf numFmtId="2" fontId="0" fillId="0" borderId="0" xfId="1" applyNumberFormat="1" applyFont="1"/>
    <xf numFmtId="3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9" fontId="0" fillId="0" borderId="0" xfId="0" applyNumberFormat="1" applyAlignment="1">
      <alignment wrapText="1"/>
    </xf>
    <xf numFmtId="9" fontId="0" fillId="0" borderId="0" xfId="0" applyNumberFormat="1" applyAlignment="1"/>
    <xf numFmtId="166" fontId="0" fillId="2" borderId="0" xfId="1" applyNumberFormat="1" applyFont="1" applyFill="1"/>
    <xf numFmtId="0" fontId="0" fillId="0" borderId="0" xfId="0" applyFill="1"/>
    <xf numFmtId="9" fontId="0" fillId="0" borderId="0" xfId="0" applyNumberFormat="1" applyFill="1"/>
    <xf numFmtId="44" fontId="0" fillId="0" borderId="0" xfId="1" applyFont="1" applyFill="1"/>
    <xf numFmtId="166" fontId="0" fillId="0" borderId="0" xfId="1" applyNumberFormat="1" applyFont="1" applyFill="1"/>
    <xf numFmtId="0" fontId="2" fillId="0" borderId="0" xfId="0" applyFont="1"/>
    <xf numFmtId="0" fontId="0" fillId="0" borderId="0" xfId="0" applyFont="1"/>
    <xf numFmtId="44" fontId="0" fillId="0" borderId="0" xfId="1" applyNumberFormat="1" applyFont="1"/>
    <xf numFmtId="9" fontId="0" fillId="2" borderId="0" xfId="0" applyNumberFormat="1" applyFill="1"/>
    <xf numFmtId="167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9" fontId="0" fillId="0" borderId="0" xfId="0" applyNumberFormat="1" applyFont="1" applyFill="1"/>
    <xf numFmtId="44" fontId="0" fillId="0" borderId="0" xfId="0" applyNumberForma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A66C-6356-42D3-B331-07BDF7318C3B}">
  <dimension ref="A1:X17"/>
  <sheetViews>
    <sheetView topLeftCell="A12" workbookViewId="0">
      <pane xSplit="1" topLeftCell="B1" activePane="topRight" state="frozen"/>
      <selection pane="topRight" activeCell="C15" sqref="C15"/>
    </sheetView>
  </sheetViews>
  <sheetFormatPr defaultRowHeight="14.4" x14ac:dyDescent="0.3"/>
  <cols>
    <col min="1" max="1" width="27.6640625" bestFit="1" customWidth="1"/>
    <col min="2" max="2" width="27.6640625" customWidth="1"/>
    <col min="3" max="3" width="7.21875" bestFit="1" customWidth="1"/>
    <col min="4" max="4" width="12.109375" bestFit="1" customWidth="1"/>
    <col min="5" max="7" width="12.109375" customWidth="1"/>
    <col min="8" max="8" width="6.5546875" bestFit="1" customWidth="1"/>
    <col min="9" max="9" width="6.21875" bestFit="1" customWidth="1"/>
    <col min="10" max="10" width="6.6640625" bestFit="1" customWidth="1"/>
    <col min="11" max="11" width="9.109375" bestFit="1" customWidth="1"/>
    <col min="12" max="12" width="15.44140625" bestFit="1" customWidth="1"/>
    <col min="13" max="13" width="13.5546875" bestFit="1" customWidth="1"/>
    <col min="14" max="14" width="6" bestFit="1" customWidth="1"/>
    <col min="15" max="15" width="21.88671875" bestFit="1" customWidth="1"/>
    <col min="16" max="17" width="67.33203125" style="23" customWidth="1"/>
    <col min="18" max="18" width="36.5546875" bestFit="1" customWidth="1"/>
    <col min="19" max="19" width="10.6640625" bestFit="1" customWidth="1"/>
    <col min="20" max="20" width="13.21875" bestFit="1" customWidth="1"/>
    <col min="21" max="21" width="28.21875" bestFit="1" customWidth="1"/>
  </cols>
  <sheetData>
    <row r="1" spans="1:24" x14ac:dyDescent="0.3">
      <c r="A1" t="s">
        <v>110</v>
      </c>
      <c r="B1" t="s">
        <v>138</v>
      </c>
      <c r="C1" t="s">
        <v>111</v>
      </c>
      <c r="D1" t="s">
        <v>112</v>
      </c>
      <c r="E1" t="s">
        <v>130</v>
      </c>
      <c r="F1" t="s">
        <v>131</v>
      </c>
      <c r="G1" t="s">
        <v>133</v>
      </c>
      <c r="H1" t="s">
        <v>22</v>
      </c>
      <c r="I1" t="s">
        <v>23</v>
      </c>
      <c r="J1" t="s">
        <v>96</v>
      </c>
      <c r="K1" t="s">
        <v>24</v>
      </c>
      <c r="L1" t="s">
        <v>26</v>
      </c>
      <c r="M1" t="s">
        <v>25</v>
      </c>
      <c r="N1" t="s">
        <v>28</v>
      </c>
      <c r="O1" t="s">
        <v>128</v>
      </c>
      <c r="P1" s="23" t="s">
        <v>116</v>
      </c>
      <c r="Q1" t="s">
        <v>146</v>
      </c>
      <c r="R1" t="s">
        <v>145</v>
      </c>
      <c r="S1" t="s">
        <v>2</v>
      </c>
      <c r="T1" t="s">
        <v>126</v>
      </c>
      <c r="U1" t="s">
        <v>118</v>
      </c>
    </row>
    <row r="2" spans="1:24" x14ac:dyDescent="0.3">
      <c r="A2" t="s">
        <v>4</v>
      </c>
      <c r="B2" t="s">
        <v>71</v>
      </c>
      <c r="C2" t="s">
        <v>5</v>
      </c>
      <c r="D2" t="s">
        <v>113</v>
      </c>
      <c r="E2" t="s">
        <v>19</v>
      </c>
      <c r="F2" t="s">
        <v>132</v>
      </c>
      <c r="G2" t="s">
        <v>134</v>
      </c>
      <c r="H2" s="25">
        <v>0.05</v>
      </c>
      <c r="I2" s="15">
        <v>0.01</v>
      </c>
      <c r="J2" s="15">
        <v>0.01</v>
      </c>
      <c r="K2" s="25">
        <v>0.05</v>
      </c>
      <c r="L2" s="1">
        <v>0.01</v>
      </c>
      <c r="M2" s="1">
        <v>0.01</v>
      </c>
      <c r="N2" s="1">
        <v>0.01</v>
      </c>
      <c r="O2" s="1"/>
      <c r="P2" s="24" t="s">
        <v>35</v>
      </c>
      <c r="Q2" s="24">
        <f>250</f>
        <v>250</v>
      </c>
      <c r="R2" s="16">
        <v>0</v>
      </c>
      <c r="S2" s="2">
        <v>0</v>
      </c>
      <c r="T2" s="2">
        <v>0</v>
      </c>
      <c r="U2" s="2">
        <v>0</v>
      </c>
    </row>
    <row r="3" spans="1:24" x14ac:dyDescent="0.3">
      <c r="A3" t="s">
        <v>7</v>
      </c>
      <c r="B3" t="s">
        <v>140</v>
      </c>
      <c r="C3" t="s">
        <v>5</v>
      </c>
      <c r="D3" t="s">
        <v>113</v>
      </c>
      <c r="E3" t="s">
        <v>33</v>
      </c>
      <c r="H3" s="21">
        <v>0.01</v>
      </c>
      <c r="I3" s="21">
        <v>0.01</v>
      </c>
      <c r="J3" s="21">
        <v>0.01</v>
      </c>
      <c r="K3" s="1">
        <v>0.02</v>
      </c>
      <c r="L3" s="21">
        <v>0.03</v>
      </c>
      <c r="M3" s="1">
        <v>0.01</v>
      </c>
      <c r="N3" s="1">
        <v>0.01</v>
      </c>
      <c r="O3" s="1"/>
      <c r="P3" s="24" t="s">
        <v>14</v>
      </c>
      <c r="Q3" s="16">
        <v>0</v>
      </c>
      <c r="R3" s="16">
        <v>0</v>
      </c>
      <c r="S3" s="2">
        <v>0</v>
      </c>
      <c r="T3" s="2">
        <v>200</v>
      </c>
      <c r="U3" s="2">
        <v>1000</v>
      </c>
    </row>
    <row r="4" spans="1:24" x14ac:dyDescent="0.3">
      <c r="A4" t="s">
        <v>37</v>
      </c>
      <c r="B4" t="s">
        <v>141</v>
      </c>
      <c r="C4" t="s">
        <v>33</v>
      </c>
      <c r="D4" t="s">
        <v>113</v>
      </c>
      <c r="E4" t="s">
        <v>33</v>
      </c>
      <c r="H4" s="1">
        <v>0.03</v>
      </c>
      <c r="I4" s="1">
        <v>0.01</v>
      </c>
      <c r="J4" s="1">
        <v>0.01</v>
      </c>
      <c r="K4" s="1">
        <v>0.02</v>
      </c>
      <c r="L4" s="1">
        <v>0.01</v>
      </c>
      <c r="M4" s="1">
        <v>0.03</v>
      </c>
      <c r="N4" s="1">
        <v>0.01</v>
      </c>
      <c r="O4" s="1"/>
      <c r="P4" s="23" t="s">
        <v>36</v>
      </c>
      <c r="Q4" s="16">
        <v>0</v>
      </c>
      <c r="R4" s="16">
        <v>0</v>
      </c>
      <c r="S4" s="2">
        <v>0</v>
      </c>
      <c r="T4" s="2">
        <v>150</v>
      </c>
      <c r="U4" s="2">
        <v>500</v>
      </c>
    </row>
    <row r="5" spans="1:24" x14ac:dyDescent="0.3">
      <c r="A5" t="s">
        <v>127</v>
      </c>
      <c r="B5" t="s">
        <v>141</v>
      </c>
      <c r="C5" t="s">
        <v>33</v>
      </c>
      <c r="D5" t="s">
        <v>113</v>
      </c>
      <c r="E5" t="s">
        <v>33</v>
      </c>
      <c r="H5" s="1">
        <v>0.04</v>
      </c>
      <c r="I5" s="1">
        <v>0.01</v>
      </c>
      <c r="J5" s="1">
        <v>0.01</v>
      </c>
      <c r="K5" s="1">
        <v>0.02</v>
      </c>
      <c r="L5" s="1">
        <v>0.01</v>
      </c>
      <c r="M5" s="1">
        <v>0.04</v>
      </c>
      <c r="N5" s="1">
        <v>0.01</v>
      </c>
      <c r="O5" s="1"/>
      <c r="P5" s="23" t="s">
        <v>39</v>
      </c>
      <c r="Q5" s="26">
        <f>S5</f>
        <v>95</v>
      </c>
      <c r="R5" s="2">
        <v>0</v>
      </c>
      <c r="S5" s="2">
        <v>95</v>
      </c>
      <c r="T5" s="2">
        <v>300</v>
      </c>
      <c r="U5" s="2">
        <v>3000</v>
      </c>
    </row>
    <row r="6" spans="1:24" x14ac:dyDescent="0.3">
      <c r="A6" t="s">
        <v>136</v>
      </c>
      <c r="B6" t="s">
        <v>141</v>
      </c>
      <c r="C6" t="s">
        <v>33</v>
      </c>
      <c r="D6" t="s">
        <v>113</v>
      </c>
      <c r="E6" t="s">
        <v>33</v>
      </c>
      <c r="H6" s="1">
        <v>0.03</v>
      </c>
      <c r="I6" s="1">
        <v>0.01</v>
      </c>
      <c r="J6" s="1">
        <v>0.01</v>
      </c>
      <c r="K6" s="1">
        <v>0.02</v>
      </c>
      <c r="L6" s="1">
        <v>0.01</v>
      </c>
      <c r="M6" s="1">
        <v>0.01</v>
      </c>
      <c r="N6" s="1">
        <v>0.01</v>
      </c>
      <c r="O6" s="1"/>
      <c r="P6" s="23" t="s">
        <v>14</v>
      </c>
      <c r="Q6" s="16">
        <v>0</v>
      </c>
      <c r="R6" s="2">
        <v>0</v>
      </c>
      <c r="S6" s="2">
        <v>0</v>
      </c>
      <c r="T6" s="2">
        <v>150</v>
      </c>
      <c r="U6" s="2">
        <v>500</v>
      </c>
    </row>
    <row r="7" spans="1:24" x14ac:dyDescent="0.3">
      <c r="A7" t="s">
        <v>40</v>
      </c>
      <c r="B7" t="s">
        <v>139</v>
      </c>
      <c r="C7" t="s">
        <v>33</v>
      </c>
      <c r="D7" t="s">
        <v>113</v>
      </c>
      <c r="E7" t="s">
        <v>33</v>
      </c>
      <c r="H7" s="1">
        <v>0.01</v>
      </c>
      <c r="I7" s="1">
        <v>0.01</v>
      </c>
      <c r="J7" s="1">
        <v>0.01</v>
      </c>
      <c r="K7" s="1">
        <v>0.03</v>
      </c>
      <c r="L7" s="1">
        <v>0.01</v>
      </c>
      <c r="M7" s="1">
        <v>0.01</v>
      </c>
      <c r="N7" s="1">
        <v>0.01</v>
      </c>
      <c r="O7" s="1"/>
      <c r="P7" s="23" t="s">
        <v>46</v>
      </c>
      <c r="Q7" s="16">
        <v>0</v>
      </c>
      <c r="R7" s="16">
        <v>0</v>
      </c>
      <c r="S7" s="2">
        <v>0</v>
      </c>
      <c r="T7" s="2">
        <v>200</v>
      </c>
      <c r="U7" s="2">
        <v>1000</v>
      </c>
    </row>
    <row r="8" spans="1:24" x14ac:dyDescent="0.3">
      <c r="A8" t="s">
        <v>41</v>
      </c>
      <c r="B8" t="s">
        <v>139</v>
      </c>
      <c r="C8" t="s">
        <v>33</v>
      </c>
      <c r="D8" t="s">
        <v>113</v>
      </c>
      <c r="E8" t="s">
        <v>33</v>
      </c>
      <c r="H8" s="1">
        <v>0.01</v>
      </c>
      <c r="I8" s="1">
        <v>0.03</v>
      </c>
      <c r="J8" s="1">
        <v>0.03</v>
      </c>
      <c r="K8" s="1">
        <v>0.06</v>
      </c>
      <c r="L8" s="1">
        <v>0.01</v>
      </c>
      <c r="M8" s="1">
        <v>0.01</v>
      </c>
      <c r="N8" s="1">
        <v>0.01</v>
      </c>
      <c r="O8" s="1"/>
      <c r="P8" s="23" t="s">
        <v>101</v>
      </c>
      <c r="Q8" s="16">
        <v>0</v>
      </c>
      <c r="R8" s="16">
        <v>0</v>
      </c>
      <c r="S8" s="2">
        <v>95</v>
      </c>
      <c r="T8" s="2">
        <v>300</v>
      </c>
      <c r="U8" s="2">
        <v>1000</v>
      </c>
    </row>
    <row r="9" spans="1:24" x14ac:dyDescent="0.3">
      <c r="A9" t="s">
        <v>47</v>
      </c>
      <c r="B9" t="s">
        <v>139</v>
      </c>
      <c r="C9" t="s">
        <v>33</v>
      </c>
      <c r="D9" t="s">
        <v>113</v>
      </c>
      <c r="E9" t="s">
        <v>33</v>
      </c>
      <c r="H9" s="7">
        <v>1.4999999999999999E-2</v>
      </c>
      <c r="I9" s="7">
        <v>1.4999999999999999E-2</v>
      </c>
      <c r="J9" s="7">
        <v>1.4999999999999999E-2</v>
      </c>
      <c r="K9" s="7">
        <v>1.4999999999999999E-2</v>
      </c>
      <c r="L9" s="7">
        <v>1.4999999999999999E-2</v>
      </c>
      <c r="M9" s="7">
        <v>1.4999999999999999E-2</v>
      </c>
      <c r="N9" s="7">
        <v>1.4999999999999999E-2</v>
      </c>
      <c r="O9" s="1"/>
      <c r="P9" s="23" t="s">
        <v>46</v>
      </c>
      <c r="Q9" s="16">
        <v>0</v>
      </c>
      <c r="R9" s="16">
        <v>0</v>
      </c>
      <c r="S9" s="2">
        <v>0</v>
      </c>
      <c r="T9" s="2">
        <v>200</v>
      </c>
      <c r="U9" s="2">
        <v>1000</v>
      </c>
    </row>
    <row r="10" spans="1:24" ht="28.8" x14ac:dyDescent="0.3">
      <c r="A10" t="s">
        <v>48</v>
      </c>
      <c r="B10" t="s">
        <v>141</v>
      </c>
      <c r="C10" t="s">
        <v>33</v>
      </c>
      <c r="D10" t="s">
        <v>113</v>
      </c>
      <c r="E10" t="s">
        <v>33</v>
      </c>
      <c r="H10" s="7">
        <v>1.4999999999999999E-2</v>
      </c>
      <c r="I10" s="7">
        <v>1.4999999999999999E-2</v>
      </c>
      <c r="J10" s="7">
        <v>1.4999999999999999E-2</v>
      </c>
      <c r="K10" s="7">
        <v>1.4999999999999999E-2</v>
      </c>
      <c r="L10" s="7">
        <v>1.4999999999999999E-2</v>
      </c>
      <c r="M10" s="7">
        <v>1.4999999999999999E-2</v>
      </c>
      <c r="N10" s="7">
        <v>1.4999999999999999E-2</v>
      </c>
      <c r="O10" s="1"/>
      <c r="P10" s="23" t="s">
        <v>49</v>
      </c>
      <c r="Q10" s="2">
        <f>(5*3+5*0.5*9)</f>
        <v>37.5</v>
      </c>
      <c r="R10" s="16">
        <v>0</v>
      </c>
      <c r="S10" s="2">
        <v>0</v>
      </c>
      <c r="T10" s="2">
        <v>200</v>
      </c>
      <c r="U10" s="2">
        <v>500</v>
      </c>
    </row>
    <row r="11" spans="1:24" x14ac:dyDescent="0.3">
      <c r="A11" t="s">
        <v>51</v>
      </c>
      <c r="B11" t="s">
        <v>140</v>
      </c>
      <c r="C11" t="s">
        <v>33</v>
      </c>
      <c r="D11" t="s">
        <v>113</v>
      </c>
      <c r="E11" t="s">
        <v>33</v>
      </c>
      <c r="H11" s="1">
        <v>0.02</v>
      </c>
      <c r="I11" s="1">
        <v>0.02</v>
      </c>
      <c r="J11" s="1">
        <v>0.02</v>
      </c>
      <c r="K11" s="1">
        <v>0.02</v>
      </c>
      <c r="L11" s="1">
        <v>0.02</v>
      </c>
      <c r="M11" s="1">
        <v>0.02</v>
      </c>
      <c r="N11" s="1">
        <v>0.02</v>
      </c>
      <c r="O11" s="1"/>
      <c r="P11" s="23" t="s">
        <v>14</v>
      </c>
      <c r="Q11" s="16">
        <v>0</v>
      </c>
      <c r="R11" s="16">
        <v>0</v>
      </c>
      <c r="S11" s="2">
        <v>0</v>
      </c>
      <c r="T11" s="2">
        <v>0</v>
      </c>
      <c r="U11" s="2">
        <v>0</v>
      </c>
    </row>
    <row r="12" spans="1:24" ht="43.2" x14ac:dyDescent="0.3">
      <c r="A12" t="s">
        <v>52</v>
      </c>
      <c r="B12" t="s">
        <v>139</v>
      </c>
      <c r="C12" t="s">
        <v>33</v>
      </c>
      <c r="D12" t="s">
        <v>53</v>
      </c>
      <c r="E12" t="s">
        <v>33</v>
      </c>
      <c r="H12" s="6">
        <v>3</v>
      </c>
      <c r="I12" s="6">
        <v>3</v>
      </c>
      <c r="J12" s="6">
        <v>3</v>
      </c>
      <c r="K12" s="6">
        <v>1</v>
      </c>
      <c r="L12" s="6">
        <v>1</v>
      </c>
      <c r="M12" s="6">
        <v>1</v>
      </c>
      <c r="N12" s="6">
        <v>1</v>
      </c>
      <c r="O12" s="22">
        <v>0.02</v>
      </c>
      <c r="P12" s="23" t="s">
        <v>129</v>
      </c>
      <c r="Q12" s="16">
        <v>0</v>
      </c>
      <c r="R12" s="16">
        <f>25+(100*0.25)+(100*0)</f>
        <v>50</v>
      </c>
      <c r="S12" s="2">
        <v>150</v>
      </c>
      <c r="T12" s="4">
        <v>45000</v>
      </c>
      <c r="U12" s="2">
        <v>2000</v>
      </c>
      <c r="W12">
        <f>T12*0.02</f>
        <v>900</v>
      </c>
      <c r="X12">
        <f>W12/T12</f>
        <v>0.02</v>
      </c>
    </row>
    <row r="13" spans="1:24" ht="43.2" x14ac:dyDescent="0.3">
      <c r="A13" t="s">
        <v>56</v>
      </c>
      <c r="B13" t="s">
        <v>139</v>
      </c>
      <c r="C13" t="s">
        <v>33</v>
      </c>
      <c r="D13" t="s">
        <v>53</v>
      </c>
      <c r="E13" t="s">
        <v>33</v>
      </c>
      <c r="H13" s="6">
        <v>4</v>
      </c>
      <c r="I13" s="6">
        <v>1</v>
      </c>
      <c r="J13" s="6">
        <v>3</v>
      </c>
      <c r="K13" s="6">
        <v>4</v>
      </c>
      <c r="L13" s="6">
        <v>1</v>
      </c>
      <c r="M13" s="6">
        <v>1</v>
      </c>
      <c r="N13" s="6">
        <v>1</v>
      </c>
      <c r="O13" s="22">
        <v>0.02</v>
      </c>
      <c r="P13" s="23" t="s">
        <v>60</v>
      </c>
      <c r="Q13" s="16">
        <v>0</v>
      </c>
      <c r="R13" s="16">
        <f>25+(10*0.75*12)+(100*0.6)+(100*0.5)</f>
        <v>225</v>
      </c>
      <c r="S13" s="2">
        <v>250</v>
      </c>
      <c r="T13" s="4">
        <v>50000</v>
      </c>
      <c r="U13" s="2">
        <v>4000</v>
      </c>
      <c r="W13">
        <f>T13*0.02</f>
        <v>1000</v>
      </c>
      <c r="X13">
        <f t="shared" ref="X13:X16" si="0">W13/T13</f>
        <v>0.02</v>
      </c>
    </row>
    <row r="14" spans="1:24" ht="84" customHeight="1" x14ac:dyDescent="0.3">
      <c r="A14" t="s">
        <v>103</v>
      </c>
      <c r="B14" t="s">
        <v>139</v>
      </c>
      <c r="C14" t="s">
        <v>33</v>
      </c>
      <c r="D14" t="s">
        <v>53</v>
      </c>
      <c r="E14" t="s">
        <v>33</v>
      </c>
      <c r="H14" s="6">
        <v>1</v>
      </c>
      <c r="I14" s="6">
        <v>1</v>
      </c>
      <c r="J14" s="6">
        <v>5</v>
      </c>
      <c r="K14" s="6">
        <v>1</v>
      </c>
      <c r="L14" s="6">
        <v>1</v>
      </c>
      <c r="M14" s="6">
        <v>1</v>
      </c>
      <c r="N14" s="6">
        <v>1</v>
      </c>
      <c r="O14" s="22">
        <v>0.02</v>
      </c>
      <c r="P14" s="23" t="s">
        <v>61</v>
      </c>
      <c r="Q14" s="16">
        <v>0</v>
      </c>
      <c r="R14" s="16">
        <f>25+(200*0.6)+(100*1/4)+(100)+(10*6)+(200*0.9)+(50)+(50*0.1*2)</f>
        <v>570</v>
      </c>
      <c r="S14" s="2">
        <v>550</v>
      </c>
      <c r="T14" s="4">
        <v>75000</v>
      </c>
      <c r="U14" s="2">
        <v>5000</v>
      </c>
      <c r="W14">
        <f>T14*0.02</f>
        <v>1500</v>
      </c>
      <c r="X14">
        <f t="shared" si="0"/>
        <v>0.02</v>
      </c>
    </row>
    <row r="15" spans="1:24" ht="43.2" x14ac:dyDescent="0.3">
      <c r="A15" t="s">
        <v>104</v>
      </c>
      <c r="B15" t="s">
        <v>141</v>
      </c>
      <c r="C15" t="s">
        <v>33</v>
      </c>
      <c r="D15" t="s">
        <v>53</v>
      </c>
      <c r="E15" t="s">
        <v>33</v>
      </c>
      <c r="H15" s="6">
        <v>2</v>
      </c>
      <c r="I15" s="6">
        <v>2</v>
      </c>
      <c r="J15" s="6">
        <v>2</v>
      </c>
      <c r="K15" s="6">
        <v>1</v>
      </c>
      <c r="L15" s="6">
        <v>1</v>
      </c>
      <c r="M15" s="6">
        <v>1</v>
      </c>
      <c r="N15" s="6">
        <v>1</v>
      </c>
      <c r="O15" s="22">
        <f>W15/T15</f>
        <v>1.4583333333333334E-2</v>
      </c>
      <c r="P15" s="23" t="s">
        <v>65</v>
      </c>
      <c r="Q15" s="16">
        <f>Q10</f>
        <v>37.5</v>
      </c>
      <c r="R15" s="16">
        <f>25</f>
        <v>25</v>
      </c>
      <c r="S15" s="2">
        <v>95</v>
      </c>
      <c r="T15" s="4">
        <v>60000</v>
      </c>
      <c r="U15" s="2">
        <v>4000</v>
      </c>
      <c r="W15">
        <v>875</v>
      </c>
      <c r="X15">
        <f t="shared" si="0"/>
        <v>1.4583333333333334E-2</v>
      </c>
    </row>
    <row r="16" spans="1:24" ht="57.6" x14ac:dyDescent="0.3">
      <c r="A16" t="s">
        <v>102</v>
      </c>
      <c r="B16" t="s">
        <v>141</v>
      </c>
      <c r="C16" t="s">
        <v>33</v>
      </c>
      <c r="D16" t="s">
        <v>53</v>
      </c>
      <c r="E16" t="s">
        <v>33</v>
      </c>
      <c r="H16" s="6">
        <v>3</v>
      </c>
      <c r="I16" s="6">
        <v>3</v>
      </c>
      <c r="J16" s="6">
        <v>3</v>
      </c>
      <c r="K16" s="6">
        <v>1</v>
      </c>
      <c r="L16" s="6">
        <v>1</v>
      </c>
      <c r="M16" s="6">
        <v>1</v>
      </c>
      <c r="N16" s="6">
        <v>1</v>
      </c>
      <c r="O16" s="22">
        <f>W16/T16</f>
        <v>1.7500000000000002E-2</v>
      </c>
      <c r="P16" s="23" t="s">
        <v>64</v>
      </c>
      <c r="Q16" s="16">
        <f>Q10+(5*12)</f>
        <v>97.5</v>
      </c>
      <c r="R16" s="16">
        <f>25+Q10+(300*1)+(100*1/4)</f>
        <v>387.5</v>
      </c>
      <c r="S16" s="2">
        <v>550</v>
      </c>
      <c r="T16" s="4">
        <v>50000</v>
      </c>
      <c r="U16" s="2">
        <v>4000</v>
      </c>
      <c r="W16">
        <v>875</v>
      </c>
      <c r="X16">
        <f t="shared" si="0"/>
        <v>1.7500000000000002E-2</v>
      </c>
    </row>
    <row r="17" spans="1:21" x14ac:dyDescent="0.3">
      <c r="A17" t="s">
        <v>6</v>
      </c>
      <c r="B17" t="s">
        <v>141</v>
      </c>
      <c r="C17" t="s">
        <v>5</v>
      </c>
      <c r="D17" t="s">
        <v>113</v>
      </c>
      <c r="E17" t="s">
        <v>33</v>
      </c>
      <c r="H17" s="1">
        <v>0.03</v>
      </c>
      <c r="I17" s="1">
        <v>0.03</v>
      </c>
      <c r="J17" s="1">
        <v>0.03</v>
      </c>
      <c r="K17" s="1">
        <v>0.01</v>
      </c>
      <c r="L17" s="1">
        <v>0.01</v>
      </c>
      <c r="M17" s="1">
        <v>0.01</v>
      </c>
      <c r="N17" s="1">
        <v>0.01</v>
      </c>
      <c r="P17" s="15" t="s">
        <v>13</v>
      </c>
      <c r="Q17" s="16">
        <v>0</v>
      </c>
      <c r="R17" s="2">
        <f>25</f>
        <v>25</v>
      </c>
      <c r="S17" s="2">
        <v>0</v>
      </c>
      <c r="T17" s="2">
        <v>100</v>
      </c>
      <c r="U17" s="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551A-932C-406E-BB9F-D47F23F8A97F}">
  <dimension ref="A1:H7"/>
  <sheetViews>
    <sheetView tabSelected="1" workbookViewId="0">
      <selection activeCell="J6" sqref="J6"/>
    </sheetView>
  </sheetViews>
  <sheetFormatPr defaultRowHeight="14.4" x14ac:dyDescent="0.3"/>
  <cols>
    <col min="1" max="1" width="16.88671875" bestFit="1" customWidth="1"/>
    <col min="2" max="5" width="10.21875" bestFit="1" customWidth="1"/>
    <col min="6" max="6" width="15.5546875" bestFit="1" customWidth="1"/>
    <col min="7" max="7" width="13.6640625" bestFit="1" customWidth="1"/>
    <col min="8" max="8" width="10.21875" bestFit="1" customWidth="1"/>
  </cols>
  <sheetData>
    <row r="1" spans="1:8" x14ac:dyDescent="0.3">
      <c r="B1" t="s">
        <v>22</v>
      </c>
      <c r="C1" t="s">
        <v>23</v>
      </c>
      <c r="D1" t="s">
        <v>96</v>
      </c>
      <c r="E1" t="s">
        <v>24</v>
      </c>
      <c r="F1" t="s">
        <v>26</v>
      </c>
      <c r="G1" t="s">
        <v>25</v>
      </c>
      <c r="H1" t="s">
        <v>28</v>
      </c>
    </row>
    <row r="2" spans="1:8" x14ac:dyDescent="0.3">
      <c r="A2" t="s">
        <v>124</v>
      </c>
      <c r="B2" s="20">
        <f>B3/12</f>
        <v>417.48499208333334</v>
      </c>
      <c r="C2" s="20">
        <f t="shared" ref="C2:H2" si="0">C3/12</f>
        <v>123.48436016666666</v>
      </c>
      <c r="D2" s="20">
        <f t="shared" si="0"/>
        <v>162.83317533333334</v>
      </c>
      <c r="E2" s="20">
        <f t="shared" si="0"/>
        <v>140.88982625</v>
      </c>
      <c r="F2" s="20">
        <f t="shared" si="0"/>
        <v>595.10479399999997</v>
      </c>
      <c r="G2" s="20">
        <f t="shared" si="0"/>
        <v>41.568835658333334</v>
      </c>
      <c r="H2" s="20">
        <f t="shared" si="0"/>
        <v>221.96634641666665</v>
      </c>
    </row>
    <row r="3" spans="1:8" x14ac:dyDescent="0.3">
      <c r="A3" t="s">
        <v>125</v>
      </c>
      <c r="B3" s="20">
        <v>5009.8199050000003</v>
      </c>
      <c r="C3" s="20">
        <v>1481.812322</v>
      </c>
      <c r="D3" s="20">
        <v>1953.998104</v>
      </c>
      <c r="E3" s="20">
        <v>1690.677915</v>
      </c>
      <c r="F3" s="20">
        <v>7141.2575280000001</v>
      </c>
      <c r="G3" s="20">
        <v>498.82602789999999</v>
      </c>
      <c r="H3" s="20">
        <v>2663.5961569999999</v>
      </c>
    </row>
    <row r="4" spans="1:8" x14ac:dyDescent="0.3">
      <c r="A4" t="s">
        <v>143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3">
      <c r="A5" t="s">
        <v>144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3">
      <c r="A6" t="s">
        <v>137</v>
      </c>
      <c r="B6" s="1">
        <v>0.9</v>
      </c>
      <c r="C6" s="1">
        <v>1</v>
      </c>
      <c r="D6" s="1">
        <v>1</v>
      </c>
      <c r="E6" s="1">
        <v>0.8</v>
      </c>
      <c r="F6" s="1">
        <v>1</v>
      </c>
      <c r="G6" s="1">
        <v>1</v>
      </c>
      <c r="H6" s="1">
        <v>0.9</v>
      </c>
    </row>
    <row r="7" spans="1:8" x14ac:dyDescent="0.3">
      <c r="A7" t="s">
        <v>142</v>
      </c>
      <c r="B7" s="1">
        <v>0.85</v>
      </c>
      <c r="C7" s="1">
        <v>1</v>
      </c>
      <c r="D7" s="1">
        <v>1</v>
      </c>
      <c r="E7" s="1">
        <v>0.8</v>
      </c>
      <c r="F7" s="1">
        <v>1</v>
      </c>
      <c r="G7" s="1">
        <v>1</v>
      </c>
      <c r="H7" s="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3027-A53D-4C4F-8FE2-63CB9CEEEB5B}">
  <dimension ref="A1:AE56"/>
  <sheetViews>
    <sheetView topLeftCell="D1" zoomScaleNormal="100" workbookViewId="0">
      <selection activeCell="X5" sqref="X5"/>
    </sheetView>
  </sheetViews>
  <sheetFormatPr defaultRowHeight="14.4" x14ac:dyDescent="0.3"/>
  <cols>
    <col min="1" max="1" width="26.5546875" bestFit="1" customWidth="1"/>
    <col min="2" max="2" width="26.5546875" customWidth="1"/>
    <col min="3" max="3" width="4.77734375" bestFit="1" customWidth="1"/>
    <col min="4" max="4" width="10.109375" bestFit="1" customWidth="1"/>
    <col min="5" max="10" width="12.88671875" customWidth="1"/>
    <col min="11" max="18" width="12.88671875" hidden="1" customWidth="1"/>
    <col min="19" max="19" width="12.88671875" customWidth="1"/>
    <col min="20" max="20" width="16.6640625" customWidth="1"/>
    <col min="21" max="21" width="14.109375" bestFit="1" customWidth="1"/>
    <col min="22" max="22" width="27.33203125" bestFit="1" customWidth="1"/>
    <col min="23" max="23" width="64.88671875" bestFit="1" customWidth="1"/>
    <col min="24" max="24" width="36" bestFit="1" customWidth="1"/>
    <col min="25" max="25" width="35.5546875" bestFit="1" customWidth="1"/>
    <col min="26" max="26" width="9.88671875" bestFit="1" customWidth="1"/>
    <col min="27" max="27" width="12.44140625" bestFit="1" customWidth="1"/>
    <col min="28" max="28" width="32.21875" bestFit="1" customWidth="1"/>
  </cols>
  <sheetData>
    <row r="1" spans="1:30" x14ac:dyDescent="0.3">
      <c r="A1" t="s">
        <v>0</v>
      </c>
    </row>
    <row r="2" spans="1:30" x14ac:dyDescent="0.3">
      <c r="E2" t="s">
        <v>21</v>
      </c>
    </row>
    <row r="3" spans="1:30" x14ac:dyDescent="0.3">
      <c r="A3" t="s">
        <v>69</v>
      </c>
      <c r="B3" t="s">
        <v>70</v>
      </c>
      <c r="C3" t="s">
        <v>1</v>
      </c>
      <c r="D3" t="s">
        <v>8</v>
      </c>
      <c r="E3" t="s">
        <v>22</v>
      </c>
      <c r="F3" t="s">
        <v>23</v>
      </c>
      <c r="G3" t="s">
        <v>96</v>
      </c>
      <c r="H3" t="s">
        <v>24</v>
      </c>
      <c r="I3" t="s">
        <v>26</v>
      </c>
      <c r="J3" t="s">
        <v>25</v>
      </c>
      <c r="K3" t="s">
        <v>27</v>
      </c>
      <c r="L3" t="s">
        <v>29</v>
      </c>
      <c r="M3" t="s">
        <v>30</v>
      </c>
      <c r="N3" t="s">
        <v>50</v>
      </c>
      <c r="O3" t="s">
        <v>31</v>
      </c>
      <c r="P3" t="s">
        <v>43</v>
      </c>
      <c r="Q3" t="s">
        <v>44</v>
      </c>
      <c r="R3" t="s">
        <v>45</v>
      </c>
      <c r="S3" t="s">
        <v>28</v>
      </c>
      <c r="U3" t="s">
        <v>18</v>
      </c>
      <c r="V3" t="s">
        <v>15</v>
      </c>
      <c r="W3" t="s">
        <v>12</v>
      </c>
      <c r="X3" s="14" t="s">
        <v>99</v>
      </c>
      <c r="Y3" s="14" t="s">
        <v>100</v>
      </c>
      <c r="Z3" t="s">
        <v>2</v>
      </c>
      <c r="AA3" t="s">
        <v>3</v>
      </c>
      <c r="AB3" t="s">
        <v>11</v>
      </c>
      <c r="AD3" t="s">
        <v>54</v>
      </c>
    </row>
    <row r="4" spans="1:30" x14ac:dyDescent="0.3">
      <c r="A4" t="s">
        <v>71</v>
      </c>
      <c r="B4" t="s">
        <v>4</v>
      </c>
      <c r="C4" s="3" t="s">
        <v>5</v>
      </c>
      <c r="D4" t="s">
        <v>9</v>
      </c>
      <c r="E4" s="1">
        <v>0.05</v>
      </c>
      <c r="F4" s="1">
        <v>0.01</v>
      </c>
      <c r="G4" s="1">
        <v>0.01</v>
      </c>
      <c r="H4" s="1">
        <v>0.05</v>
      </c>
      <c r="I4" s="1">
        <v>0.01</v>
      </c>
      <c r="J4" s="1">
        <v>0.01</v>
      </c>
      <c r="K4" s="1">
        <v>0.05</v>
      </c>
      <c r="L4" s="1">
        <v>0.05</v>
      </c>
      <c r="M4" s="1">
        <v>0.01</v>
      </c>
      <c r="N4" s="1">
        <v>0.01</v>
      </c>
      <c r="O4" s="1">
        <v>0.01</v>
      </c>
      <c r="P4" s="1">
        <v>0.05</v>
      </c>
      <c r="Q4" s="1">
        <v>0.01</v>
      </c>
      <c r="R4" s="1">
        <v>0.01</v>
      </c>
      <c r="S4" s="1">
        <v>0.01</v>
      </c>
      <c r="T4" s="1"/>
      <c r="U4" t="s">
        <v>19</v>
      </c>
      <c r="V4" t="s">
        <v>17</v>
      </c>
      <c r="W4" s="14" t="s">
        <v>35</v>
      </c>
      <c r="X4" s="16">
        <v>250</v>
      </c>
      <c r="Y4" s="16">
        <v>0</v>
      </c>
      <c r="Z4" s="2">
        <v>0</v>
      </c>
      <c r="AA4" s="2">
        <v>0</v>
      </c>
      <c r="AB4" s="2">
        <v>0</v>
      </c>
    </row>
    <row r="5" spans="1:30" x14ac:dyDescent="0.3">
      <c r="A5" t="s">
        <v>30</v>
      </c>
      <c r="B5" t="s">
        <v>6</v>
      </c>
      <c r="C5" s="3" t="s">
        <v>5</v>
      </c>
      <c r="D5" t="s">
        <v>10</v>
      </c>
      <c r="E5" s="1">
        <v>0.03</v>
      </c>
      <c r="F5" s="1">
        <v>0.03</v>
      </c>
      <c r="G5" s="1">
        <v>0.03</v>
      </c>
      <c r="H5" s="1">
        <v>0.01</v>
      </c>
      <c r="I5" s="1">
        <v>0.01</v>
      </c>
      <c r="J5" s="1">
        <v>0.01</v>
      </c>
      <c r="K5" s="1">
        <v>0.01</v>
      </c>
      <c r="L5" s="1">
        <v>0.01</v>
      </c>
      <c r="M5" s="1">
        <v>0.05</v>
      </c>
      <c r="N5" s="1">
        <v>0.01</v>
      </c>
      <c r="O5" s="1">
        <v>0.01</v>
      </c>
      <c r="P5" s="1">
        <v>0.01</v>
      </c>
      <c r="Q5" s="1">
        <v>0.01</v>
      </c>
      <c r="R5" s="1">
        <v>0.01</v>
      </c>
      <c r="S5" s="1">
        <v>0.01</v>
      </c>
      <c r="T5" s="1"/>
      <c r="U5" s="1" t="s">
        <v>20</v>
      </c>
      <c r="V5" s="1" t="s">
        <v>34</v>
      </c>
      <c r="W5" s="15" t="s">
        <v>13</v>
      </c>
      <c r="X5" s="16">
        <v>0</v>
      </c>
      <c r="Y5" s="16">
        <v>0</v>
      </c>
      <c r="Z5" s="2">
        <v>0</v>
      </c>
      <c r="AA5" s="2">
        <v>100</v>
      </c>
      <c r="AB5" s="2">
        <v>1000</v>
      </c>
    </row>
    <row r="6" spans="1:30" x14ac:dyDescent="0.3">
      <c r="A6" t="s">
        <v>72</v>
      </c>
      <c r="B6" t="s">
        <v>7</v>
      </c>
      <c r="C6" s="3" t="s">
        <v>5</v>
      </c>
      <c r="D6" t="s">
        <v>9</v>
      </c>
      <c r="E6" s="1">
        <v>0.03</v>
      </c>
      <c r="F6" s="1">
        <v>0.03</v>
      </c>
      <c r="G6" s="1">
        <v>0.03</v>
      </c>
      <c r="H6" s="1">
        <v>0.02</v>
      </c>
      <c r="I6" s="1">
        <v>0.03</v>
      </c>
      <c r="J6" s="1">
        <v>0.01</v>
      </c>
      <c r="K6" s="1">
        <v>0.03</v>
      </c>
      <c r="L6" s="1">
        <v>0.01</v>
      </c>
      <c r="M6" s="1">
        <v>0.01</v>
      </c>
      <c r="N6" s="1">
        <v>0.01</v>
      </c>
      <c r="O6" s="1">
        <v>0.03</v>
      </c>
      <c r="P6" s="1">
        <v>0.03</v>
      </c>
      <c r="Q6" s="1">
        <v>0.01</v>
      </c>
      <c r="R6" s="1">
        <v>0.01</v>
      </c>
      <c r="S6" s="1">
        <v>0.01</v>
      </c>
      <c r="T6" s="1"/>
      <c r="U6" t="s">
        <v>20</v>
      </c>
      <c r="V6" t="s">
        <v>16</v>
      </c>
      <c r="W6" s="14" t="s">
        <v>14</v>
      </c>
      <c r="X6" s="16">
        <v>0</v>
      </c>
      <c r="Y6" s="16">
        <v>0</v>
      </c>
      <c r="Z6" s="2">
        <v>0</v>
      </c>
      <c r="AA6" s="2">
        <v>200</v>
      </c>
      <c r="AB6" s="2">
        <v>1000</v>
      </c>
    </row>
    <row r="7" spans="1:30" x14ac:dyDescent="0.3">
      <c r="A7" t="s">
        <v>32</v>
      </c>
      <c r="B7" t="s">
        <v>37</v>
      </c>
      <c r="C7" s="3" t="s">
        <v>33</v>
      </c>
      <c r="D7" t="s">
        <v>9</v>
      </c>
      <c r="E7" s="1">
        <v>0.03</v>
      </c>
      <c r="F7" s="1">
        <v>0.01</v>
      </c>
      <c r="G7" s="1">
        <v>0.01</v>
      </c>
      <c r="H7" s="1">
        <v>0.02</v>
      </c>
      <c r="I7" s="1">
        <v>0.01</v>
      </c>
      <c r="J7" s="1">
        <v>0.03</v>
      </c>
      <c r="K7" s="1">
        <v>0.01</v>
      </c>
      <c r="L7" s="1">
        <v>0.01</v>
      </c>
      <c r="M7" s="1">
        <v>0.01</v>
      </c>
      <c r="N7" s="1">
        <v>0.01</v>
      </c>
      <c r="O7" s="1">
        <v>0.01</v>
      </c>
      <c r="P7" s="1">
        <v>0.01</v>
      </c>
      <c r="Q7" s="1">
        <v>0.01</v>
      </c>
      <c r="R7" s="1">
        <v>0.01</v>
      </c>
      <c r="S7" s="1">
        <v>0.01</v>
      </c>
      <c r="T7" s="1"/>
      <c r="U7" t="s">
        <v>20</v>
      </c>
      <c r="V7" t="s">
        <v>34</v>
      </c>
      <c r="W7" t="s">
        <v>36</v>
      </c>
      <c r="X7" s="16">
        <v>0</v>
      </c>
      <c r="Y7" s="16">
        <v>0</v>
      </c>
      <c r="Z7" s="2">
        <v>0</v>
      </c>
      <c r="AA7" s="2">
        <v>150</v>
      </c>
      <c r="AB7" s="2">
        <v>500</v>
      </c>
    </row>
    <row r="8" spans="1:30" x14ac:dyDescent="0.3">
      <c r="A8" t="s">
        <v>32</v>
      </c>
      <c r="B8" t="s">
        <v>38</v>
      </c>
      <c r="C8" s="3" t="s">
        <v>33</v>
      </c>
      <c r="D8" t="s">
        <v>9</v>
      </c>
      <c r="E8" s="1">
        <v>0.04</v>
      </c>
      <c r="F8" s="1">
        <v>0.01</v>
      </c>
      <c r="G8" s="1">
        <v>0.01</v>
      </c>
      <c r="H8" s="1">
        <v>0.02</v>
      </c>
      <c r="I8" s="1">
        <v>0.01</v>
      </c>
      <c r="J8" s="1">
        <v>0.04</v>
      </c>
      <c r="K8" s="1">
        <v>0.01</v>
      </c>
      <c r="L8" s="1">
        <v>0.01</v>
      </c>
      <c r="M8" s="1">
        <v>0.01</v>
      </c>
      <c r="N8" s="1">
        <v>0.01</v>
      </c>
      <c r="O8" s="1">
        <v>0.01</v>
      </c>
      <c r="P8" s="1">
        <v>0.01</v>
      </c>
      <c r="Q8" s="1">
        <v>0.01</v>
      </c>
      <c r="R8" s="1">
        <v>0.01</v>
      </c>
      <c r="S8" s="1">
        <v>0.01</v>
      </c>
      <c r="T8" s="1"/>
      <c r="U8" t="s">
        <v>20</v>
      </c>
      <c r="V8" t="s">
        <v>34</v>
      </c>
      <c r="W8" t="s">
        <v>39</v>
      </c>
      <c r="X8" s="2">
        <f>Z8</f>
        <v>95</v>
      </c>
      <c r="Y8" s="16">
        <v>0</v>
      </c>
      <c r="Z8" s="2">
        <v>95</v>
      </c>
      <c r="AA8" s="2">
        <v>300</v>
      </c>
      <c r="AB8" s="2">
        <v>3000</v>
      </c>
    </row>
    <row r="9" spans="1:30" x14ac:dyDescent="0.3">
      <c r="A9" t="s">
        <v>73</v>
      </c>
      <c r="B9" t="s">
        <v>40</v>
      </c>
      <c r="C9" s="3" t="s">
        <v>33</v>
      </c>
      <c r="D9" t="s">
        <v>9</v>
      </c>
      <c r="E9" s="1">
        <v>0.01</v>
      </c>
      <c r="F9" s="1">
        <v>0.01</v>
      </c>
      <c r="G9" s="1">
        <v>0.01</v>
      </c>
      <c r="H9" s="1">
        <v>0.03</v>
      </c>
      <c r="I9" s="1">
        <v>0.01</v>
      </c>
      <c r="J9" s="1">
        <v>0.01</v>
      </c>
      <c r="K9" s="1">
        <v>0.01</v>
      </c>
      <c r="L9" s="1">
        <v>0.01</v>
      </c>
      <c r="M9" s="1">
        <v>0.01</v>
      </c>
      <c r="N9" s="1">
        <v>0.01</v>
      </c>
      <c r="O9" s="1">
        <v>0.01</v>
      </c>
      <c r="P9" s="1">
        <v>0.02</v>
      </c>
      <c r="Q9" s="1">
        <v>0.02</v>
      </c>
      <c r="R9" s="1">
        <v>0.01</v>
      </c>
      <c r="S9" s="1">
        <v>0.01</v>
      </c>
      <c r="T9" s="1"/>
      <c r="U9" t="s">
        <v>20</v>
      </c>
      <c r="V9" t="s">
        <v>42</v>
      </c>
      <c r="W9" t="s">
        <v>46</v>
      </c>
      <c r="X9" s="16">
        <v>0</v>
      </c>
      <c r="Y9" s="16">
        <v>0</v>
      </c>
      <c r="Z9" s="2">
        <v>0</v>
      </c>
      <c r="AA9" s="2">
        <v>200</v>
      </c>
      <c r="AB9" s="2">
        <v>1000</v>
      </c>
    </row>
    <row r="10" spans="1:30" x14ac:dyDescent="0.3">
      <c r="A10" t="s">
        <v>74</v>
      </c>
      <c r="B10" t="s">
        <v>41</v>
      </c>
      <c r="C10" s="3" t="s">
        <v>33</v>
      </c>
      <c r="D10" t="s">
        <v>9</v>
      </c>
      <c r="E10" s="1">
        <v>0.01</v>
      </c>
      <c r="F10" s="1">
        <v>0.03</v>
      </c>
      <c r="G10" s="1">
        <v>0.03</v>
      </c>
      <c r="H10" s="1">
        <v>0.06</v>
      </c>
      <c r="I10" s="1">
        <v>0.01</v>
      </c>
      <c r="J10" s="1">
        <v>0.01</v>
      </c>
      <c r="K10" s="1">
        <v>0.01</v>
      </c>
      <c r="L10" s="1">
        <v>0.01</v>
      </c>
      <c r="M10" s="1">
        <v>0.03</v>
      </c>
      <c r="N10" s="1">
        <v>0.03</v>
      </c>
      <c r="O10" s="1">
        <v>0.01</v>
      </c>
      <c r="P10" s="1">
        <v>0.03</v>
      </c>
      <c r="Q10" s="1">
        <v>0.01</v>
      </c>
      <c r="R10" s="1">
        <v>0.06</v>
      </c>
      <c r="S10" s="1">
        <v>0.01</v>
      </c>
      <c r="T10" s="1"/>
      <c r="U10" t="s">
        <v>20</v>
      </c>
      <c r="V10" t="s">
        <v>42</v>
      </c>
      <c r="W10" t="s">
        <v>101</v>
      </c>
      <c r="X10" s="16">
        <v>0</v>
      </c>
      <c r="Y10" s="16">
        <v>0</v>
      </c>
      <c r="Z10" s="2">
        <v>95</v>
      </c>
      <c r="AA10" s="2">
        <v>300</v>
      </c>
      <c r="AB10" s="2">
        <v>1000</v>
      </c>
    </row>
    <row r="11" spans="1:30" x14ac:dyDescent="0.3">
      <c r="A11" t="s">
        <v>75</v>
      </c>
      <c r="B11" t="s">
        <v>47</v>
      </c>
      <c r="C11" s="3" t="s">
        <v>33</v>
      </c>
      <c r="D11" t="s">
        <v>9</v>
      </c>
      <c r="E11" s="7">
        <v>1.4999999999999999E-2</v>
      </c>
      <c r="F11" s="7">
        <v>1.4999999999999999E-2</v>
      </c>
      <c r="G11" s="7">
        <v>1.4999999999999999E-2</v>
      </c>
      <c r="H11" s="7">
        <v>1.4999999999999999E-2</v>
      </c>
      <c r="I11" s="7">
        <v>1.4999999999999999E-2</v>
      </c>
      <c r="J11" s="7">
        <v>1.4999999999999999E-2</v>
      </c>
      <c r="K11" s="7">
        <v>1.4999999999999999E-2</v>
      </c>
      <c r="L11" s="7">
        <v>1.4999999999999999E-2</v>
      </c>
      <c r="M11" s="7">
        <v>1.4999999999999999E-2</v>
      </c>
      <c r="N11" s="7">
        <v>1.4999999999999999E-2</v>
      </c>
      <c r="O11" s="7">
        <v>1.4999999999999999E-2</v>
      </c>
      <c r="P11" s="7">
        <v>1.4999999999999999E-2</v>
      </c>
      <c r="Q11" s="7">
        <v>1.4999999999999999E-2</v>
      </c>
      <c r="R11" s="7">
        <v>1.4999999999999999E-2</v>
      </c>
      <c r="S11" s="7">
        <v>1.4999999999999999E-2</v>
      </c>
      <c r="T11" s="7"/>
      <c r="U11" t="s">
        <v>20</v>
      </c>
      <c r="V11" t="s">
        <v>34</v>
      </c>
      <c r="W11" t="s">
        <v>46</v>
      </c>
      <c r="X11" s="16">
        <v>0</v>
      </c>
      <c r="Y11" s="16">
        <v>0</v>
      </c>
      <c r="Z11" s="2">
        <v>0</v>
      </c>
      <c r="AA11" s="2">
        <v>200</v>
      </c>
      <c r="AB11" s="2">
        <v>1000</v>
      </c>
    </row>
    <row r="12" spans="1:30" x14ac:dyDescent="0.3">
      <c r="A12" t="s">
        <v>76</v>
      </c>
      <c r="B12" t="s">
        <v>48</v>
      </c>
      <c r="C12" s="3" t="s">
        <v>33</v>
      </c>
      <c r="D12" t="s">
        <v>9</v>
      </c>
      <c r="E12" s="7">
        <v>1.4999999999999999E-2</v>
      </c>
      <c r="F12" s="7">
        <v>1.4999999999999999E-2</v>
      </c>
      <c r="G12" s="7">
        <v>1.4999999999999999E-2</v>
      </c>
      <c r="H12" s="7">
        <v>1.4999999999999999E-2</v>
      </c>
      <c r="I12" s="7">
        <v>1.4999999999999999E-2</v>
      </c>
      <c r="J12" s="7">
        <v>1.4999999999999999E-2</v>
      </c>
      <c r="K12" s="7">
        <v>1.4999999999999999E-2</v>
      </c>
      <c r="L12" s="7">
        <v>1.4999999999999999E-2</v>
      </c>
      <c r="M12" s="7">
        <v>1.4999999999999999E-2</v>
      </c>
      <c r="N12" s="1">
        <v>0.05</v>
      </c>
      <c r="O12" s="7">
        <v>1.4999999999999999E-2</v>
      </c>
      <c r="P12" s="7">
        <v>1.4999999999999999E-2</v>
      </c>
      <c r="Q12" s="7">
        <v>1.4999999999999999E-2</v>
      </c>
      <c r="R12" s="7">
        <v>1.4999999999999999E-2</v>
      </c>
      <c r="S12" s="7">
        <v>1.4999999999999999E-2</v>
      </c>
      <c r="T12" s="7"/>
      <c r="U12" t="s">
        <v>20</v>
      </c>
      <c r="V12" t="s">
        <v>34</v>
      </c>
      <c r="W12" t="s">
        <v>49</v>
      </c>
      <c r="X12" s="2">
        <f>5*3+5*0.5*9</f>
        <v>37.5</v>
      </c>
      <c r="Y12" s="16">
        <v>0</v>
      </c>
      <c r="Z12" s="2">
        <v>0</v>
      </c>
      <c r="AA12" s="2">
        <v>200</v>
      </c>
      <c r="AB12" s="2">
        <v>500</v>
      </c>
    </row>
    <row r="13" spans="1:30" x14ac:dyDescent="0.3">
      <c r="A13" t="s">
        <v>77</v>
      </c>
      <c r="B13" t="s">
        <v>51</v>
      </c>
      <c r="C13" s="3" t="s">
        <v>33</v>
      </c>
      <c r="D13" t="s">
        <v>9</v>
      </c>
      <c r="E13" s="1">
        <v>0.02</v>
      </c>
      <c r="F13" s="1">
        <v>0.02</v>
      </c>
      <c r="G13" s="1">
        <v>0.02</v>
      </c>
      <c r="H13" s="1">
        <v>0.02</v>
      </c>
      <c r="I13" s="1">
        <v>0.02</v>
      </c>
      <c r="J13" s="1">
        <v>0.02</v>
      </c>
      <c r="K13" s="1">
        <v>0.02</v>
      </c>
      <c r="L13" s="1">
        <v>0.02</v>
      </c>
      <c r="M13" s="1">
        <v>0.02</v>
      </c>
      <c r="N13" s="1">
        <v>0.02</v>
      </c>
      <c r="O13" s="1">
        <v>0.02</v>
      </c>
      <c r="P13" s="1">
        <v>0.02</v>
      </c>
      <c r="Q13" s="1">
        <v>0.02</v>
      </c>
      <c r="R13" s="1">
        <v>0.02</v>
      </c>
      <c r="S13" s="1">
        <v>0.02</v>
      </c>
      <c r="T13" s="1"/>
      <c r="U13" t="s">
        <v>20</v>
      </c>
      <c r="V13" t="s">
        <v>34</v>
      </c>
      <c r="W13" t="s">
        <v>14</v>
      </c>
      <c r="X13" s="16">
        <v>0</v>
      </c>
      <c r="Y13" s="16">
        <v>0</v>
      </c>
      <c r="Z13" s="2">
        <v>0</v>
      </c>
      <c r="AA13" s="2">
        <v>0</v>
      </c>
      <c r="AB13" s="2">
        <v>0</v>
      </c>
    </row>
    <row r="14" spans="1:30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Z14" s="2"/>
      <c r="AA14" s="2"/>
      <c r="AB14" s="2"/>
    </row>
    <row r="15" spans="1:30" x14ac:dyDescent="0.3">
      <c r="A15" t="s">
        <v>66</v>
      </c>
      <c r="D15" t="s">
        <v>82</v>
      </c>
      <c r="E15" s="1">
        <f>MAX(E$4:E$13)</f>
        <v>0.05</v>
      </c>
      <c r="F15" s="1">
        <f t="shared" ref="F15:S15" si="0">MAX(F$4:F$13)</f>
        <v>0.03</v>
      </c>
      <c r="G15" s="1">
        <f t="shared" si="0"/>
        <v>0.03</v>
      </c>
      <c r="H15" s="1">
        <f t="shared" si="0"/>
        <v>0.06</v>
      </c>
      <c r="I15" s="1">
        <f t="shared" si="0"/>
        <v>0.03</v>
      </c>
      <c r="J15" s="1">
        <f t="shared" si="0"/>
        <v>0.04</v>
      </c>
      <c r="K15" s="1">
        <f t="shared" si="0"/>
        <v>0.05</v>
      </c>
      <c r="L15" s="1">
        <f t="shared" si="0"/>
        <v>0.05</v>
      </c>
      <c r="M15" s="1">
        <f t="shared" si="0"/>
        <v>0.05</v>
      </c>
      <c r="N15" s="1">
        <f t="shared" si="0"/>
        <v>0.05</v>
      </c>
      <c r="O15" s="1">
        <f t="shared" si="0"/>
        <v>0.03</v>
      </c>
      <c r="P15" s="1">
        <f t="shared" si="0"/>
        <v>0.05</v>
      </c>
      <c r="Q15" s="1">
        <f t="shared" si="0"/>
        <v>0.02</v>
      </c>
      <c r="R15" s="1">
        <f t="shared" si="0"/>
        <v>0.06</v>
      </c>
      <c r="S15" s="1">
        <f t="shared" si="0"/>
        <v>0.02</v>
      </c>
      <c r="T15" s="1"/>
      <c r="Z15" s="2"/>
      <c r="AA15" s="2"/>
      <c r="AB15" s="2"/>
    </row>
    <row r="16" spans="1:30" ht="43.2" x14ac:dyDescent="0.3">
      <c r="A16" t="s">
        <v>67</v>
      </c>
      <c r="E16" s="11" t="str" cm="1">
        <f t="array" ref="E16">_xlfn.TEXTJOIN(", ", TRUE, IF(E$4:E$13=E15,$A$4:$A$13,""))</f>
        <v>Discover</v>
      </c>
      <c r="F16" s="11" t="str" cm="1">
        <f t="array" ref="F16">_xlfn.TEXTJOIN(", ", TRUE, IF(F$4:F$13=F15,$A$4:$A$13,""))</f>
        <v>Uber, BoA, Amex Preferred</v>
      </c>
      <c r="G16" s="11" t="str" cm="1">
        <f t="array" ref="G16">_xlfn.TEXTJOIN(", ", TRUE, IF(G$4:G$13=G15,$A$4:$A$13,""))</f>
        <v>Uber, BoA, Amex Preferred</v>
      </c>
      <c r="H16" s="11" t="str" cm="1">
        <f t="array" ref="H16">_xlfn.TEXTJOIN(", ", TRUE, IF(H$4:H$13=H15,$A$4:$A$13,""))</f>
        <v>Amex Preferred</v>
      </c>
      <c r="I16" s="11" t="str" cm="1">
        <f t="array" ref="I16">_xlfn.TEXTJOIN(", ", TRUE, IF(I$4:I$13=I15,$A$4:$A$13,""))</f>
        <v>BoA</v>
      </c>
      <c r="J16" s="11" t="str" cm="1">
        <f t="array" ref="J16">_xlfn.TEXTJOIN(", ", TRUE, IF(J$4:J$13=J15,$A$4:$A$13,""))</f>
        <v>Savor One</v>
      </c>
      <c r="K16" s="11" t="str" cm="1">
        <f t="array" ref="K16">_xlfn.TEXTJOIN(", ", TRUE, IF(K$4:K$13=K15,$A$4:$A$13,""))</f>
        <v>Discover</v>
      </c>
      <c r="L16" s="11" t="str" cm="1">
        <f t="array" ref="L16">_xlfn.TEXTJOIN(", ", TRUE, IF(L$4:L$13=L15,$A$4:$A$13,""))</f>
        <v>Discover</v>
      </c>
      <c r="M16" s="11" t="str" cm="1">
        <f t="array" ref="M16">_xlfn.TEXTJOIN(", ", TRUE, IF(M$4:M$13=M15,$A$4:$A$13,""))</f>
        <v>Uber</v>
      </c>
      <c r="N16" s="11" t="str" cm="1">
        <f t="array" ref="N16">_xlfn.TEXTJOIN(", ", TRUE, IF(N$4:N$13=N15,$A$4:$A$13,""))</f>
        <v>Freedom Unlmt</v>
      </c>
      <c r="O16" s="12" t="str" cm="1">
        <f t="array" ref="O16">_xlfn.TEXTJOIN(", ", TRUE, IF(O$4:O$13=O15,$A$4:$A$13,""))</f>
        <v>BoA</v>
      </c>
      <c r="P16" s="12" t="str" cm="1">
        <f t="array" ref="P16">_xlfn.TEXTJOIN(", ", TRUE, IF(P$4:P$13=P15,$A$4:$A$13,""))</f>
        <v>Discover</v>
      </c>
      <c r="Q16" s="12" t="str" cm="1">
        <f t="array" ref="Q16">_xlfn.TEXTJOIN(", ", TRUE, IF(Q$4:Q$13=Q15,$A$4:$A$13,""))</f>
        <v>Amex Everyday, Double Cash</v>
      </c>
      <c r="R16" s="12" t="str" cm="1">
        <f t="array" ref="R16">_xlfn.TEXTJOIN(", ", TRUE, IF(R$4:R$13=R15,$A$4:$A$13,""))</f>
        <v>Amex Preferred</v>
      </c>
      <c r="S16" s="11" t="str" cm="1">
        <f t="array" ref="S16">_xlfn.TEXTJOIN(", ", TRUE, IF(S$4:S$13=S15,$A$4:$A$13,""))</f>
        <v>Double Cash</v>
      </c>
      <c r="T16" s="1"/>
      <c r="Z16" s="2"/>
      <c r="AA16" s="2"/>
      <c r="AB16" s="2"/>
    </row>
    <row r="17" spans="1:28" x14ac:dyDescent="0.3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Z17" s="2"/>
      <c r="AA17" s="2"/>
      <c r="AB17" s="2"/>
    </row>
    <row r="18" spans="1:28" x14ac:dyDescent="0.3">
      <c r="A18" t="s">
        <v>66</v>
      </c>
      <c r="D18" t="s">
        <v>81</v>
      </c>
      <c r="E18" s="8">
        <f>IF(LARGE(E$4:E$13,2)&lt;&gt;E15, LARGE(E$4:E$13,2), IF(LARGE(E$4:E$13,3)&lt;&gt;E15, LARGE(E$4:E$13,3), LARGE(E$4:E$13,4)))</f>
        <v>0.04</v>
      </c>
      <c r="F18" s="8">
        <f t="shared" ref="F18:S18" si="1">IF(LARGE(F$4:F$13,2)&lt;&gt;F15, LARGE(F$4:F$13,2), IF(LARGE(F$4:F$13,3)&lt;&gt;F15, LARGE(F$4:F$13,3), LARGE(F$4:F$13,4)))</f>
        <v>0.02</v>
      </c>
      <c r="G18" s="8">
        <f t="shared" ref="G18" si="2">IF(LARGE(G$4:G$13,2)&lt;&gt;G15, LARGE(G$4:G$13,2), IF(LARGE(G$4:G$13,3)&lt;&gt;G15, LARGE(G$4:G$13,3), LARGE(G$4:G$13,4)))</f>
        <v>0.02</v>
      </c>
      <c r="H18" s="8">
        <f t="shared" si="1"/>
        <v>0.05</v>
      </c>
      <c r="I18" s="8">
        <f t="shared" si="1"/>
        <v>0.02</v>
      </c>
      <c r="J18" s="8">
        <f t="shared" si="1"/>
        <v>0.03</v>
      </c>
      <c r="K18" s="8">
        <f t="shared" si="1"/>
        <v>0.03</v>
      </c>
      <c r="L18" s="8">
        <f t="shared" si="1"/>
        <v>0.02</v>
      </c>
      <c r="M18" s="8">
        <f t="shared" si="1"/>
        <v>0.03</v>
      </c>
      <c r="N18" s="8">
        <f t="shared" si="1"/>
        <v>0.03</v>
      </c>
      <c r="O18" s="8">
        <f t="shared" si="1"/>
        <v>0.02</v>
      </c>
      <c r="P18" s="8">
        <f t="shared" si="1"/>
        <v>0.03</v>
      </c>
      <c r="Q18" s="8">
        <f t="shared" si="1"/>
        <v>1.4999999999999999E-2</v>
      </c>
      <c r="R18" s="8">
        <f t="shared" si="1"/>
        <v>0.02</v>
      </c>
      <c r="S18" s="8">
        <f t="shared" si="1"/>
        <v>1.4999999999999999E-2</v>
      </c>
      <c r="T18" s="8"/>
      <c r="U18" s="1"/>
      <c r="Z18" s="2"/>
      <c r="AA18" s="2"/>
      <c r="AB18" s="2"/>
    </row>
    <row r="19" spans="1:28" ht="43.2" x14ac:dyDescent="0.3">
      <c r="A19" t="s">
        <v>68</v>
      </c>
      <c r="E19" s="11" t="str" cm="1">
        <f t="array" ref="E19">_xlfn.TEXTJOIN(", ", TRUE, IF(E$4:E$13=E18,$A$4:$A$13,""))</f>
        <v>Savor One</v>
      </c>
      <c r="F19" s="11" t="str" cm="1">
        <f t="array" ref="F19">_xlfn.TEXTJOIN(", ", TRUE, IF(F$4:F$13=F18,$A$4:$A$13,""))</f>
        <v>Double Cash</v>
      </c>
      <c r="G19" s="11" t="str" cm="1">
        <f t="array" ref="G19">_xlfn.TEXTJOIN(", ", TRUE, IF(G$4:G$13=G18,$A$4:$A$13,""))</f>
        <v>Double Cash</v>
      </c>
      <c r="H19" s="11" t="str" cm="1">
        <f t="array" ref="H19">_xlfn.TEXTJOIN(", ", TRUE, IF(H$4:H$13=H18,$A$4:$A$13,""))</f>
        <v>Discover</v>
      </c>
      <c r="I19" s="11" t="str" cm="1">
        <f t="array" ref="I19">_xlfn.TEXTJOIN(", ", TRUE, IF(I$4:I$13=I18,$A$4:$A$13,""))</f>
        <v>Double Cash</v>
      </c>
      <c r="J19" s="11" t="str" cm="1">
        <f t="array" ref="J19">_xlfn.TEXTJOIN(", ", TRUE, IF(J$4:J$13=J18,$A$4:$A$13,""))</f>
        <v>Savor One</v>
      </c>
      <c r="K19" s="11" t="str" cm="1">
        <f t="array" ref="K19">_xlfn.TEXTJOIN(", ", TRUE, IF(K$4:K$13=K18,$A$4:$A$13,""))</f>
        <v>BoA</v>
      </c>
      <c r="L19" s="11" t="str" cm="1">
        <f t="array" ref="L19">_xlfn.TEXTJOIN(", ", TRUE, IF(L$4:L$13=L18,$A$4:$A$13,""))</f>
        <v>Double Cash</v>
      </c>
      <c r="M19" s="11" t="str" cm="1">
        <f t="array" ref="M19">_xlfn.TEXTJOIN(", ", TRUE, IF(M$4:M$13=M18,$A$4:$A$13,""))</f>
        <v>Amex Preferred</v>
      </c>
      <c r="N19" s="11" t="str" cm="1">
        <f t="array" ref="N19">_xlfn.TEXTJOIN(", ", TRUE, IF(N$4:N$13=N18,$A$4:$A$13,""))</f>
        <v>Amex Preferred</v>
      </c>
      <c r="O19" s="11" t="str" cm="1">
        <f t="array" ref="O19">_xlfn.TEXTJOIN(", ", TRUE, IF(O$4:O$13=O18,$A$4:$A$13,""))</f>
        <v>Double Cash</v>
      </c>
      <c r="P19" s="11" t="str" cm="1">
        <f t="array" ref="P19">_xlfn.TEXTJOIN(", ", TRUE, IF(P$4:P$13=P18,$A$4:$A$13,""))</f>
        <v>BoA, Amex Preferred</v>
      </c>
      <c r="Q19" s="11" t="str" cm="1">
        <f t="array" ref="Q19">_xlfn.TEXTJOIN(", ", TRUE, IF(Q$4:Q$13=Q18,$A$4:$A$13,""))</f>
        <v>Amex Magnet, Freedom Unlmt</v>
      </c>
      <c r="R19" s="11" t="str" cm="1">
        <f t="array" ref="R19">_xlfn.TEXTJOIN(", ", TRUE, IF(R$4:R$13=R18,$A$4:$A$13,""))</f>
        <v>Double Cash</v>
      </c>
      <c r="S19" s="11" t="str" cm="1">
        <f t="array" ref="S19">_xlfn.TEXTJOIN(", ", TRUE, IF(S$4:S$13=S18,$A$4:$A$13,""))</f>
        <v>Amex Magnet, Freedom Unlmt</v>
      </c>
      <c r="T19" s="1"/>
      <c r="Z19" s="2"/>
      <c r="AA19" s="2"/>
      <c r="AB19" s="2"/>
    </row>
    <row r="20" spans="1:28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Z20" s="2"/>
      <c r="AA20" s="2"/>
      <c r="AB20" s="2"/>
    </row>
    <row r="21" spans="1:28" x14ac:dyDescent="0.3">
      <c r="A21" t="s">
        <v>66</v>
      </c>
      <c r="D21" t="s">
        <v>84</v>
      </c>
      <c r="E21" s="8">
        <f>IF(AND(LARGE(E$4:E$13,3)&lt;&gt;E15, LARGE(E$4:E$13,3)&lt;&gt;E18), LARGE(E$4:E$13,3), IF(AND(LARGE(E$4:E$13,4)&lt;&gt;E15,LARGE(E$4:E$13,4)&lt;&gt;E18), LARGE(E$4:E$13,4), LARGE(E$4:E$13,5)))</f>
        <v>0.03</v>
      </c>
      <c r="F21" s="8">
        <f t="shared" ref="F21:S21" si="3">IF(AND(LARGE(F$4:F$13,3)&lt;&gt;F15, LARGE(F$4:F$13,3)&lt;&gt;F18), LARGE(F$4:F$13,3), IF(AND(LARGE(F$4:F$13,4)&lt;&gt;F15,LARGE(F$4:F$13,4)&lt;&gt;F18), LARGE(F$4:F$13,4), LARGE(F$4:F$13,5)))</f>
        <v>1.4999999999999999E-2</v>
      </c>
      <c r="G21" s="8">
        <f t="shared" ref="G21" si="4">IF(AND(LARGE(G$4:G$13,3)&lt;&gt;G15, LARGE(G$4:G$13,3)&lt;&gt;G18), LARGE(G$4:G$13,3), IF(AND(LARGE(G$4:G$13,4)&lt;&gt;G15,LARGE(G$4:G$13,4)&lt;&gt;G18), LARGE(G$4:G$13,4), LARGE(G$4:G$13,5)))</f>
        <v>1.4999999999999999E-2</v>
      </c>
      <c r="H21" s="8">
        <f t="shared" si="3"/>
        <v>0.03</v>
      </c>
      <c r="I21" s="8">
        <f t="shared" si="3"/>
        <v>1.4999999999999999E-2</v>
      </c>
      <c r="J21" s="8">
        <f t="shared" si="3"/>
        <v>0.02</v>
      </c>
      <c r="K21" s="8">
        <f t="shared" si="3"/>
        <v>0.02</v>
      </c>
      <c r="L21" s="8">
        <f t="shared" si="3"/>
        <v>1.4999999999999999E-2</v>
      </c>
      <c r="M21" s="8">
        <f t="shared" si="3"/>
        <v>0.02</v>
      </c>
      <c r="N21" s="8">
        <f t="shared" si="3"/>
        <v>0.02</v>
      </c>
      <c r="O21" s="8">
        <f t="shared" si="3"/>
        <v>1.4999999999999999E-2</v>
      </c>
      <c r="P21" s="8">
        <f t="shared" si="3"/>
        <v>0.02</v>
      </c>
      <c r="Q21" s="8">
        <f t="shared" si="3"/>
        <v>0.01</v>
      </c>
      <c r="R21" s="8">
        <f t="shared" si="3"/>
        <v>1.4999999999999999E-2</v>
      </c>
      <c r="S21" s="8">
        <f t="shared" si="3"/>
        <v>0.01</v>
      </c>
      <c r="T21" s="1"/>
      <c r="Z21" s="2"/>
      <c r="AA21" s="2"/>
      <c r="AB21" s="2"/>
    </row>
    <row r="22" spans="1:28" ht="115.2" x14ac:dyDescent="0.3">
      <c r="A22" t="s">
        <v>83</v>
      </c>
      <c r="E22" s="11" t="str" cm="1">
        <f t="array" ref="E22">_xlfn.TEXTJOIN(", ", TRUE, IF(E$4:E$13=E21,$A$4:$A$13,""))</f>
        <v>Uber, BoA, Savor One</v>
      </c>
      <c r="F22" s="11" t="str" cm="1">
        <f t="array" ref="F22">_xlfn.TEXTJOIN(", ", TRUE, IF(F$4:F$13=F21,$A$4:$A$13,""))</f>
        <v>Amex Magnet, Freedom Unlmt</v>
      </c>
      <c r="G22" s="11" t="str" cm="1">
        <f t="array" ref="G22">_xlfn.TEXTJOIN(", ", TRUE, IF(G$4:G$13=G21,$A$4:$A$13,""))</f>
        <v>Amex Magnet, Freedom Unlmt</v>
      </c>
      <c r="H22" s="11" t="str" cm="1">
        <f t="array" ref="H22">_xlfn.TEXTJOIN(", ", TRUE, IF(H$4:H$13=H21,$A$4:$A$13,""))</f>
        <v>Amex Everyday</v>
      </c>
      <c r="I22" s="11" t="str" cm="1">
        <f t="array" ref="I22">_xlfn.TEXTJOIN(", ", TRUE, IF(I$4:I$13=I21,$A$4:$A$13,""))</f>
        <v>Amex Magnet, Freedom Unlmt</v>
      </c>
      <c r="J22" s="11" t="str" cm="1">
        <f t="array" ref="J22">_xlfn.TEXTJOIN(", ", TRUE, IF(J$4:J$13=J21,$A$4:$A$13,""))</f>
        <v>Double Cash</v>
      </c>
      <c r="K22" s="11" t="str" cm="1">
        <f t="array" ref="K22">_xlfn.TEXTJOIN(", ", TRUE, IF(K$4:K$13=K21,$A$4:$A$13,""))</f>
        <v>Double Cash</v>
      </c>
      <c r="L22" s="11" t="str" cm="1">
        <f t="array" ref="L22">_xlfn.TEXTJOIN(", ", TRUE, IF(L$4:L$13=L21,$A$4:$A$13,""))</f>
        <v>Amex Magnet, Freedom Unlmt</v>
      </c>
      <c r="M22" s="11" t="str" cm="1">
        <f t="array" ref="M22">_xlfn.TEXTJOIN(", ", TRUE, IF(M$4:M$13=M21,$A$4:$A$13,""))</f>
        <v>Double Cash</v>
      </c>
      <c r="N22" s="11" t="str" cm="1">
        <f t="array" ref="N22">_xlfn.TEXTJOIN(", ", TRUE, IF(N$4:N$13=N21,$A$4:$A$13,""))</f>
        <v>Double Cash</v>
      </c>
      <c r="O22" s="11" t="str" cm="1">
        <f t="array" ref="O22">_xlfn.TEXTJOIN(", ", TRUE, IF(O$4:O$13=O21,$A$4:$A$13,""))</f>
        <v>Amex Magnet, Freedom Unlmt</v>
      </c>
      <c r="P22" s="11" t="str" cm="1">
        <f t="array" ref="P22">_xlfn.TEXTJOIN(", ", TRUE, IF(P$4:P$13=P21,$A$4:$A$13,""))</f>
        <v>Amex Everyday, Double Cash</v>
      </c>
      <c r="Q22" s="11" t="str" cm="1">
        <f t="array" ref="Q22">_xlfn.TEXTJOIN(", ", TRUE, IF(Q$4:Q$13=Q21,$A$4:$A$13,""))</f>
        <v>Discover, Uber, BoA, Savor One, Savor One, Amex Preferred</v>
      </c>
      <c r="R22" s="11" t="str" cm="1">
        <f t="array" ref="R22">_xlfn.TEXTJOIN(", ", TRUE, IF(R$4:R$13=R21,$A$4:$A$13,""))</f>
        <v>Amex Magnet, Freedom Unlmt</v>
      </c>
      <c r="S22" s="11" t="str" cm="1">
        <f t="array" ref="S22">_xlfn.TEXTJOIN(", ", TRUE, IF(S$4:S$13=S21,$A$4:$A$13,""))</f>
        <v>Discover, Uber, BoA, Savor One, Savor One, Amex Everyday, Amex Preferred</v>
      </c>
      <c r="T22" s="1"/>
      <c r="Z22" s="2"/>
      <c r="AA22" s="2"/>
      <c r="AB22" s="2"/>
    </row>
    <row r="23" spans="1:28" x14ac:dyDescent="0.3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Z23" s="2"/>
      <c r="AA23" s="2"/>
      <c r="AB23" s="2"/>
    </row>
    <row r="24" spans="1:28" x14ac:dyDescent="0.3">
      <c r="C24" t="s">
        <v>80</v>
      </c>
      <c r="E24" s="1" t="str">
        <f>E$3</f>
        <v>Dining</v>
      </c>
      <c r="F24" s="1" t="str">
        <f t="shared" ref="F24:S24" si="5">F$3</f>
        <v>Travel</v>
      </c>
      <c r="G24" s="1" t="str">
        <f t="shared" si="5"/>
        <v>Flights</v>
      </c>
      <c r="H24" s="1" t="str">
        <f t="shared" si="5"/>
        <v>Groceries</v>
      </c>
      <c r="I24" s="1" t="str">
        <f t="shared" si="5"/>
        <v>Online Shopping</v>
      </c>
      <c r="J24" s="1" t="str">
        <f t="shared" si="5"/>
        <v>Entertainment</v>
      </c>
      <c r="K24" s="1" t="str">
        <f t="shared" si="5"/>
        <v>CVS</v>
      </c>
      <c r="L24" s="1" t="str">
        <f t="shared" si="5"/>
        <v>Amazon</v>
      </c>
      <c r="M24" s="1" t="str">
        <f t="shared" si="5"/>
        <v>Uber</v>
      </c>
      <c r="N24" s="1" t="str">
        <f t="shared" si="5"/>
        <v>Lyft</v>
      </c>
      <c r="O24" s="1" t="str">
        <f t="shared" si="5"/>
        <v>Home Improvement</v>
      </c>
      <c r="P24" s="1" t="str">
        <f t="shared" si="5"/>
        <v>Gas</v>
      </c>
      <c r="Q24" s="1" t="str">
        <f t="shared" si="5"/>
        <v>US Department Stores</v>
      </c>
      <c r="R24" s="1" t="str">
        <f t="shared" si="5"/>
        <v>Streaming Services</v>
      </c>
      <c r="S24" s="1" t="str">
        <f t="shared" si="5"/>
        <v>Other</v>
      </c>
      <c r="T24" s="1"/>
      <c r="Z24" s="2"/>
      <c r="AA24" s="2"/>
      <c r="AB24" s="2"/>
    </row>
    <row r="25" spans="1:28" x14ac:dyDescent="0.3">
      <c r="D25" t="s">
        <v>78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Z25" s="2"/>
      <c r="AA25" s="2"/>
      <c r="AB25" s="2"/>
    </row>
    <row r="26" spans="1:28" x14ac:dyDescent="0.3">
      <c r="E26" s="17">
        <f>E28/12</f>
        <v>417.48499208333334</v>
      </c>
      <c r="F26" s="17">
        <f t="shared" ref="F26:S26" si="6">F28/12</f>
        <v>123.48436016666666</v>
      </c>
      <c r="G26" s="17">
        <f t="shared" si="6"/>
        <v>162.83317533333334</v>
      </c>
      <c r="H26" s="17">
        <f t="shared" si="6"/>
        <v>140.88982625</v>
      </c>
      <c r="I26" s="17">
        <f t="shared" si="6"/>
        <v>595.10479399999997</v>
      </c>
      <c r="J26" s="17">
        <f t="shared" si="6"/>
        <v>41.568835658333334</v>
      </c>
      <c r="K26" s="17">
        <f t="shared" si="6"/>
        <v>0</v>
      </c>
      <c r="L26" s="17">
        <f t="shared" si="6"/>
        <v>0</v>
      </c>
      <c r="M26" s="17">
        <f t="shared" si="6"/>
        <v>0</v>
      </c>
      <c r="N26" s="17">
        <f t="shared" si="6"/>
        <v>0</v>
      </c>
      <c r="O26" s="17">
        <f t="shared" si="6"/>
        <v>0</v>
      </c>
      <c r="P26" s="17">
        <f t="shared" si="6"/>
        <v>0</v>
      </c>
      <c r="Q26" s="17">
        <f t="shared" si="6"/>
        <v>0</v>
      </c>
      <c r="R26" s="17">
        <f t="shared" si="6"/>
        <v>0</v>
      </c>
      <c r="S26" s="17">
        <f t="shared" si="6"/>
        <v>221.96634641666665</v>
      </c>
      <c r="T26" s="1"/>
      <c r="Z26" s="2"/>
      <c r="AA26" s="2"/>
      <c r="AB26" s="2"/>
    </row>
    <row r="27" spans="1:28" x14ac:dyDescent="0.3">
      <c r="D27" t="s">
        <v>79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"/>
      <c r="Z27" s="2"/>
      <c r="AA27" s="2"/>
      <c r="AB27" s="2"/>
    </row>
    <row r="28" spans="1:28" x14ac:dyDescent="0.3">
      <c r="E28" s="13">
        <v>5009.8199050000003</v>
      </c>
      <c r="F28" s="13">
        <v>1481.812322</v>
      </c>
      <c r="G28" s="13">
        <v>1953.998104</v>
      </c>
      <c r="H28" s="13">
        <v>1690.677915</v>
      </c>
      <c r="I28" s="13">
        <v>7141.2575280000001</v>
      </c>
      <c r="J28" s="13">
        <v>498.82602789999999</v>
      </c>
      <c r="K28" s="13">
        <v>0</v>
      </c>
      <c r="L28" s="13">
        <v>0</v>
      </c>
      <c r="M28" s="13">
        <v>0</v>
      </c>
      <c r="N28" s="13">
        <v>0</v>
      </c>
      <c r="O28" s="13"/>
      <c r="P28" s="13"/>
      <c r="Q28" s="13"/>
      <c r="R28" s="13"/>
      <c r="S28" s="13">
        <v>2663.5961569999999</v>
      </c>
      <c r="T28" s="1"/>
      <c r="Z28" s="2"/>
      <c r="AA28" s="2"/>
      <c r="AB28" s="2"/>
    </row>
    <row r="29" spans="1:28" x14ac:dyDescent="0.3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"/>
      <c r="Z29" s="2"/>
      <c r="AA29" s="2"/>
      <c r="AB29" s="2"/>
    </row>
    <row r="30" spans="1:28" x14ac:dyDescent="0.3">
      <c r="C30" t="s">
        <v>85</v>
      </c>
      <c r="E30" s="1" t="str">
        <f>E$3</f>
        <v>Dining</v>
      </c>
      <c r="F30" s="1" t="str">
        <f t="shared" ref="F30:S30" si="7">F$3</f>
        <v>Travel</v>
      </c>
      <c r="G30" s="1"/>
      <c r="H30" s="1" t="str">
        <f t="shared" si="7"/>
        <v>Groceries</v>
      </c>
      <c r="I30" s="1" t="str">
        <f t="shared" si="7"/>
        <v>Online Shopping</v>
      </c>
      <c r="J30" s="1" t="str">
        <f t="shared" si="7"/>
        <v>Entertainment</v>
      </c>
      <c r="K30" s="1" t="str">
        <f t="shared" si="7"/>
        <v>CVS</v>
      </c>
      <c r="L30" s="1" t="str">
        <f t="shared" si="7"/>
        <v>Amazon</v>
      </c>
      <c r="M30" s="1" t="str">
        <f t="shared" si="7"/>
        <v>Uber</v>
      </c>
      <c r="N30" s="1" t="str">
        <f t="shared" si="7"/>
        <v>Lyft</v>
      </c>
      <c r="O30" s="1" t="str">
        <f t="shared" si="7"/>
        <v>Home Improvement</v>
      </c>
      <c r="P30" s="1" t="str">
        <f t="shared" si="7"/>
        <v>Gas</v>
      </c>
      <c r="Q30" s="1" t="str">
        <f t="shared" si="7"/>
        <v>US Department Stores</v>
      </c>
      <c r="R30" s="1" t="str">
        <f t="shared" si="7"/>
        <v>Streaming Services</v>
      </c>
      <c r="S30" s="1" t="str">
        <f t="shared" si="7"/>
        <v>Other</v>
      </c>
      <c r="T30" s="1"/>
      <c r="Z30" s="2"/>
      <c r="AA30" s="2"/>
      <c r="AB30" s="2"/>
    </row>
    <row r="31" spans="1:28" x14ac:dyDescent="0.3">
      <c r="D31" t="s">
        <v>82</v>
      </c>
      <c r="E31" s="9">
        <f>E$28*E$15</f>
        <v>250.49099525000003</v>
      </c>
      <c r="F31" s="9">
        <f t="shared" ref="F31:S31" si="8">F$28*F$15</f>
        <v>44.454369659999998</v>
      </c>
      <c r="G31" s="9">
        <f t="shared" si="8"/>
        <v>58.619943119999995</v>
      </c>
      <c r="H31" s="9">
        <f t="shared" si="8"/>
        <v>101.44067489999999</v>
      </c>
      <c r="I31" s="9">
        <f t="shared" si="8"/>
        <v>214.23772584</v>
      </c>
      <c r="J31" s="9">
        <f t="shared" si="8"/>
        <v>19.953041116000001</v>
      </c>
      <c r="K31" s="9">
        <f t="shared" si="8"/>
        <v>0</v>
      </c>
      <c r="L31" s="9">
        <f t="shared" si="8"/>
        <v>0</v>
      </c>
      <c r="M31" s="9">
        <f t="shared" si="8"/>
        <v>0</v>
      </c>
      <c r="N31" s="9">
        <f t="shared" si="8"/>
        <v>0</v>
      </c>
      <c r="O31" s="9">
        <f t="shared" si="8"/>
        <v>0</v>
      </c>
      <c r="P31" s="9">
        <f t="shared" si="8"/>
        <v>0</v>
      </c>
      <c r="Q31" s="9">
        <f t="shared" si="8"/>
        <v>0</v>
      </c>
      <c r="R31" s="9">
        <f t="shared" si="8"/>
        <v>0</v>
      </c>
      <c r="S31" s="9">
        <f t="shared" si="8"/>
        <v>53.271923139999998</v>
      </c>
      <c r="T31" s="1"/>
      <c r="Z31" s="2"/>
      <c r="AA31" s="2"/>
      <c r="AB31" s="2"/>
    </row>
    <row r="32" spans="1:28" x14ac:dyDescent="0.3">
      <c r="D32" t="s">
        <v>81</v>
      </c>
      <c r="E32" s="9">
        <f>E$28*E$18</f>
        <v>200.39279620000002</v>
      </c>
      <c r="F32" s="9">
        <f t="shared" ref="F32:S32" si="9">F$28*F$18</f>
        <v>29.636246440000001</v>
      </c>
      <c r="G32" s="9">
        <f t="shared" si="9"/>
        <v>39.079962080000001</v>
      </c>
      <c r="H32" s="9">
        <f t="shared" si="9"/>
        <v>84.533895749999999</v>
      </c>
      <c r="I32" s="9">
        <f t="shared" si="9"/>
        <v>142.82515056</v>
      </c>
      <c r="J32" s="9">
        <f t="shared" si="9"/>
        <v>14.964780836999999</v>
      </c>
      <c r="K32" s="9">
        <f t="shared" si="9"/>
        <v>0</v>
      </c>
      <c r="L32" s="9">
        <f t="shared" si="9"/>
        <v>0</v>
      </c>
      <c r="M32" s="9">
        <f t="shared" si="9"/>
        <v>0</v>
      </c>
      <c r="N32" s="9">
        <f t="shared" si="9"/>
        <v>0</v>
      </c>
      <c r="O32" s="9">
        <f t="shared" si="9"/>
        <v>0</v>
      </c>
      <c r="P32" s="9">
        <f t="shared" si="9"/>
        <v>0</v>
      </c>
      <c r="Q32" s="9">
        <f t="shared" si="9"/>
        <v>0</v>
      </c>
      <c r="R32" s="9">
        <f t="shared" si="9"/>
        <v>0</v>
      </c>
      <c r="S32" s="9">
        <f t="shared" si="9"/>
        <v>39.953942354999995</v>
      </c>
      <c r="T32" s="1"/>
      <c r="Z32" s="2"/>
      <c r="AA32" s="2"/>
      <c r="AB32" s="2"/>
    </row>
    <row r="33" spans="1:31" x14ac:dyDescent="0.3">
      <c r="A33" t="s">
        <v>98</v>
      </c>
      <c r="D33" t="s">
        <v>84</v>
      </c>
      <c r="E33" s="9">
        <f>E$28*E$21</f>
        <v>150.29459715000002</v>
      </c>
      <c r="F33" s="9">
        <f t="shared" ref="F33:S33" si="10">F$28*F$21</f>
        <v>22.227184829999999</v>
      </c>
      <c r="G33" s="9">
        <f t="shared" si="10"/>
        <v>29.309971559999997</v>
      </c>
      <c r="H33" s="9">
        <f t="shared" si="10"/>
        <v>50.720337449999995</v>
      </c>
      <c r="I33" s="9">
        <f t="shared" si="10"/>
        <v>107.11886292</v>
      </c>
      <c r="J33" s="9">
        <f t="shared" si="10"/>
        <v>9.9765205580000007</v>
      </c>
      <c r="K33" s="9">
        <f t="shared" si="10"/>
        <v>0</v>
      </c>
      <c r="L33" s="9">
        <f t="shared" si="10"/>
        <v>0</v>
      </c>
      <c r="M33" s="9">
        <f t="shared" si="10"/>
        <v>0</v>
      </c>
      <c r="N33" s="9">
        <f t="shared" si="10"/>
        <v>0</v>
      </c>
      <c r="O33" s="9">
        <f t="shared" si="10"/>
        <v>0</v>
      </c>
      <c r="P33" s="9">
        <f t="shared" si="10"/>
        <v>0</v>
      </c>
      <c r="Q33" s="9">
        <f t="shared" si="10"/>
        <v>0</v>
      </c>
      <c r="R33" s="9">
        <f t="shared" si="10"/>
        <v>0</v>
      </c>
      <c r="S33" s="9">
        <f t="shared" si="10"/>
        <v>26.635961569999999</v>
      </c>
      <c r="T33" s="1"/>
      <c r="Z33" s="2"/>
      <c r="AA33" s="2"/>
      <c r="AB33" s="2"/>
    </row>
    <row r="34" spans="1:31" x14ac:dyDescent="0.3">
      <c r="A34" t="s">
        <v>97</v>
      </c>
      <c r="B34" s="2">
        <v>0.02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Z34" s="2"/>
      <c r="AA34" s="2"/>
      <c r="AB34" s="2"/>
    </row>
    <row r="35" spans="1:31" x14ac:dyDescent="0.3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Z35" s="2"/>
      <c r="AA35" s="2"/>
      <c r="AB35" s="2"/>
      <c r="AC35" t="s">
        <v>95</v>
      </c>
    </row>
    <row r="36" spans="1:31" x14ac:dyDescent="0.3">
      <c r="A36" t="s">
        <v>52</v>
      </c>
      <c r="B36" t="s">
        <v>52</v>
      </c>
      <c r="C36" t="s">
        <v>33</v>
      </c>
      <c r="D36" t="s">
        <v>53</v>
      </c>
      <c r="E36" s="6">
        <v>3</v>
      </c>
      <c r="F36" s="6">
        <v>3</v>
      </c>
      <c r="G36" s="6">
        <v>3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3</v>
      </c>
      <c r="N36" s="6">
        <v>3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/>
      <c r="U36" t="s">
        <v>20</v>
      </c>
      <c r="V36" t="s">
        <v>34</v>
      </c>
      <c r="W36" t="s">
        <v>55</v>
      </c>
      <c r="Z36" s="2">
        <v>150</v>
      </c>
      <c r="AA36" s="4">
        <v>45000</v>
      </c>
      <c r="AB36" s="2">
        <v>2000</v>
      </c>
      <c r="AC36">
        <f>AA36*0.02</f>
        <v>900</v>
      </c>
      <c r="AD36" s="5">
        <v>30000</v>
      </c>
      <c r="AE36" t="s">
        <v>59</v>
      </c>
    </row>
    <row r="37" spans="1:31" x14ac:dyDescent="0.3">
      <c r="A37" t="s">
        <v>56</v>
      </c>
      <c r="B37" t="s">
        <v>56</v>
      </c>
      <c r="C37" t="s">
        <v>33</v>
      </c>
      <c r="D37" t="s">
        <v>53</v>
      </c>
      <c r="E37" s="6">
        <v>4</v>
      </c>
      <c r="F37" s="6">
        <v>1</v>
      </c>
      <c r="G37" s="6">
        <v>3</v>
      </c>
      <c r="H37" s="6">
        <v>4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/>
      <c r="U37" t="s">
        <v>20</v>
      </c>
      <c r="V37" t="s">
        <v>58</v>
      </c>
      <c r="W37" t="s">
        <v>60</v>
      </c>
      <c r="Z37" s="2">
        <v>250</v>
      </c>
      <c r="AA37" s="4">
        <v>50000</v>
      </c>
      <c r="AB37" s="2">
        <v>4000</v>
      </c>
      <c r="AC37">
        <f t="shared" ref="AC37:AC38" si="11">AA37*0.02</f>
        <v>1000</v>
      </c>
      <c r="AD37">
        <v>35000</v>
      </c>
      <c r="AE37" t="s">
        <v>59</v>
      </c>
    </row>
    <row r="38" spans="1:31" x14ac:dyDescent="0.3">
      <c r="A38" t="s">
        <v>103</v>
      </c>
      <c r="B38" t="s">
        <v>57</v>
      </c>
      <c r="C38" t="s">
        <v>33</v>
      </c>
      <c r="D38" t="s">
        <v>53</v>
      </c>
      <c r="E38" s="6">
        <v>1</v>
      </c>
      <c r="F38" s="6">
        <v>1</v>
      </c>
      <c r="G38" s="6">
        <v>5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/>
      <c r="U38" t="s">
        <v>20</v>
      </c>
      <c r="V38" t="s">
        <v>34</v>
      </c>
      <c r="W38" t="s">
        <v>61</v>
      </c>
      <c r="Z38" s="2">
        <v>550</v>
      </c>
      <c r="AA38" s="4">
        <v>75000</v>
      </c>
      <c r="AB38" s="2">
        <v>5000</v>
      </c>
      <c r="AC38">
        <f t="shared" si="11"/>
        <v>1500</v>
      </c>
      <c r="AD38">
        <v>60000</v>
      </c>
    </row>
    <row r="39" spans="1:31" x14ac:dyDescent="0.3">
      <c r="A39" t="s">
        <v>104</v>
      </c>
      <c r="B39" t="s">
        <v>62</v>
      </c>
      <c r="C39" t="s">
        <v>33</v>
      </c>
      <c r="D39" t="s">
        <v>53</v>
      </c>
      <c r="E39" s="6">
        <v>2</v>
      </c>
      <c r="F39" s="6">
        <v>2</v>
      </c>
      <c r="G39" s="6">
        <v>2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2</v>
      </c>
      <c r="N39" s="6">
        <v>5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/>
      <c r="U39" t="s">
        <v>20</v>
      </c>
      <c r="V39" t="s">
        <v>34</v>
      </c>
      <c r="W39" t="s">
        <v>65</v>
      </c>
      <c r="Z39" s="2">
        <v>95</v>
      </c>
      <c r="AA39" s="4">
        <v>60000</v>
      </c>
      <c r="AB39" s="2">
        <v>4000</v>
      </c>
      <c r="AC39">
        <v>875</v>
      </c>
    </row>
    <row r="40" spans="1:31" x14ac:dyDescent="0.3">
      <c r="A40" t="s">
        <v>102</v>
      </c>
      <c r="B40" t="s">
        <v>63</v>
      </c>
      <c r="C40" t="s">
        <v>33</v>
      </c>
      <c r="D40" t="s">
        <v>53</v>
      </c>
      <c r="E40" s="6">
        <v>3</v>
      </c>
      <c r="F40" s="6">
        <v>3</v>
      </c>
      <c r="G40" s="6">
        <v>3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3</v>
      </c>
      <c r="N40" s="6">
        <v>10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/>
      <c r="U40" t="s">
        <v>20</v>
      </c>
      <c r="V40" t="s">
        <v>34</v>
      </c>
      <c r="W40" t="s">
        <v>64</v>
      </c>
      <c r="Z40" s="2">
        <v>550</v>
      </c>
      <c r="AA40" s="4">
        <v>50000</v>
      </c>
      <c r="AB40" s="2">
        <v>4000</v>
      </c>
      <c r="AC40">
        <v>875</v>
      </c>
    </row>
    <row r="41" spans="1:31" x14ac:dyDescent="0.3">
      <c r="Z41" s="2"/>
      <c r="AA41" s="2"/>
      <c r="AB41" s="2"/>
    </row>
    <row r="43" spans="1:31" x14ac:dyDescent="0.3">
      <c r="D43" t="s">
        <v>82</v>
      </c>
      <c r="E43" s="6">
        <f>MAX(E$36:E$40)</f>
        <v>4</v>
      </c>
      <c r="F43" s="6">
        <f t="shared" ref="F43:S43" si="12">MAX(F$36:F$40)</f>
        <v>3</v>
      </c>
      <c r="G43" s="6">
        <f t="shared" si="12"/>
        <v>5</v>
      </c>
      <c r="H43" s="6">
        <f t="shared" si="12"/>
        <v>4</v>
      </c>
      <c r="I43" s="6">
        <f t="shared" si="12"/>
        <v>1</v>
      </c>
      <c r="J43" s="6">
        <f t="shared" si="12"/>
        <v>1</v>
      </c>
      <c r="K43" s="6">
        <f t="shared" si="12"/>
        <v>1</v>
      </c>
      <c r="L43" s="6">
        <f t="shared" si="12"/>
        <v>1</v>
      </c>
      <c r="M43" s="6">
        <f t="shared" si="12"/>
        <v>3</v>
      </c>
      <c r="N43" s="6">
        <f t="shared" si="12"/>
        <v>10</v>
      </c>
      <c r="O43" s="6">
        <f t="shared" si="12"/>
        <v>1</v>
      </c>
      <c r="P43" s="6">
        <f t="shared" si="12"/>
        <v>1</v>
      </c>
      <c r="Q43" s="6">
        <f t="shared" si="12"/>
        <v>1</v>
      </c>
      <c r="R43" s="6">
        <f t="shared" si="12"/>
        <v>1</v>
      </c>
      <c r="S43" s="6">
        <f t="shared" si="12"/>
        <v>1</v>
      </c>
    </row>
    <row r="44" spans="1:31" ht="72" x14ac:dyDescent="0.3">
      <c r="E44" s="11" t="str" cm="1">
        <f t="array" ref="E44">_xlfn.TEXTJOIN(", ", TRUE, IF(E$36:E$40=E43,$A$36:$A$40,""))</f>
        <v>Amex Gold</v>
      </c>
      <c r="F44" s="11" t="str" cm="1">
        <f t="array" ref="F44">_xlfn.TEXTJOIN(", ", TRUE, IF(F$36:F$40=F43,$A$36:$A$40,""))</f>
        <v>Amex Green, Chase Reserve</v>
      </c>
      <c r="G44" s="11" t="str" cm="1">
        <f t="array" ref="G44">_xlfn.TEXTJOIN(", ", TRUE, IF(G$36:G$40=G43,$A$36:$A$40,""))</f>
        <v>Amex Plat</v>
      </c>
      <c r="H44" s="11" t="str" cm="1">
        <f t="array" ref="H44">_xlfn.TEXTJOIN(", ", TRUE, IF(H$36:H$40=H43,$A$36:$A$40,""))</f>
        <v>Amex Gold</v>
      </c>
      <c r="I44" s="11" t="str" cm="1">
        <f t="array" ref="I44">_xlfn.TEXTJOIN(", ", TRUE, IF(I$36:I$40=I43,$A$36:$A$40,""))</f>
        <v>Amex Green, Amex Gold, Amex Plat, Chase Pref, Chase Reserve</v>
      </c>
      <c r="J44" s="11" t="str" cm="1">
        <f t="array" ref="J44">_xlfn.TEXTJOIN(", ", TRUE, IF(J$36:J$40=J43,$A$36:$A$40,""))</f>
        <v>Amex Green, Amex Gold, Amex Plat, Chase Pref, Chase Reserve</v>
      </c>
      <c r="K44" s="11" t="str" cm="1">
        <f t="array" ref="K44">_xlfn.TEXTJOIN(", ", TRUE, IF(K$36:K$40=K43,$A$36:$A$40,""))</f>
        <v>Amex Green, Amex Gold, Amex Plat, Chase Pref, Chase Reserve</v>
      </c>
      <c r="L44" s="11" t="str" cm="1">
        <f t="array" ref="L44">_xlfn.TEXTJOIN(", ", TRUE, IF(L$36:L$40=L43,$A$36:$A$40,""))</f>
        <v>Amex Green, Amex Gold, Amex Plat, Chase Pref, Chase Reserve</v>
      </c>
      <c r="M44" s="11" t="str" cm="1">
        <f t="array" ref="M44">_xlfn.TEXTJOIN(", ", TRUE, IF(M$36:M$40=M43,$A$36:$A$40,""))</f>
        <v>Amex Green, Chase Reserve</v>
      </c>
      <c r="N44" s="11" t="str" cm="1">
        <f t="array" ref="N44">_xlfn.TEXTJOIN(", ", TRUE, IF(N$36:N$40=N43,$A$36:$A$40,""))</f>
        <v>Chase Reserve</v>
      </c>
      <c r="O44" s="11" t="str" cm="1">
        <f t="array" ref="O44">_xlfn.TEXTJOIN(", ", TRUE, IF(O$36:O$40=O43,$A$36:$A$40,""))</f>
        <v>Amex Green, Amex Gold, Amex Plat, Chase Pref, Chase Reserve</v>
      </c>
      <c r="P44" s="11" t="str" cm="1">
        <f t="array" ref="P44">_xlfn.TEXTJOIN(", ", TRUE, IF(P$36:P$40=P43,$A$36:$A$40,""))</f>
        <v>Amex Green, Amex Gold, Amex Plat, Chase Pref, Chase Reserve</v>
      </c>
      <c r="Q44" s="11" t="str" cm="1">
        <f t="array" ref="Q44">_xlfn.TEXTJOIN(", ", TRUE, IF(Q$36:Q$40=Q43,$A$36:$A$40,""))</f>
        <v>Amex Green, Amex Gold, Amex Plat, Chase Pref, Chase Reserve</v>
      </c>
      <c r="R44" s="11" t="str" cm="1">
        <f t="array" ref="R44">_xlfn.TEXTJOIN(", ", TRUE, IF(R$36:R$40=R43,$A$36:$A$40,""))</f>
        <v>Amex Green, Amex Gold, Amex Plat, Chase Pref, Chase Reserve</v>
      </c>
      <c r="S44" s="11" t="str" cm="1">
        <f t="array" ref="S44">_xlfn.TEXTJOIN(", ", TRUE, IF(S$36:S$40=S43,$A$36:$A$40,""))</f>
        <v>Amex Green, Amex Gold, Amex Plat, Chase Pref, Chase Reserve</v>
      </c>
    </row>
    <row r="46" spans="1:31" x14ac:dyDescent="0.3">
      <c r="D46" t="s">
        <v>81</v>
      </c>
      <c r="E46" s="6">
        <f>IF(LARGE(E$36:E$40,2)&lt;&gt;E43, LARGE(E$36:E$40,2), IF(LARGE(E$36:E$40,3)&lt;&gt;E43, LARGE(E$36:E$40,3), LARGE(E$36:E$40,4)))</f>
        <v>3</v>
      </c>
      <c r="F46" s="6">
        <f t="shared" ref="F46:S46" si="13">IF(LARGE(F$36:F$40,2)&lt;&gt;F43, LARGE(F$36:F$40,2), IF(LARGE(F$36:F$40,3)&lt;&gt;F43, LARGE(F$36:F$40,3), LARGE(F$36:F$40,4)))</f>
        <v>2</v>
      </c>
      <c r="G46" s="6">
        <f t="shared" si="13"/>
        <v>3</v>
      </c>
      <c r="H46" s="6">
        <f t="shared" si="13"/>
        <v>1</v>
      </c>
      <c r="I46" s="6">
        <f t="shared" si="13"/>
        <v>1</v>
      </c>
      <c r="J46" s="6">
        <f t="shared" si="13"/>
        <v>1</v>
      </c>
      <c r="K46" s="6">
        <f t="shared" si="13"/>
        <v>1</v>
      </c>
      <c r="L46" s="6">
        <f t="shared" si="13"/>
        <v>1</v>
      </c>
      <c r="M46" s="6">
        <f t="shared" si="13"/>
        <v>2</v>
      </c>
      <c r="N46" s="6">
        <f t="shared" si="13"/>
        <v>5</v>
      </c>
      <c r="O46" s="6">
        <f t="shared" si="13"/>
        <v>1</v>
      </c>
      <c r="P46" s="6">
        <f t="shared" si="13"/>
        <v>1</v>
      </c>
      <c r="Q46" s="6">
        <f t="shared" si="13"/>
        <v>1</v>
      </c>
      <c r="R46" s="6">
        <f t="shared" si="13"/>
        <v>1</v>
      </c>
      <c r="S46" s="6">
        <f t="shared" si="13"/>
        <v>1</v>
      </c>
    </row>
    <row r="47" spans="1:31" ht="72" x14ac:dyDescent="0.3">
      <c r="E47" s="11" t="str" cm="1">
        <f t="array" ref="E47">_xlfn.TEXTJOIN(", ", TRUE, IF(E$36:E$40=E46,$A$36:$A$40,""))</f>
        <v>Amex Green, Chase Reserve</v>
      </c>
      <c r="F47" s="11" t="str" cm="1">
        <f t="array" ref="F47">_xlfn.TEXTJOIN(", ", TRUE, IF(F$36:F$40=F46,$A$36:$A$40,""))</f>
        <v>Chase Pref</v>
      </c>
      <c r="G47" s="11" t="str" cm="1">
        <f t="array" ref="G47">_xlfn.TEXTJOIN(", ", TRUE, IF(G$36:G$40=G46,$A$36:$A$40,""))</f>
        <v>Amex Green, Amex Gold, Chase Reserve</v>
      </c>
      <c r="H47" s="11" t="str" cm="1">
        <f t="array" ref="H47">_xlfn.TEXTJOIN(", ", TRUE, IF(H$36:H$40=H46,$A$36:$A$40,""))</f>
        <v>Amex Green, Amex Plat, Chase Pref, Chase Reserve</v>
      </c>
      <c r="I47" s="11" t="str" cm="1">
        <f t="array" ref="I47">_xlfn.TEXTJOIN(", ", TRUE, IF(I$36:I$40=I46,$A$36:$A$40,""))</f>
        <v>Amex Green, Amex Gold, Amex Plat, Chase Pref, Chase Reserve</v>
      </c>
      <c r="J47" s="11" t="str" cm="1">
        <f t="array" ref="J47">_xlfn.TEXTJOIN(", ", TRUE, IF(J$36:J$40=J46,$A$36:$A$40,""))</f>
        <v>Amex Green, Amex Gold, Amex Plat, Chase Pref, Chase Reserve</v>
      </c>
      <c r="K47" s="11" t="str" cm="1">
        <f t="array" ref="K47">_xlfn.TEXTJOIN(", ", TRUE, IF(K$36:K$40=K46,$A$36:$A$40,""))</f>
        <v>Amex Green, Amex Gold, Amex Plat, Chase Pref, Chase Reserve</v>
      </c>
      <c r="L47" s="11" t="str" cm="1">
        <f t="array" ref="L47">_xlfn.TEXTJOIN(", ", TRUE, IF(L$36:L$40=L46,$A$36:$A$40,""))</f>
        <v>Amex Green, Amex Gold, Amex Plat, Chase Pref, Chase Reserve</v>
      </c>
      <c r="M47" s="11" t="str" cm="1">
        <f t="array" ref="M47">_xlfn.TEXTJOIN(", ", TRUE, IF(M$36:M$40=M46,$A$36:$A$40,""))</f>
        <v>Chase Pref</v>
      </c>
      <c r="N47" s="11" t="str" cm="1">
        <f t="array" ref="N47">_xlfn.TEXTJOIN(", ", TRUE, IF(N$36:N$40=N46,$A$36:$A$40,""))</f>
        <v>Chase Pref</v>
      </c>
      <c r="O47" s="11" t="str" cm="1">
        <f t="array" ref="O47">_xlfn.TEXTJOIN(", ", TRUE, IF(O$36:O$40=O46,$A$36:$A$40,""))</f>
        <v>Amex Green, Amex Gold, Amex Plat, Chase Pref, Chase Reserve</v>
      </c>
      <c r="P47" s="11" t="str" cm="1">
        <f t="array" ref="P47">_xlfn.TEXTJOIN(", ", TRUE, IF(P$36:P$40=P46,$A$36:$A$40,""))</f>
        <v>Amex Green, Amex Gold, Amex Plat, Chase Pref, Chase Reserve</v>
      </c>
      <c r="Q47" s="11" t="str" cm="1">
        <f t="array" ref="Q47">_xlfn.TEXTJOIN(", ", TRUE, IF(Q$36:Q$40=Q46,$A$36:$A$40,""))</f>
        <v>Amex Green, Amex Gold, Amex Plat, Chase Pref, Chase Reserve</v>
      </c>
      <c r="R47" s="11" t="str" cm="1">
        <f t="array" ref="R47">_xlfn.TEXTJOIN(", ", TRUE, IF(R$36:R$40=R46,$A$36:$A$40,""))</f>
        <v>Amex Green, Amex Gold, Amex Plat, Chase Pref, Chase Reserve</v>
      </c>
      <c r="S47" s="11" t="str" cm="1">
        <f t="array" ref="S47">_xlfn.TEXTJOIN(", ", TRUE, IF(S$36:S$40=S46,$A$36:$A$40,""))</f>
        <v>Amex Green, Amex Gold, Amex Plat, Chase Pref, Chase Reserve</v>
      </c>
    </row>
    <row r="49" spans="3:19" x14ac:dyDescent="0.3">
      <c r="D49" t="s">
        <v>84</v>
      </c>
      <c r="E49" s="6">
        <f t="shared" ref="E49:S49" si="14">IF(AND(LARGE(E$36:E$40,3)&lt;&gt;E43, LARGE(E$36:E$40,3)&lt;&gt;E46), LARGE(E$36:E$40,3), IF(AND(LARGE(E$36:E$40,4)&lt;&gt;E43,LARGE(E$36:E$40,4)&lt;&gt;E46), LARGE(E$36:E$40,4), LARGE(E$36:E$40,5)))</f>
        <v>2</v>
      </c>
      <c r="F49" s="6">
        <f t="shared" si="14"/>
        <v>1</v>
      </c>
      <c r="G49" s="6">
        <f t="shared" si="14"/>
        <v>2</v>
      </c>
      <c r="H49" s="6">
        <f t="shared" si="14"/>
        <v>1</v>
      </c>
      <c r="I49" s="6">
        <f t="shared" si="14"/>
        <v>1</v>
      </c>
      <c r="J49" s="6">
        <f t="shared" si="14"/>
        <v>1</v>
      </c>
      <c r="K49" s="6">
        <f t="shared" si="14"/>
        <v>1</v>
      </c>
      <c r="L49" s="6">
        <f t="shared" si="14"/>
        <v>1</v>
      </c>
      <c r="M49" s="6">
        <f t="shared" si="14"/>
        <v>1</v>
      </c>
      <c r="N49" s="6">
        <f t="shared" si="14"/>
        <v>3</v>
      </c>
      <c r="O49" s="6">
        <f t="shared" si="14"/>
        <v>1</v>
      </c>
      <c r="P49" s="6">
        <f t="shared" si="14"/>
        <v>1</v>
      </c>
      <c r="Q49" s="6">
        <f t="shared" si="14"/>
        <v>1</v>
      </c>
      <c r="R49" s="6">
        <f t="shared" si="14"/>
        <v>1</v>
      </c>
      <c r="S49" s="6">
        <f t="shared" si="14"/>
        <v>1</v>
      </c>
    </row>
    <row r="50" spans="3:19" ht="72" x14ac:dyDescent="0.3">
      <c r="E50" s="11" t="str" cm="1">
        <f t="array" ref="E50">_xlfn.TEXTJOIN(", ", TRUE, IF(E$36:E$40=E49,$A$36:$A$40,""))</f>
        <v>Chase Pref</v>
      </c>
      <c r="F50" s="11" t="str" cm="1">
        <f t="array" ref="F50">_xlfn.TEXTJOIN(", ", TRUE, IF(F$36:F$40=F49,$A$36:$A$40,""))</f>
        <v>Amex Gold, Amex Plat</v>
      </c>
      <c r="G50" s="11" t="str" cm="1">
        <f t="array" ref="G50">_xlfn.TEXTJOIN(", ", TRUE, IF(G$36:G$40=G49,$A$36:$A$40,""))</f>
        <v>Chase Pref</v>
      </c>
      <c r="H50" s="11" t="str" cm="1">
        <f t="array" ref="H50">_xlfn.TEXTJOIN(", ", TRUE, IF(H$36:H$40=H49,$A$36:$A$40,""))</f>
        <v>Amex Green, Amex Plat, Chase Pref, Chase Reserve</v>
      </c>
      <c r="I50" s="11" t="str" cm="1">
        <f t="array" ref="I50">_xlfn.TEXTJOIN(", ", TRUE, IF(I$36:I$40=I49,$A$36:$A$40,""))</f>
        <v>Amex Green, Amex Gold, Amex Plat, Chase Pref, Chase Reserve</v>
      </c>
      <c r="J50" s="11" t="str" cm="1">
        <f t="array" ref="J50">_xlfn.TEXTJOIN(", ", TRUE, IF(J$36:J$40=J49,$A$36:$A$40,""))</f>
        <v>Amex Green, Amex Gold, Amex Plat, Chase Pref, Chase Reserve</v>
      </c>
      <c r="K50" s="11" t="str" cm="1">
        <f t="array" ref="K50">_xlfn.TEXTJOIN(", ", TRUE, IF(K$36:K$40=K49,$A$36:$A$40,""))</f>
        <v>Amex Green, Amex Gold, Amex Plat, Chase Pref, Chase Reserve</v>
      </c>
      <c r="L50" s="11" t="str" cm="1">
        <f t="array" ref="L50">_xlfn.TEXTJOIN(", ", TRUE, IF(L$36:L$40=L49,$A$36:$A$40,""))</f>
        <v>Amex Green, Amex Gold, Amex Plat, Chase Pref, Chase Reserve</v>
      </c>
      <c r="M50" s="11" t="str" cm="1">
        <f t="array" ref="M50">_xlfn.TEXTJOIN(", ", TRUE, IF(M$36:M$40=M49,$A$36:$A$40,""))</f>
        <v>Amex Gold, Amex Plat</v>
      </c>
      <c r="N50" s="11" t="str" cm="1">
        <f t="array" ref="N50">_xlfn.TEXTJOIN(", ", TRUE, IF(N$36:N$40=N49,$A$36:$A$40,""))</f>
        <v>Amex Green</v>
      </c>
      <c r="O50" s="11" t="str" cm="1">
        <f t="array" ref="O50">_xlfn.TEXTJOIN(", ", TRUE, IF(O$36:O$40=O49,$A$36:$A$40,""))</f>
        <v>Amex Green, Amex Gold, Amex Plat, Chase Pref, Chase Reserve</v>
      </c>
      <c r="P50" s="11" t="str" cm="1">
        <f t="array" ref="P50">_xlfn.TEXTJOIN(", ", TRUE, IF(P$36:P$40=P49,$A$36:$A$40,""))</f>
        <v>Amex Green, Amex Gold, Amex Plat, Chase Pref, Chase Reserve</v>
      </c>
      <c r="Q50" s="11" t="str" cm="1">
        <f t="array" ref="Q50">_xlfn.TEXTJOIN(", ", TRUE, IF(Q$36:Q$40=Q49,$A$36:$A$40,""))</f>
        <v>Amex Green, Amex Gold, Amex Plat, Chase Pref, Chase Reserve</v>
      </c>
      <c r="R50" s="11" t="str" cm="1">
        <f t="array" ref="R50">_xlfn.TEXTJOIN(", ", TRUE, IF(R$36:R$40=R49,$A$36:$A$40,""))</f>
        <v>Amex Green, Amex Gold, Amex Plat, Chase Pref, Chase Reserve</v>
      </c>
      <c r="S50" s="11" t="str" cm="1">
        <f t="array" ref="S50">_xlfn.TEXTJOIN(", ", TRUE, IF(S$36:S$40=S49,$A$36:$A$40,""))</f>
        <v>Amex Green, Amex Gold, Amex Plat, Chase Pref, Chase Reserve</v>
      </c>
    </row>
    <row r="53" spans="3:19" x14ac:dyDescent="0.3">
      <c r="C53" t="s">
        <v>105</v>
      </c>
    </row>
    <row r="54" spans="3:19" x14ac:dyDescent="0.3">
      <c r="D54" t="s">
        <v>82</v>
      </c>
      <c r="E54" s="9">
        <f>$E$28*E43*$B$34</f>
        <v>400.78559240000004</v>
      </c>
      <c r="F54" s="9">
        <f>$E$28*F43*$B$34</f>
        <v>300.58919430000003</v>
      </c>
      <c r="G54" s="9">
        <f t="shared" ref="G54:S54" si="15">$E$28*G43*$B$34</f>
        <v>500.98199050000005</v>
      </c>
      <c r="H54" s="9">
        <f t="shared" si="15"/>
        <v>400.78559240000004</v>
      </c>
      <c r="I54" s="9">
        <f t="shared" si="15"/>
        <v>100.19639810000001</v>
      </c>
      <c r="J54" s="9">
        <f t="shared" si="15"/>
        <v>100.19639810000001</v>
      </c>
      <c r="K54" s="9">
        <f t="shared" si="15"/>
        <v>100.19639810000001</v>
      </c>
      <c r="L54" s="9">
        <f t="shared" si="15"/>
        <v>100.19639810000001</v>
      </c>
      <c r="M54" s="9">
        <f t="shared" si="15"/>
        <v>300.58919430000003</v>
      </c>
      <c r="N54" s="9">
        <f t="shared" si="15"/>
        <v>1001.9639810000001</v>
      </c>
      <c r="O54" s="9">
        <f t="shared" si="15"/>
        <v>100.19639810000001</v>
      </c>
      <c r="P54" s="9">
        <f t="shared" si="15"/>
        <v>100.19639810000001</v>
      </c>
      <c r="Q54" s="9">
        <f t="shared" si="15"/>
        <v>100.19639810000001</v>
      </c>
      <c r="R54" s="9">
        <f t="shared" si="15"/>
        <v>100.19639810000001</v>
      </c>
      <c r="S54" s="9">
        <f t="shared" si="15"/>
        <v>100.19639810000001</v>
      </c>
    </row>
    <row r="55" spans="3:19" x14ac:dyDescent="0.3">
      <c r="D55" t="s">
        <v>81</v>
      </c>
      <c r="E55" s="9">
        <f>$E$28*E46*$B$34</f>
        <v>300.58919430000003</v>
      </c>
      <c r="F55" s="9">
        <f t="shared" ref="F55:S55" si="16">$E$28*F46*$B$34</f>
        <v>200.39279620000002</v>
      </c>
      <c r="G55" s="9">
        <f t="shared" si="16"/>
        <v>300.58919430000003</v>
      </c>
      <c r="H55" s="9">
        <f t="shared" si="16"/>
        <v>100.19639810000001</v>
      </c>
      <c r="I55" s="9">
        <f t="shared" si="16"/>
        <v>100.19639810000001</v>
      </c>
      <c r="J55" s="9">
        <f t="shared" si="16"/>
        <v>100.19639810000001</v>
      </c>
      <c r="K55" s="9">
        <f t="shared" si="16"/>
        <v>100.19639810000001</v>
      </c>
      <c r="L55" s="9">
        <f t="shared" si="16"/>
        <v>100.19639810000001</v>
      </c>
      <c r="M55" s="9">
        <f t="shared" si="16"/>
        <v>200.39279620000002</v>
      </c>
      <c r="N55" s="9">
        <f t="shared" si="16"/>
        <v>500.98199050000005</v>
      </c>
      <c r="O55" s="9">
        <f t="shared" si="16"/>
        <v>100.19639810000001</v>
      </c>
      <c r="P55" s="9">
        <f t="shared" si="16"/>
        <v>100.19639810000001</v>
      </c>
      <c r="Q55" s="9">
        <f t="shared" si="16"/>
        <v>100.19639810000001</v>
      </c>
      <c r="R55" s="9">
        <f t="shared" si="16"/>
        <v>100.19639810000001</v>
      </c>
      <c r="S55" s="9">
        <f t="shared" si="16"/>
        <v>100.19639810000001</v>
      </c>
    </row>
    <row r="56" spans="3:19" x14ac:dyDescent="0.3">
      <c r="D56" t="s">
        <v>84</v>
      </c>
      <c r="E56" s="9">
        <f>$E$28*E49*$B$34</f>
        <v>200.39279620000002</v>
      </c>
      <c r="F56" s="9">
        <f t="shared" ref="F56:S56" si="17">$E$28*F49*$B$34</f>
        <v>100.19639810000001</v>
      </c>
      <c r="G56" s="9">
        <f t="shared" si="17"/>
        <v>200.39279620000002</v>
      </c>
      <c r="H56" s="9">
        <f t="shared" si="17"/>
        <v>100.19639810000001</v>
      </c>
      <c r="I56" s="9">
        <f t="shared" si="17"/>
        <v>100.19639810000001</v>
      </c>
      <c r="J56" s="9">
        <f t="shared" si="17"/>
        <v>100.19639810000001</v>
      </c>
      <c r="K56" s="9">
        <f t="shared" si="17"/>
        <v>100.19639810000001</v>
      </c>
      <c r="L56" s="9">
        <f t="shared" si="17"/>
        <v>100.19639810000001</v>
      </c>
      <c r="M56" s="9">
        <f t="shared" si="17"/>
        <v>100.19639810000001</v>
      </c>
      <c r="N56" s="9">
        <f t="shared" si="17"/>
        <v>300.58919430000003</v>
      </c>
      <c r="O56" s="9">
        <f t="shared" si="17"/>
        <v>100.19639810000001</v>
      </c>
      <c r="P56" s="9">
        <f t="shared" si="17"/>
        <v>100.19639810000001</v>
      </c>
      <c r="Q56" s="9">
        <f t="shared" si="17"/>
        <v>100.19639810000001</v>
      </c>
      <c r="R56" s="9">
        <f t="shared" si="17"/>
        <v>100.19639810000001</v>
      </c>
      <c r="S56" s="9">
        <f t="shared" si="17"/>
        <v>100.19639810000001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0AAD-803B-44FC-AA14-6114649923EE}">
  <dimension ref="A1:O30"/>
  <sheetViews>
    <sheetView topLeftCell="A12" workbookViewId="0">
      <selection activeCell="B38" sqref="B38"/>
    </sheetView>
  </sheetViews>
  <sheetFormatPr defaultRowHeight="14.4" x14ac:dyDescent="0.3"/>
  <sheetData>
    <row r="1" spans="1:5" x14ac:dyDescent="0.3">
      <c r="A1" t="s">
        <v>86</v>
      </c>
    </row>
    <row r="2" spans="1:5" x14ac:dyDescent="0.3">
      <c r="A2" t="s">
        <v>87</v>
      </c>
    </row>
    <row r="3" spans="1:5" x14ac:dyDescent="0.3">
      <c r="A3" t="s">
        <v>88</v>
      </c>
    </row>
    <row r="4" spans="1:5" x14ac:dyDescent="0.3">
      <c r="A4" t="s">
        <v>89</v>
      </c>
    </row>
    <row r="5" spans="1:5" x14ac:dyDescent="0.3">
      <c r="A5" t="s">
        <v>90</v>
      </c>
    </row>
    <row r="6" spans="1:5" x14ac:dyDescent="0.3">
      <c r="A6" t="s">
        <v>91</v>
      </c>
    </row>
    <row r="7" spans="1:5" x14ac:dyDescent="0.3">
      <c r="A7" t="s">
        <v>92</v>
      </c>
    </row>
    <row r="8" spans="1:5" x14ac:dyDescent="0.3">
      <c r="A8" t="s">
        <v>93</v>
      </c>
      <c r="D8" t="s">
        <v>107</v>
      </c>
      <c r="E8" t="s">
        <v>108</v>
      </c>
    </row>
    <row r="9" spans="1:5" x14ac:dyDescent="0.3">
      <c r="A9" t="s">
        <v>94</v>
      </c>
      <c r="C9" t="s">
        <v>106</v>
      </c>
    </row>
    <row r="10" spans="1:5" x14ac:dyDescent="0.3">
      <c r="C10" t="s">
        <v>109</v>
      </c>
    </row>
    <row r="12" spans="1:5" x14ac:dyDescent="0.3">
      <c r="A12" s="19"/>
    </row>
    <row r="13" spans="1:5" x14ac:dyDescent="0.3">
      <c r="A13" s="18" t="s">
        <v>120</v>
      </c>
    </row>
    <row r="14" spans="1:5" x14ac:dyDescent="0.3">
      <c r="A14" t="s">
        <v>123</v>
      </c>
    </row>
    <row r="15" spans="1:5" x14ac:dyDescent="0.3">
      <c r="A15" t="s">
        <v>121</v>
      </c>
    </row>
    <row r="16" spans="1:5" x14ac:dyDescent="0.3">
      <c r="A16" t="s">
        <v>122</v>
      </c>
    </row>
    <row r="19" spans="1:15" x14ac:dyDescent="0.3">
      <c r="A19" s="18" t="s">
        <v>114</v>
      </c>
    </row>
    <row r="20" spans="1:15" x14ac:dyDescent="0.3">
      <c r="A20" s="18" t="s">
        <v>119</v>
      </c>
    </row>
    <row r="23" spans="1:15" x14ac:dyDescent="0.3">
      <c r="A23" t="s">
        <v>117</v>
      </c>
    </row>
    <row r="24" spans="1:15" x14ac:dyDescent="0.3">
      <c r="A24" t="s">
        <v>115</v>
      </c>
    </row>
    <row r="26" spans="1:15" x14ac:dyDescent="0.3">
      <c r="A26" t="s">
        <v>135</v>
      </c>
    </row>
    <row r="30" spans="1:15" x14ac:dyDescent="0.3">
      <c r="A30" t="s">
        <v>6</v>
      </c>
      <c r="B30" t="s">
        <v>5</v>
      </c>
      <c r="C30" t="s">
        <v>113</v>
      </c>
      <c r="D30" s="1">
        <v>0.03</v>
      </c>
      <c r="E30" s="1">
        <v>0.03</v>
      </c>
      <c r="F30" s="1">
        <v>0.03</v>
      </c>
      <c r="G30" s="1">
        <v>0.01</v>
      </c>
      <c r="H30" s="1">
        <v>0.01</v>
      </c>
      <c r="I30" s="1">
        <v>0.01</v>
      </c>
      <c r="J30" s="1">
        <v>0.01</v>
      </c>
      <c r="K30" s="15" t="s">
        <v>13</v>
      </c>
      <c r="L30" s="16">
        <v>25</v>
      </c>
      <c r="M30" s="2">
        <v>0</v>
      </c>
      <c r="N30" s="2">
        <v>100</v>
      </c>
      <c r="O30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 Data</vt:lpstr>
      <vt:lpstr>Personal Spending</vt:lpstr>
      <vt:lpstr>First Attempt at Card Data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Goh</dc:creator>
  <cp:lastModifiedBy>Andrew Goh</cp:lastModifiedBy>
  <dcterms:created xsi:type="dcterms:W3CDTF">2020-03-03T03:03:04Z</dcterms:created>
  <dcterms:modified xsi:type="dcterms:W3CDTF">2020-03-19T05:16:36Z</dcterms:modified>
</cp:coreProperties>
</file>