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01, 개발\09, 2021 KDT 해커톤 대회\06, Submition\"/>
    </mc:Choice>
  </mc:AlternateContent>
  <bookViews>
    <workbookView xWindow="0" yWindow="0" windowWidth="17256" windowHeight="5688" firstSheet="1" activeTab="2"/>
  </bookViews>
  <sheets>
    <sheet name="발전량 예측제도" sheetId="1" r:id="rId1"/>
    <sheet name="RPS 제도" sheetId="4" r:id="rId2"/>
    <sheet name="RPS 제도 개정안" sheetId="2" r:id="rId3"/>
    <sheet name="재생에너지 3020" sheetId="5" r:id="rId4"/>
    <sheet name="APP data 근거" sheetId="6" r:id="rId5"/>
  </sheets>
  <definedNames>
    <definedName name="_xlnm.Print_Area" localSheetId="4">'APP data 근거'!$A$1:$E$37</definedName>
    <definedName name="_xlnm.Print_Area" localSheetId="1">'RPS 제도'!$A$1:$E$47</definedName>
    <definedName name="_xlnm.Print_Area" localSheetId="2">'RPS 제도 개정안'!$A$1:$E$59</definedName>
    <definedName name="_xlnm.Print_Area" localSheetId="0">'발전량 예측제도'!$A$1:$F$12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2" l="1"/>
  <c r="C9" i="1" l="1"/>
  <c r="E13" i="4" l="1"/>
  <c r="C15" i="4"/>
  <c r="E28" i="2" l="1"/>
  <c r="E27" i="2"/>
  <c r="C19" i="2"/>
  <c r="E43" i="4" l="1"/>
  <c r="E42" i="4"/>
  <c r="C27" i="4"/>
  <c r="C18" i="4"/>
  <c r="C57" i="2"/>
  <c r="C56" i="2"/>
  <c r="C54" i="2"/>
  <c r="C55" i="2"/>
  <c r="B32" i="5"/>
  <c r="C31" i="5"/>
  <c r="D31" i="5"/>
  <c r="E31" i="5"/>
  <c r="B31" i="5"/>
  <c r="C20" i="5"/>
  <c r="C21" i="5" s="1"/>
  <c r="B16" i="5"/>
  <c r="E20" i="5" s="1"/>
  <c r="E21" i="5" s="1"/>
  <c r="B15" i="5"/>
  <c r="B11" i="5"/>
  <c r="D19" i="5"/>
  <c r="D20" i="5" s="1"/>
  <c r="D21" i="5" s="1"/>
  <c r="C18" i="6"/>
  <c r="C19" i="6"/>
  <c r="C21" i="6"/>
  <c r="C23" i="6" s="1"/>
  <c r="C20" i="6"/>
  <c r="C22" i="6" s="1"/>
  <c r="C9" i="6"/>
  <c r="C47" i="4"/>
  <c r="C44" i="4"/>
  <c r="B20" i="5" l="1"/>
  <c r="B21" i="5" s="1"/>
  <c r="C24" i="6"/>
  <c r="C26" i="6" s="1"/>
  <c r="C28" i="6" s="1"/>
  <c r="C33" i="6"/>
  <c r="C53" i="2"/>
  <c r="C52" i="2"/>
  <c r="C51" i="2"/>
  <c r="C50" i="2"/>
  <c r="C49" i="2"/>
  <c r="C30" i="4"/>
  <c r="C31" i="4" s="1"/>
  <c r="C28" i="4"/>
  <c r="C29" i="4" s="1"/>
  <c r="C26" i="4"/>
  <c r="C14" i="4"/>
  <c r="C13" i="4"/>
  <c r="C23" i="4" s="1"/>
  <c r="C39" i="2"/>
  <c r="C31" i="2"/>
  <c r="C32" i="2" s="1"/>
  <c r="C33" i="2" s="1"/>
  <c r="C40" i="2" s="1"/>
  <c r="C38" i="2"/>
  <c r="C37" i="2"/>
  <c r="C36" i="2"/>
  <c r="C35" i="2"/>
  <c r="C34" i="2"/>
  <c r="C30" i="2"/>
  <c r="C29" i="2"/>
  <c r="C27" i="2"/>
  <c r="C28" i="2" s="1"/>
  <c r="C15" i="2"/>
  <c r="C16" i="2" s="1"/>
  <c r="C14" i="2"/>
  <c r="C24" i="2" s="1"/>
  <c r="C10" i="1"/>
  <c r="C8" i="1"/>
  <c r="C7" i="1"/>
  <c r="C25" i="6" l="1"/>
  <c r="C27" i="6" s="1"/>
  <c r="C35" i="6"/>
  <c r="C37" i="6"/>
  <c r="C44" i="2"/>
  <c r="C45" i="2" s="1"/>
  <c r="C19" i="4"/>
  <c r="C16" i="4"/>
  <c r="C17" i="4" s="1"/>
  <c r="C20" i="4" s="1"/>
  <c r="C25" i="4"/>
  <c r="C33" i="4" s="1"/>
  <c r="C32" i="4"/>
  <c r="C24" i="4"/>
  <c r="C17" i="2"/>
  <c r="C18" i="2" s="1"/>
  <c r="C20" i="2"/>
  <c r="C26" i="2"/>
  <c r="C25" i="2"/>
  <c r="C36" i="4" l="1"/>
  <c r="C37" i="4" s="1"/>
  <c r="C34" i="4"/>
  <c r="C35" i="4" s="1"/>
  <c r="C21" i="2"/>
  <c r="C38" i="4" l="1"/>
  <c r="C39" i="4" s="1"/>
  <c r="C41" i="4" s="1"/>
  <c r="C42" i="4" s="1"/>
</calcChain>
</file>

<file path=xl/sharedStrings.xml><?xml version="1.0" encoding="utf-8"?>
<sst xmlns="http://schemas.openxmlformats.org/spreadsheetml/2006/main" count="316" uniqueCount="157">
  <si>
    <t>정산금</t>
    <phoneticPr fontId="2" type="noConversion"/>
  </si>
  <si>
    <t>원/kWh</t>
    <phoneticPr fontId="2" type="noConversion"/>
  </si>
  <si>
    <t>https://www.energydaily.co.kr/news/articleView.html?idxno=111883</t>
  </si>
  <si>
    <t>MW</t>
    <phoneticPr fontId="2" type="noConversion"/>
  </si>
  <si>
    <t>집합전력자원</t>
    <phoneticPr fontId="2" type="noConversion"/>
  </si>
  <si>
    <t>Reference</t>
    <phoneticPr fontId="2" type="noConversion"/>
  </si>
  <si>
    <t>주 3회 3~4원/kWh</t>
    <phoneticPr fontId="2" type="noConversion"/>
  </si>
  <si>
    <t>소규모 전력중개사업자 기준</t>
    <phoneticPr fontId="2" type="noConversion"/>
  </si>
  <si>
    <t>발전량 예측제도 연간 수익 예측</t>
    <phoneticPr fontId="2" type="noConversion"/>
  </si>
  <si>
    <t>태양광평균발전시간</t>
    <phoneticPr fontId="2" type="noConversion"/>
  </si>
  <si>
    <t>시간</t>
    <phoneticPr fontId="2" type="noConversion"/>
  </si>
  <si>
    <t>연간 발전시간</t>
    <phoneticPr fontId="2" type="noConversion"/>
  </si>
  <si>
    <t>연간 발전량</t>
    <phoneticPr fontId="2" type="noConversion"/>
  </si>
  <si>
    <t>MWh</t>
    <phoneticPr fontId="2" type="noConversion"/>
  </si>
  <si>
    <t>연간 수익</t>
    <phoneticPr fontId="2" type="noConversion"/>
  </si>
  <si>
    <t>원</t>
    <phoneticPr fontId="2" type="noConversion"/>
  </si>
  <si>
    <t>만원</t>
    <phoneticPr fontId="2" type="noConversion"/>
  </si>
  <si>
    <t>REC 가중치</t>
    <phoneticPr fontId="2" type="noConversion"/>
  </si>
  <si>
    <t>SMP</t>
    <phoneticPr fontId="2" type="noConversion"/>
  </si>
  <si>
    <t>Reference</t>
    <phoneticPr fontId="2" type="noConversion"/>
  </si>
  <si>
    <t>2021년 6월 SMP 육지가격 평균
http://epsis.kpx.or.kr/epsisnew/selectEkmaSmpSmpChart.do?menuId=040201</t>
    <phoneticPr fontId="2" type="noConversion"/>
  </si>
  <si>
    <t>PV+ESS REC 가중치</t>
    <phoneticPr fontId="2" type="noConversion"/>
  </si>
  <si>
    <t>일반부지에 설치하고 설비용량 100kW부터</t>
    <phoneticPr fontId="2" type="noConversion"/>
  </si>
  <si>
    <t>PV REC 가중치</t>
    <phoneticPr fontId="2" type="noConversion"/>
  </si>
  <si>
    <t>REC</t>
    <phoneticPr fontId="2" type="noConversion"/>
  </si>
  <si>
    <t>원/MWh</t>
    <phoneticPr fontId="2" type="noConversion"/>
  </si>
  <si>
    <t>설비용량</t>
    <phoneticPr fontId="2" type="noConversion"/>
  </si>
  <si>
    <t>kWh</t>
  </si>
  <si>
    <t>kWh</t>
    <phoneticPr fontId="2" type="noConversion"/>
  </si>
  <si>
    <t>가정</t>
    <phoneticPr fontId="2" type="noConversion"/>
  </si>
  <si>
    <t>ESS 충전용량</t>
    <phoneticPr fontId="2" type="noConversion"/>
  </si>
  <si>
    <t>SOC 제한</t>
    <phoneticPr fontId="2" type="noConversion"/>
  </si>
  <si>
    <t>충전율 안전조치 옥내 기준</t>
    <phoneticPr fontId="2" type="noConversion"/>
  </si>
  <si>
    <t>시간</t>
    <phoneticPr fontId="2" type="noConversion"/>
  </si>
  <si>
    <t>kW</t>
    <phoneticPr fontId="2" type="noConversion"/>
  </si>
  <si>
    <t>https://biz.chosun.com/site/data/html_dir/2018/12/13/2018121300929.html</t>
  </si>
  <si>
    <t>태양광 하루 발전량</t>
    <phoneticPr fontId="2" type="noConversion"/>
  </si>
  <si>
    <t>연간 SMP 수익</t>
    <phoneticPr fontId="2" type="noConversion"/>
  </si>
  <si>
    <t>연간 REC 수익</t>
    <phoneticPr fontId="2" type="noConversion"/>
  </si>
  <si>
    <t xml:space="preserve">PV 단독 발전 </t>
    <phoneticPr fontId="2" type="noConversion"/>
  </si>
  <si>
    <t>2021년 7월 13일 기준
https://www.kpx.or.kr/mobile/sub04_1.do</t>
    <phoneticPr fontId="2" type="noConversion"/>
  </si>
  <si>
    <t>연간 발전시간</t>
    <phoneticPr fontId="2" type="noConversion"/>
  </si>
  <si>
    <t>연간 발전량</t>
    <phoneticPr fontId="2" type="noConversion"/>
  </si>
  <si>
    <t>만원</t>
    <phoneticPr fontId="2" type="noConversion"/>
  </si>
  <si>
    <t>원</t>
    <phoneticPr fontId="2" type="noConversion"/>
  </si>
  <si>
    <t>연간 총 수익</t>
    <phoneticPr fontId="2" type="noConversion"/>
  </si>
  <si>
    <t>만원</t>
    <phoneticPr fontId="2" type="noConversion"/>
  </si>
  <si>
    <t>PV+ESS 발전</t>
    <phoneticPr fontId="2" type="noConversion"/>
  </si>
  <si>
    <t>kWh</t>
    <phoneticPr fontId="2" type="noConversion"/>
  </si>
  <si>
    <t xml:space="preserve">ESS 하루 충전량 </t>
    <phoneticPr fontId="2" type="noConversion"/>
  </si>
  <si>
    <t>연간 충전량</t>
    <phoneticPr fontId="2" type="noConversion"/>
  </si>
  <si>
    <t>PV+ESS SMP 수익</t>
    <phoneticPr fontId="2" type="noConversion"/>
  </si>
  <si>
    <t>PV+ESS REC 수익</t>
    <phoneticPr fontId="2" type="noConversion"/>
  </si>
  <si>
    <t>PV+ESS REC 수익</t>
    <phoneticPr fontId="2" type="noConversion"/>
  </si>
  <si>
    <t>PV+ESS 총 수익</t>
    <phoneticPr fontId="2" type="noConversion"/>
  </si>
  <si>
    <t>만원</t>
    <phoneticPr fontId="2" type="noConversion"/>
  </si>
  <si>
    <t>PV 단독 연간 정산발전량</t>
    <phoneticPr fontId="2" type="noConversion"/>
  </si>
  <si>
    <t>PV SMP 수익</t>
    <phoneticPr fontId="2" type="noConversion"/>
  </si>
  <si>
    <t>PV REC 수익</t>
    <phoneticPr fontId="2" type="noConversion"/>
  </si>
  <si>
    <t>만원</t>
    <phoneticPr fontId="2" type="noConversion"/>
  </si>
  <si>
    <t>원</t>
    <phoneticPr fontId="2" type="noConversion"/>
  </si>
  <si>
    <t>PV 단독 총수익</t>
    <phoneticPr fontId="2" type="noConversion"/>
  </si>
  <si>
    <t xml:space="preserve">100kW급 차액 </t>
    <phoneticPr fontId="2" type="noConversion"/>
  </si>
  <si>
    <t>1MW급 차액</t>
    <phoneticPr fontId="2" type="noConversion"/>
  </si>
  <si>
    <t>만원</t>
    <phoneticPr fontId="2" type="noConversion"/>
  </si>
  <si>
    <t>충전율 안전조치 미이행시</t>
    <phoneticPr fontId="2" type="noConversion"/>
  </si>
  <si>
    <t>발전량 가산율</t>
    <phoneticPr fontId="2" type="noConversion"/>
  </si>
  <si>
    <t>PV+ESS 가산 발전량</t>
    <phoneticPr fontId="2" type="noConversion"/>
  </si>
  <si>
    <t>kWh</t>
    <phoneticPr fontId="2" type="noConversion"/>
  </si>
  <si>
    <t>100kW급 연간손실금액</t>
    <phoneticPr fontId="2" type="noConversion"/>
  </si>
  <si>
    <t>1MW급 연간손실금액</t>
    <phoneticPr fontId="2" type="noConversion"/>
  </si>
  <si>
    <t>1MW급 일간손실금액</t>
    <phoneticPr fontId="2" type="noConversion"/>
  </si>
  <si>
    <t>PV+ESS 가산 발전량 SMP 수익</t>
    <phoneticPr fontId="2" type="noConversion"/>
  </si>
  <si>
    <t>원</t>
    <phoneticPr fontId="2" type="noConversion"/>
  </si>
  <si>
    <t>PV+ESS 가산 발전량 REC 수익</t>
    <phoneticPr fontId="2" type="noConversion"/>
  </si>
  <si>
    <t>PV+ESS REC 가중치
(충전율안전조치 미이행시)</t>
    <phoneticPr fontId="2" type="noConversion"/>
  </si>
  <si>
    <t>2021년 7월 13일 기준 평균가
https://www.kpx.or.kr/mobile/sub04_1.do</t>
    <phoneticPr fontId="2" type="noConversion"/>
  </si>
  <si>
    <t>원</t>
    <phoneticPr fontId="2" type="noConversion"/>
  </si>
  <si>
    <t>PV+ESS 가산 발전량 REC 수익</t>
    <phoneticPr fontId="2" type="noConversion"/>
  </si>
  <si>
    <t>만원</t>
    <phoneticPr fontId="2" type="noConversion"/>
  </si>
  <si>
    <t>1MW급 PV+ESS 가산 발전량 총 수익</t>
    <phoneticPr fontId="2" type="noConversion"/>
  </si>
  <si>
    <t>만원</t>
    <phoneticPr fontId="2" type="noConversion"/>
  </si>
  <si>
    <t>년도</t>
  </si>
  <si>
    <t>년도</t>
    <phoneticPr fontId="2" type="noConversion"/>
  </si>
  <si>
    <t>그린뉴딜 상향조정</t>
    <phoneticPr fontId="2" type="noConversion"/>
  </si>
  <si>
    <t>배터리 발전량/태양광 발전량</t>
    <phoneticPr fontId="2" type="noConversion"/>
  </si>
  <si>
    <t>부산 자재창고 태양광 발전량</t>
    <phoneticPr fontId="2" type="noConversion"/>
  </si>
  <si>
    <t>ESS</t>
    <phoneticPr fontId="2" type="noConversion"/>
  </si>
  <si>
    <t>kW</t>
    <phoneticPr fontId="2" type="noConversion"/>
  </si>
  <si>
    <t>가정</t>
    <phoneticPr fontId="2" type="noConversion"/>
  </si>
  <si>
    <t>kW</t>
    <phoneticPr fontId="2" type="noConversion"/>
  </si>
  <si>
    <t>태양광 현재발전시간</t>
    <phoneticPr fontId="2" type="noConversion"/>
  </si>
  <si>
    <t>시간</t>
    <phoneticPr fontId="2" type="noConversion"/>
  </si>
  <si>
    <t>태양광 현재 발전량</t>
    <phoneticPr fontId="2" type="noConversion"/>
  </si>
  <si>
    <t>kWh</t>
    <phoneticPr fontId="2" type="noConversion"/>
  </si>
  <si>
    <t>태양광 하루발전시간</t>
    <phoneticPr fontId="2" type="noConversion"/>
  </si>
  <si>
    <t>ESS 충전시간</t>
    <phoneticPr fontId="2" type="noConversion"/>
  </si>
  <si>
    <t>ESS 현재 충전시간</t>
    <phoneticPr fontId="2" type="noConversion"/>
  </si>
  <si>
    <t xml:space="preserve">ESS 하루 충전량 </t>
    <phoneticPr fontId="2" type="noConversion"/>
  </si>
  <si>
    <t xml:space="preserve">ESS 현재 충전량 </t>
    <phoneticPr fontId="2" type="noConversion"/>
  </si>
  <si>
    <t>SOC 최대 제한</t>
    <phoneticPr fontId="2" type="noConversion"/>
  </si>
  <si>
    <t>SOC 최소 제한</t>
    <phoneticPr fontId="2" type="noConversion"/>
  </si>
  <si>
    <t>kWh</t>
    <phoneticPr fontId="2" type="noConversion"/>
  </si>
  <si>
    <t>오늘예상충전량/오늘예상발전량</t>
    <phoneticPr fontId="2" type="noConversion"/>
  </si>
  <si>
    <t>내일 예상 충전량</t>
    <phoneticPr fontId="2" type="noConversion"/>
  </si>
  <si>
    <t>내일 예상 발전량</t>
    <phoneticPr fontId="2" type="noConversion"/>
  </si>
  <si>
    <t>모레 예상 발전량</t>
    <phoneticPr fontId="2" type="noConversion"/>
  </si>
  <si>
    <t>모레 예상 충전량</t>
    <phoneticPr fontId="2" type="noConversion"/>
  </si>
  <si>
    <t>PV + ESS SMP 수익</t>
    <phoneticPr fontId="2" type="noConversion"/>
  </si>
  <si>
    <t>원</t>
    <phoneticPr fontId="2" type="noConversion"/>
  </si>
  <si>
    <t>PV + ESS REC 수익</t>
    <phoneticPr fontId="2" type="noConversion"/>
  </si>
  <si>
    <t>원</t>
    <phoneticPr fontId="2" type="noConversion"/>
  </si>
  <si>
    <t>PV SMP 수익</t>
    <phoneticPr fontId="2" type="noConversion"/>
  </si>
  <si>
    <t>PV REC 수익</t>
    <phoneticPr fontId="2" type="noConversion"/>
  </si>
  <si>
    <t>PV 단독 정산발전량</t>
    <phoneticPr fontId="2" type="noConversion"/>
  </si>
  <si>
    <t>총 SMP 수익</t>
    <phoneticPr fontId="2" type="noConversion"/>
  </si>
  <si>
    <t>원</t>
    <phoneticPr fontId="2" type="noConversion"/>
  </si>
  <si>
    <t>총 REC 수익</t>
    <phoneticPr fontId="2" type="noConversion"/>
  </si>
  <si>
    <t>RPS 제도 계산 기준</t>
    <phoneticPr fontId="2" type="noConversion"/>
  </si>
  <si>
    <t>App 데이터 기준</t>
    <phoneticPr fontId="2" type="noConversion"/>
  </si>
  <si>
    <t>억/MW</t>
    <phoneticPr fontId="2" type="noConversion"/>
  </si>
  <si>
    <t>설비용량 [GW]</t>
  </si>
  <si>
    <t>설비용량 [GW]</t>
    <phoneticPr fontId="2" type="noConversion"/>
  </si>
  <si>
    <t>소규모 전력중개사업자 집합전력 비율</t>
    <phoneticPr fontId="2" type="noConversion"/>
  </si>
  <si>
    <t>2021년 3월말 발전설비</t>
    <phoneticPr fontId="2" type="noConversion"/>
  </si>
  <si>
    <t>GW</t>
    <phoneticPr fontId="2" type="noConversion"/>
  </si>
  <si>
    <t>중개시장 소규모자원</t>
    <phoneticPr fontId="2" type="noConversion"/>
  </si>
  <si>
    <t>Reference</t>
    <phoneticPr fontId="2" type="noConversion"/>
  </si>
  <si>
    <t>전력거래소(2021) 2021년 3월 전력시장/신시장 운영실적</t>
    <phoneticPr fontId="2" type="noConversion"/>
  </si>
  <si>
    <t>집합자원 소규모자원</t>
    <phoneticPr fontId="2" type="noConversion"/>
  </si>
  <si>
    <t>총 소규모자원</t>
    <phoneticPr fontId="2" type="noConversion"/>
  </si>
  <si>
    <t>MW</t>
    <phoneticPr fontId="2" type="noConversion"/>
  </si>
  <si>
    <t>설비용량 [GW]</t>
    <phoneticPr fontId="2" type="noConversion"/>
  </si>
  <si>
    <t>소규모전력중개시장 설비용량 [MW]</t>
    <phoneticPr fontId="2" type="noConversion"/>
  </si>
  <si>
    <t>발전량 예측제도 수익</t>
    <phoneticPr fontId="2" type="noConversion"/>
  </si>
  <si>
    <t>발전량 예측제도 수익</t>
    <phoneticPr fontId="2" type="noConversion"/>
  </si>
  <si>
    <t>연도별 발전량 예측제도 수익</t>
    <phoneticPr fontId="2" type="noConversion"/>
  </si>
  <si>
    <t>재생에너지 3020 + 그린뉴딜 상향조정</t>
    <phoneticPr fontId="2" type="noConversion"/>
  </si>
  <si>
    <t>전체설비 중 태양광 비중</t>
    <phoneticPr fontId="2" type="noConversion"/>
  </si>
  <si>
    <t>전체 설비용량</t>
    <phoneticPr fontId="2" type="noConversion"/>
  </si>
  <si>
    <t>태양광 설비용량</t>
    <phoneticPr fontId="2" type="noConversion"/>
  </si>
  <si>
    <t>태양광 설비 용량[GW]</t>
    <phoneticPr fontId="2" type="noConversion"/>
  </si>
  <si>
    <t>연도별 충전율 안전조치 이행 시 추가수익</t>
    <phoneticPr fontId="2" type="noConversion"/>
  </si>
  <si>
    <t>충전율 안전조치 이행 시 추가수익(억)</t>
    <phoneticPr fontId="2" type="noConversion"/>
  </si>
  <si>
    <t>만원/kWh</t>
    <phoneticPr fontId="2" type="noConversion"/>
  </si>
  <si>
    <t>PV+ESS 가산 발전량 총 수익</t>
    <phoneticPr fontId="2" type="noConversion"/>
  </si>
  <si>
    <t>PV+ESS 가산 발전량 총 수익/kWh</t>
    <phoneticPr fontId="2" type="noConversion"/>
  </si>
  <si>
    <t>PV+ESS 가산 발전량 총 수익/MWh</t>
    <phoneticPr fontId="2" type="noConversion"/>
  </si>
  <si>
    <t>만원/MWh</t>
    <phoneticPr fontId="2" type="noConversion"/>
  </si>
  <si>
    <t>PV+ESS 저장 발전 기준</t>
    <phoneticPr fontId="2" type="noConversion"/>
  </si>
  <si>
    <t>https://biz.chosun.com/site/data/html_dir/2018/12/13/2018121300929.html</t>
    <phoneticPr fontId="2" type="noConversion"/>
  </si>
  <si>
    <t>ESS 충전용량</t>
    <phoneticPr fontId="2" type="noConversion"/>
  </si>
  <si>
    <t>태양광평균발전시간</t>
    <phoneticPr fontId="2" type="noConversion"/>
  </si>
  <si>
    <t>https://www.energydaily.co.kr/news/articleView.html?idxno=111883</t>
    <phoneticPr fontId="2" type="noConversion"/>
  </si>
  <si>
    <t>2021년 6월 SMP 육지가격 평균
http://epsis.kpx.or.kr/epsisnew/selectEkmaSmpSmpChart.do?menuId=040201</t>
    <phoneticPr fontId="2" type="noConversion"/>
  </si>
  <si>
    <t>충전율 안전조치 이행시</t>
    <phoneticPr fontId="2" type="noConversion"/>
  </si>
  <si>
    <t>충전율 안전조치 이행 시 일반인 출입기준 발전량 8% 가산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</si>
</sst>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43" formatCode="_-* #,##0.00_-;\-* #,##0.00_-;_-* &quot;-&quot;??_-;_-@_-"/>
    <numFmt numFmtId="176" formatCode="_-* #,##0_-;\-* #,##0_-;_-* &quot;-&quot;??_-;_-@_-"/>
    <numFmt numFmtId="177" formatCode="0.0"/>
    <numFmt numFmtId="178" formatCode="0.0%"/>
    <numFmt numFmtId="179" formatCode="0.000%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41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41" fontId="0" fillId="0" borderId="8" xfId="0" applyNumberForma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3" fontId="0" fillId="0" borderId="1" xfId="0" applyNumberFormat="1" applyBorder="1">
      <alignment vertical="center"/>
    </xf>
    <xf numFmtId="9" fontId="0" fillId="0" borderId="1" xfId="2" applyFont="1" applyBorder="1">
      <alignment vertical="center"/>
    </xf>
    <xf numFmtId="0" fontId="0" fillId="0" borderId="6" xfId="0" applyBorder="1" applyAlignment="1">
      <alignment vertical="center" wrapText="1"/>
    </xf>
    <xf numFmtId="176" fontId="0" fillId="0" borderId="0" xfId="0" applyNumberFormat="1" applyBorder="1">
      <alignment vertical="center"/>
    </xf>
    <xf numFmtId="176" fontId="0" fillId="0" borderId="1" xfId="1" applyNumberFormat="1" applyFont="1" applyBorder="1">
      <alignment vertical="center"/>
    </xf>
    <xf numFmtId="176" fontId="0" fillId="0" borderId="1" xfId="0" applyNumberFormat="1" applyBorder="1">
      <alignment vertical="center"/>
    </xf>
    <xf numFmtId="0" fontId="3" fillId="0" borderId="2" xfId="0" applyFont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176" fontId="0" fillId="0" borderId="8" xfId="0" applyNumberFormat="1" applyBorder="1">
      <alignment vertical="center"/>
    </xf>
    <xf numFmtId="0" fontId="0" fillId="0" borderId="9" xfId="0" applyFill="1" applyBorder="1">
      <alignment vertical="center"/>
    </xf>
    <xf numFmtId="0" fontId="0" fillId="0" borderId="7" xfId="0" applyFill="1" applyBorder="1">
      <alignment vertical="center"/>
    </xf>
    <xf numFmtId="176" fontId="0" fillId="0" borderId="3" xfId="0" applyNumberFormat="1" applyBorder="1">
      <alignment vertical="center"/>
    </xf>
    <xf numFmtId="0" fontId="0" fillId="2" borderId="1" xfId="0" applyFill="1" applyBorder="1">
      <alignment vertical="center"/>
    </xf>
    <xf numFmtId="0" fontId="4" fillId="0" borderId="5" xfId="0" applyFont="1" applyFill="1" applyBorder="1">
      <alignment vertical="center"/>
    </xf>
    <xf numFmtId="0" fontId="0" fillId="2" borderId="5" xfId="0" applyFill="1" applyBorder="1" applyAlignment="1">
      <alignment vertical="center" wrapText="1"/>
    </xf>
    <xf numFmtId="9" fontId="0" fillId="0" borderId="3" xfId="0" applyNumberFormat="1" applyBorder="1">
      <alignment vertical="center"/>
    </xf>
    <xf numFmtId="177" fontId="0" fillId="0" borderId="0" xfId="0" applyNumberFormat="1">
      <alignment vertical="center"/>
    </xf>
    <xf numFmtId="1" fontId="0" fillId="0" borderId="0" xfId="0" applyNumberFormat="1">
      <alignment vertical="center"/>
    </xf>
    <xf numFmtId="1" fontId="0" fillId="0" borderId="1" xfId="0" applyNumberFormat="1" applyBorder="1">
      <alignment vertical="center"/>
    </xf>
    <xf numFmtId="9" fontId="0" fillId="0" borderId="3" xfId="2" applyFont="1" applyBorder="1">
      <alignment vertical="center"/>
    </xf>
    <xf numFmtId="9" fontId="0" fillId="0" borderId="8" xfId="2" applyFont="1" applyBorder="1">
      <alignment vertical="center"/>
    </xf>
    <xf numFmtId="1" fontId="0" fillId="0" borderId="8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vertical="center" wrapText="1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vertical="center" wrapText="1"/>
    </xf>
    <xf numFmtId="0" fontId="0" fillId="0" borderId="1" xfId="2" applyNumberFormat="1" applyFont="1" applyBorder="1">
      <alignment vertical="center"/>
    </xf>
    <xf numFmtId="0" fontId="3" fillId="0" borderId="2" xfId="0" applyFont="1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41" fontId="0" fillId="0" borderId="1" xfId="1" applyFont="1" applyFill="1" applyBorder="1">
      <alignment vertical="center"/>
    </xf>
    <xf numFmtId="176" fontId="0" fillId="0" borderId="1" xfId="1" applyNumberFormat="1" applyFont="1" applyFill="1" applyBorder="1">
      <alignment vertical="center"/>
    </xf>
    <xf numFmtId="176" fontId="0" fillId="0" borderId="8" xfId="1" applyNumberFormat="1" applyFont="1" applyFill="1" applyBorder="1">
      <alignment vertical="center"/>
    </xf>
    <xf numFmtId="0" fontId="0" fillId="0" borderId="2" xfId="0" applyFill="1" applyBorder="1">
      <alignment vertical="center"/>
    </xf>
    <xf numFmtId="3" fontId="0" fillId="0" borderId="1" xfId="0" applyNumberFormat="1" applyFill="1" applyBorder="1">
      <alignment vertical="center"/>
    </xf>
    <xf numFmtId="9" fontId="0" fillId="0" borderId="1" xfId="2" applyFont="1" applyFill="1" applyBorder="1">
      <alignment vertical="center"/>
    </xf>
    <xf numFmtId="0" fontId="0" fillId="0" borderId="8" xfId="0" applyFill="1" applyBorder="1">
      <alignment vertical="center"/>
    </xf>
    <xf numFmtId="10" fontId="0" fillId="0" borderId="1" xfId="2" applyNumberFormat="1" applyFont="1" applyBorder="1">
      <alignment vertical="center"/>
    </xf>
    <xf numFmtId="177" fontId="0" fillId="0" borderId="1" xfId="0" applyNumberFormat="1" applyBorder="1">
      <alignment vertical="center"/>
    </xf>
    <xf numFmtId="10" fontId="0" fillId="0" borderId="0" xfId="0" applyNumberFormat="1" applyBorder="1">
      <alignment vertical="center"/>
    </xf>
    <xf numFmtId="3" fontId="0" fillId="0" borderId="0" xfId="0" applyNumberFormat="1">
      <alignment vertical="center"/>
    </xf>
    <xf numFmtId="41" fontId="0" fillId="0" borderId="0" xfId="1" applyFont="1">
      <alignment vertical="center"/>
    </xf>
    <xf numFmtId="43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178" fontId="0" fillId="0" borderId="0" xfId="2" applyNumberFormat="1" applyFont="1">
      <alignment vertical="center"/>
    </xf>
    <xf numFmtId="9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5" fillId="0" borderId="6" xfId="3" applyBorder="1" applyAlignment="1">
      <alignment vertical="center" wrapText="1"/>
    </xf>
    <xf numFmtId="0" fontId="5" fillId="0" borderId="9" xfId="3" applyBorder="1">
      <alignment vertical="center"/>
    </xf>
    <xf numFmtId="0" fontId="0" fillId="2" borderId="7" xfId="0" applyFill="1" applyBorder="1">
      <alignment vertical="center"/>
    </xf>
    <xf numFmtId="176" fontId="0" fillId="2" borderId="8" xfId="0" applyNumberFormat="1" applyFill="1" applyBorder="1">
      <alignment vertical="center"/>
    </xf>
    <xf numFmtId="0" fontId="0" fillId="2" borderId="9" xfId="0" applyFill="1" applyBorder="1">
      <alignment vertical="center"/>
    </xf>
    <xf numFmtId="176" fontId="0" fillId="0" borderId="1" xfId="0" applyNumberFormat="1" applyFill="1" applyBorder="1">
      <alignment vertical="center"/>
    </xf>
  </cellXfs>
  <cellStyles count="4">
    <cellStyle name="백분율" xfId="2" builtinId="5"/>
    <cellStyle name="쉼표 [0]" xfId="1" builtinId="6"/>
    <cellStyle name="표준" xfId="0" builtinId="0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재생에너지 </a:t>
            </a:r>
            <a:r>
              <a:rPr lang="en-US"/>
              <a:t>3020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'재생에너지 3020'!$A$6</c:f>
              <c:strCache>
                <c:ptCount val="1"/>
                <c:pt idx="0">
                  <c:v>설비용량 [GW]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'재생에너지 3020'!$B$5:$E$5</c:f>
              <c:numCache>
                <c:formatCode>General</c:formatCode>
                <c:ptCount val="4"/>
                <c:pt idx="0">
                  <c:v>2016</c:v>
                </c:pt>
                <c:pt idx="1">
                  <c:v>2022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'재생에너지 3020'!$B$6:$E$6</c:f>
              <c:numCache>
                <c:formatCode>General</c:formatCode>
                <c:ptCount val="4"/>
                <c:pt idx="0">
                  <c:v>13.3</c:v>
                </c:pt>
                <c:pt idx="1">
                  <c:v>27.5</c:v>
                </c:pt>
                <c:pt idx="2">
                  <c:v>29.9</c:v>
                </c:pt>
                <c:pt idx="3">
                  <c:v>63.8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C-4986-AA5C-D2382724CEDE}"/>
            </c:ext>
          </c:extLst>
        </c:ser>
        <c:ser>
          <c:idx val="1"/>
          <c:order val="1"/>
          <c:tx>
            <c:strRef>
              <c:f>'재생에너지 3020'!$A$7</c:f>
              <c:strCache>
                <c:ptCount val="1"/>
                <c:pt idx="0">
                  <c:v>그린뉴딜 상향조정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'재생에너지 3020'!$B$5:$E$5</c:f>
              <c:numCache>
                <c:formatCode>General</c:formatCode>
                <c:ptCount val="4"/>
                <c:pt idx="0">
                  <c:v>2016</c:v>
                </c:pt>
                <c:pt idx="1">
                  <c:v>2022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'재생에너지 3020'!$B$7:$E$7</c:f>
              <c:numCache>
                <c:formatCode>General</c:formatCode>
                <c:ptCount val="4"/>
                <c:pt idx="2">
                  <c:v>12.8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1C-4986-AA5C-D2382724CE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565146879"/>
        <c:axId val="1565147295"/>
      </c:barChart>
      <c:catAx>
        <c:axId val="156514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5147295"/>
        <c:crosses val="autoZero"/>
        <c:auto val="1"/>
        <c:lblAlgn val="ctr"/>
        <c:lblOffset val="100"/>
        <c:noMultiLvlLbl val="0"/>
      </c:catAx>
      <c:valAx>
        <c:axId val="15651472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514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ko-KR" altLang="en-US" b="1"/>
              <a:t>발전량 예측제도 수익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'재생에너지 3020'!$A$21</c:f>
              <c:strCache>
                <c:ptCount val="1"/>
                <c:pt idx="0">
                  <c:v>발전량 예측제도 수익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'재생에너지 3020'!$C$18:$E$18</c:f>
              <c:numCache>
                <c:formatCode>General</c:formatCode>
                <c:ptCount val="3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</c:numCache>
            </c:numRef>
          </c:cat>
          <c:val>
            <c:numRef>
              <c:f>'재생에너지 3020'!$C$21:$E$21</c:f>
              <c:numCache>
                <c:formatCode>0.0</c:formatCode>
                <c:ptCount val="3"/>
                <c:pt idx="0">
                  <c:v>5.8314922480620162</c:v>
                </c:pt>
                <c:pt idx="1">
                  <c:v>9.054717054263568</c:v>
                </c:pt>
                <c:pt idx="2">
                  <c:v>13.529062015503877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A-4045-9F4D-04327E9BD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635555967"/>
        <c:axId val="1635550559"/>
      </c:barChart>
      <c:catAx>
        <c:axId val="163555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5550559"/>
        <c:crosses val="autoZero"/>
        <c:auto val="1"/>
        <c:lblAlgn val="ctr"/>
        <c:lblOffset val="100"/>
        <c:noMultiLvlLbl val="0"/>
      </c:catAx>
      <c:valAx>
        <c:axId val="163555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수익 </a:t>
                </a:r>
                <a:r>
                  <a:rPr lang="en-US" altLang="ko-KR"/>
                  <a:t>(</a:t>
                </a:r>
                <a:r>
                  <a:rPr lang="ko-KR" altLang="en-US"/>
                  <a:t>억원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555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654231</xdr:colOff>
      <xdr:row>13</xdr:row>
      <xdr:rowOff>30479</xdr:rowOff>
    </xdr:from>
    <xdr:to>
      <xdr:col>14</xdr:col>
      <xdr:colOff>238397</xdr:colOff>
      <xdr:row>26</xdr:row>
      <xdr:rowOff>38099</xdr:rowOff>
    </xdr:to>
    <xdr:pic>
      <xdr:nvPicPr>
        <xdr:cNvPr id="2" name="그림 1" descr="간척지·저수지에 태양광… 2030년 재생에너지 63.8GW로 확대 - 머니투데이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4660" y="2860765"/>
          <a:ext cx="4983480" cy="2837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76892</xdr:colOff>
      <xdr:row>4</xdr:row>
      <xdr:rowOff>138545</xdr:rowOff>
    </xdr:from>
    <xdr:to>
      <xdr:col>21</xdr:col>
      <xdr:colOff>207818</xdr:colOff>
      <xdr:row>32</xdr:row>
      <xdr:rowOff>102523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150223</xdr:colOff>
      <xdr:row>33</xdr:row>
      <xdr:rowOff>193765</xdr:rowOff>
    </xdr:from>
    <xdr:to>
      <xdr:col>22</xdr:col>
      <xdr:colOff>13063</xdr:colOff>
      <xdr:row>46</xdr:row>
      <xdr:rowOff>111034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0</xdr:colOff>
      <xdr:row>49</xdr:row>
      <xdr:rowOff>0</xdr:rowOff>
    </xdr:from>
    <xdr:to>
      <xdr:col>22</xdr:col>
      <xdr:colOff>121920</xdr:colOff>
      <xdr:row>62</xdr:row>
      <xdr:rowOff>85725</xdr:rowOff>
    </xdr:to>
    <xdr:pic>
      <xdr:nvPicPr>
        <xdr:cNvPr id="5" name="그림 4" descr="구자균 LS일렉트릭 회장 'ESS 재도약 위한 정책지원 절실'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22480" y="10454640"/>
          <a:ext cx="4815840" cy="2859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energydaily.co.kr/news/articleView.html?idxno=111883" TargetMode="External"/><Relationship Id="rId1" Type="http://schemas.openxmlformats.org/officeDocument/2006/relationships/hyperlink" Target="https://biz.chosun.com/site/data/html_dir/2018/12/13/2018121300929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view="pageBreakPreview" zoomScale="70" zoomScaleNormal="100" zoomScaleSheetLayoutView="70" workbookViewId="0">
      <selection activeCell="E28" sqref="E28"/>
    </sheetView>
  </sheetViews>
  <sheetFormatPr defaultRowHeight="17.399999999999999" x14ac:dyDescent="0.4"/>
  <cols>
    <col min="2" max="2" width="18.296875" bestFit="1" customWidth="1"/>
    <col min="3" max="3" width="12.796875" bestFit="1" customWidth="1"/>
    <col min="5" max="5" width="59.796875" bestFit="1" customWidth="1"/>
  </cols>
  <sheetData>
    <row r="1" spans="1:5" x14ac:dyDescent="0.4">
      <c r="A1" s="1" t="s">
        <v>8</v>
      </c>
    </row>
    <row r="2" spans="1:5" ht="18" thickBot="1" x14ac:dyDescent="0.45">
      <c r="A2" s="1"/>
    </row>
    <row r="3" spans="1:5" x14ac:dyDescent="0.4">
      <c r="B3" s="5"/>
      <c r="C3" s="6"/>
      <c r="D3" s="6"/>
      <c r="E3" s="7" t="s">
        <v>5</v>
      </c>
    </row>
    <row r="4" spans="1:5" x14ac:dyDescent="0.4">
      <c r="B4" s="8" t="s">
        <v>0</v>
      </c>
      <c r="C4" s="2">
        <v>3.5</v>
      </c>
      <c r="D4" s="2" t="s">
        <v>1</v>
      </c>
      <c r="E4" s="9" t="s">
        <v>6</v>
      </c>
    </row>
    <row r="5" spans="1:5" x14ac:dyDescent="0.4">
      <c r="B5" s="8" t="s">
        <v>4</v>
      </c>
      <c r="C5" s="2">
        <v>20</v>
      </c>
      <c r="D5" s="2" t="s">
        <v>3</v>
      </c>
      <c r="E5" s="9" t="s">
        <v>7</v>
      </c>
    </row>
    <row r="6" spans="1:5" x14ac:dyDescent="0.4">
      <c r="B6" s="8" t="s">
        <v>9</v>
      </c>
      <c r="C6" s="2">
        <v>4</v>
      </c>
      <c r="D6" s="2" t="s">
        <v>10</v>
      </c>
      <c r="E6" s="9" t="s">
        <v>2</v>
      </c>
    </row>
    <row r="7" spans="1:5" x14ac:dyDescent="0.4">
      <c r="B7" s="8" t="s">
        <v>11</v>
      </c>
      <c r="C7" s="3">
        <f>C6*365</f>
        <v>1460</v>
      </c>
      <c r="D7" s="2" t="s">
        <v>10</v>
      </c>
      <c r="E7" s="9"/>
    </row>
    <row r="8" spans="1:5" x14ac:dyDescent="0.4">
      <c r="B8" s="8" t="s">
        <v>12</v>
      </c>
      <c r="C8" s="3">
        <f>C5*C7</f>
        <v>29200</v>
      </c>
      <c r="D8" s="2" t="s">
        <v>13</v>
      </c>
      <c r="E8" s="9"/>
    </row>
    <row r="9" spans="1:5" x14ac:dyDescent="0.4">
      <c r="B9" s="8" t="s">
        <v>14</v>
      </c>
      <c r="C9" s="4">
        <f>C8*C4*1000</f>
        <v>102200000</v>
      </c>
      <c r="D9" s="2" t="s">
        <v>15</v>
      </c>
      <c r="E9" s="9"/>
    </row>
    <row r="10" spans="1:5" ht="18" thickBot="1" x14ac:dyDescent="0.45">
      <c r="B10" s="10" t="s">
        <v>14</v>
      </c>
      <c r="C10" s="11">
        <f>C9/10000</f>
        <v>10220</v>
      </c>
      <c r="D10" s="12" t="s">
        <v>16</v>
      </c>
      <c r="E10" s="1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view="pageBreakPreview" topLeftCell="A16" zoomScaleNormal="85" zoomScaleSheetLayoutView="100" workbookViewId="0">
      <selection activeCell="C31" sqref="C31"/>
    </sheetView>
  </sheetViews>
  <sheetFormatPr defaultRowHeight="17.399999999999999" x14ac:dyDescent="0.4"/>
  <cols>
    <col min="2" max="2" width="28.09765625" bestFit="1" customWidth="1"/>
    <col min="3" max="3" width="14.59765625" bestFit="1" customWidth="1"/>
    <col min="5" max="5" width="74" bestFit="1" customWidth="1"/>
  </cols>
  <sheetData>
    <row r="1" spans="1:5" ht="18" thickBot="1" x14ac:dyDescent="0.45">
      <c r="A1" s="1" t="s">
        <v>17</v>
      </c>
    </row>
    <row r="2" spans="1:5" x14ac:dyDescent="0.4">
      <c r="B2" s="5"/>
      <c r="C2" s="6"/>
      <c r="D2" s="6"/>
      <c r="E2" s="7" t="s">
        <v>19</v>
      </c>
    </row>
    <row r="3" spans="1:5" ht="34.799999999999997" x14ac:dyDescent="0.4">
      <c r="B3" s="8" t="s">
        <v>18</v>
      </c>
      <c r="C3" s="2">
        <v>83</v>
      </c>
      <c r="D3" s="2" t="s">
        <v>1</v>
      </c>
      <c r="E3" s="18" t="s">
        <v>154</v>
      </c>
    </row>
    <row r="4" spans="1:5" x14ac:dyDescent="0.4">
      <c r="B4" s="8" t="s">
        <v>21</v>
      </c>
      <c r="C4" s="2">
        <v>4</v>
      </c>
      <c r="D4" s="2"/>
      <c r="E4" s="9"/>
    </row>
    <row r="5" spans="1:5" x14ac:dyDescent="0.4">
      <c r="B5" s="8" t="s">
        <v>23</v>
      </c>
      <c r="C5" s="2">
        <v>1</v>
      </c>
      <c r="D5" s="2"/>
      <c r="E5" s="9" t="s">
        <v>22</v>
      </c>
    </row>
    <row r="6" spans="1:5" ht="34.799999999999997" x14ac:dyDescent="0.4">
      <c r="B6" s="8" t="s">
        <v>24</v>
      </c>
      <c r="C6" s="16">
        <v>30047</v>
      </c>
      <c r="D6" s="2" t="s">
        <v>25</v>
      </c>
      <c r="E6" s="18" t="s">
        <v>40</v>
      </c>
    </row>
    <row r="7" spans="1:5" x14ac:dyDescent="0.4">
      <c r="B7" s="8" t="s">
        <v>26</v>
      </c>
      <c r="C7" s="16">
        <v>100</v>
      </c>
      <c r="D7" s="2" t="s">
        <v>34</v>
      </c>
      <c r="E7" s="18" t="s">
        <v>29</v>
      </c>
    </row>
    <row r="8" spans="1:5" x14ac:dyDescent="0.4">
      <c r="B8" s="8" t="s">
        <v>30</v>
      </c>
      <c r="C8" s="16">
        <v>274</v>
      </c>
      <c r="D8" s="2" t="s">
        <v>28</v>
      </c>
      <c r="E8" s="18" t="s">
        <v>35</v>
      </c>
    </row>
    <row r="9" spans="1:5" x14ac:dyDescent="0.4">
      <c r="B9" s="8" t="s">
        <v>31</v>
      </c>
      <c r="C9" s="17">
        <v>0.8</v>
      </c>
      <c r="D9" s="2"/>
      <c r="E9" s="18" t="s">
        <v>32</v>
      </c>
    </row>
    <row r="10" spans="1:5" ht="18" thickBot="1" x14ac:dyDescent="0.45">
      <c r="B10" s="10" t="s">
        <v>9</v>
      </c>
      <c r="C10" s="12">
        <v>4</v>
      </c>
      <c r="D10" s="12" t="s">
        <v>10</v>
      </c>
      <c r="E10" s="13" t="s">
        <v>2</v>
      </c>
    </row>
    <row r="11" spans="1:5" ht="18" thickBot="1" x14ac:dyDescent="0.45"/>
    <row r="12" spans="1:5" x14ac:dyDescent="0.4">
      <c r="B12" s="22" t="s">
        <v>39</v>
      </c>
      <c r="C12" s="6"/>
      <c r="D12" s="7"/>
    </row>
    <row r="13" spans="1:5" x14ac:dyDescent="0.4">
      <c r="B13" s="23" t="s">
        <v>36</v>
      </c>
      <c r="C13" s="2">
        <f>C7*C10</f>
        <v>400</v>
      </c>
      <c r="D13" s="24" t="s">
        <v>28</v>
      </c>
      <c r="E13" s="15">
        <f xml:space="preserve"> 1000000/100*1000</f>
        <v>10000000</v>
      </c>
    </row>
    <row r="14" spans="1:5" x14ac:dyDescent="0.4">
      <c r="B14" s="23" t="s">
        <v>41</v>
      </c>
      <c r="C14" s="3">
        <f>C10*365</f>
        <v>1460</v>
      </c>
      <c r="D14" s="24" t="s">
        <v>33</v>
      </c>
    </row>
    <row r="15" spans="1:5" x14ac:dyDescent="0.4">
      <c r="B15" s="23" t="s">
        <v>42</v>
      </c>
      <c r="C15" s="3">
        <f>C14*C7</f>
        <v>146000</v>
      </c>
      <c r="D15" s="24" t="s">
        <v>28</v>
      </c>
    </row>
    <row r="16" spans="1:5" x14ac:dyDescent="0.4">
      <c r="B16" s="23" t="s">
        <v>37</v>
      </c>
      <c r="C16" s="3">
        <f>C15*C3</f>
        <v>12118000</v>
      </c>
      <c r="D16" s="24" t="s">
        <v>15</v>
      </c>
    </row>
    <row r="17" spans="2:5" x14ac:dyDescent="0.4">
      <c r="B17" s="23" t="s">
        <v>37</v>
      </c>
      <c r="C17" s="20">
        <f>C16/10000</f>
        <v>1211.8</v>
      </c>
      <c r="D17" s="24" t="s">
        <v>43</v>
      </c>
    </row>
    <row r="18" spans="2:5" x14ac:dyDescent="0.4">
      <c r="B18" s="8" t="s">
        <v>38</v>
      </c>
      <c r="C18" s="4">
        <f>C15/1000*C6*C5</f>
        <v>4386862</v>
      </c>
      <c r="D18" s="24" t="s">
        <v>44</v>
      </c>
    </row>
    <row r="19" spans="2:5" x14ac:dyDescent="0.4">
      <c r="B19" s="8" t="s">
        <v>38</v>
      </c>
      <c r="C19" s="21">
        <f>C18/10000</f>
        <v>438.68619999999999</v>
      </c>
      <c r="D19" s="24" t="s">
        <v>16</v>
      </c>
    </row>
    <row r="20" spans="2:5" ht="18" thickBot="1" x14ac:dyDescent="0.45">
      <c r="B20" s="68" t="s">
        <v>45</v>
      </c>
      <c r="C20" s="69">
        <f>C17+C19</f>
        <v>1650.4861999999998</v>
      </c>
      <c r="D20" s="70" t="s">
        <v>46</v>
      </c>
    </row>
    <row r="21" spans="2:5" ht="18" thickBot="1" x14ac:dyDescent="0.45"/>
    <row r="22" spans="2:5" x14ac:dyDescent="0.4">
      <c r="B22" s="22" t="s">
        <v>47</v>
      </c>
      <c r="C22" s="6"/>
      <c r="D22" s="7"/>
    </row>
    <row r="23" spans="2:5" x14ac:dyDescent="0.4">
      <c r="B23" s="23" t="s">
        <v>36</v>
      </c>
      <c r="C23" s="2">
        <f>C13</f>
        <v>400</v>
      </c>
      <c r="D23" s="24" t="s">
        <v>28</v>
      </c>
      <c r="E23" s="15"/>
    </row>
    <row r="24" spans="2:5" x14ac:dyDescent="0.4">
      <c r="B24" s="23" t="s">
        <v>41</v>
      </c>
      <c r="C24" s="3">
        <f>C14</f>
        <v>1460</v>
      </c>
      <c r="D24" s="24" t="s">
        <v>33</v>
      </c>
    </row>
    <row r="25" spans="2:5" x14ac:dyDescent="0.4">
      <c r="B25" s="23" t="s">
        <v>12</v>
      </c>
      <c r="C25" s="3">
        <f>C15</f>
        <v>146000</v>
      </c>
      <c r="D25" s="9" t="s">
        <v>27</v>
      </c>
    </row>
    <row r="26" spans="2:5" x14ac:dyDescent="0.4">
      <c r="B26" s="23" t="s">
        <v>49</v>
      </c>
      <c r="C26" s="16">
        <f>C8</f>
        <v>274</v>
      </c>
      <c r="D26" s="9" t="s">
        <v>48</v>
      </c>
    </row>
    <row r="27" spans="2:5" x14ac:dyDescent="0.4">
      <c r="B27" s="23" t="s">
        <v>50</v>
      </c>
      <c r="C27" s="3">
        <f>C26*365</f>
        <v>100010</v>
      </c>
      <c r="D27" s="9" t="s">
        <v>28</v>
      </c>
    </row>
    <row r="28" spans="2:5" x14ac:dyDescent="0.4">
      <c r="B28" s="23" t="s">
        <v>51</v>
      </c>
      <c r="C28" s="4">
        <f>C27*C3</f>
        <v>8300830</v>
      </c>
      <c r="D28" s="9" t="s">
        <v>15</v>
      </c>
    </row>
    <row r="29" spans="2:5" x14ac:dyDescent="0.4">
      <c r="B29" s="23" t="s">
        <v>51</v>
      </c>
      <c r="C29" s="21">
        <f>C28/10000</f>
        <v>830.08299999999997</v>
      </c>
      <c r="D29" s="9" t="s">
        <v>16</v>
      </c>
    </row>
    <row r="30" spans="2:5" x14ac:dyDescent="0.4">
      <c r="B30" s="23" t="s">
        <v>52</v>
      </c>
      <c r="C30" s="21">
        <f>C27/1000*C4*C6</f>
        <v>12020001.880000001</v>
      </c>
      <c r="D30" s="9" t="s">
        <v>15</v>
      </c>
    </row>
    <row r="31" spans="2:5" x14ac:dyDescent="0.4">
      <c r="B31" s="23" t="s">
        <v>53</v>
      </c>
      <c r="C31" s="21">
        <f>C30/10000</f>
        <v>1202.000188</v>
      </c>
      <c r="D31" s="9" t="s">
        <v>16</v>
      </c>
    </row>
    <row r="32" spans="2:5" x14ac:dyDescent="0.4">
      <c r="B32" s="23" t="s">
        <v>54</v>
      </c>
      <c r="C32" s="71">
        <f>C29+C31</f>
        <v>2032.0831880000001</v>
      </c>
      <c r="D32" s="24" t="s">
        <v>55</v>
      </c>
    </row>
    <row r="33" spans="2:5" x14ac:dyDescent="0.4">
      <c r="B33" s="23" t="s">
        <v>56</v>
      </c>
      <c r="C33" s="4">
        <f>C25-C27</f>
        <v>45990</v>
      </c>
      <c r="D33" s="9" t="s">
        <v>48</v>
      </c>
    </row>
    <row r="34" spans="2:5" x14ac:dyDescent="0.4">
      <c r="B34" s="23" t="s">
        <v>57</v>
      </c>
      <c r="C34" s="4">
        <f>C33*C3</f>
        <v>3817170</v>
      </c>
      <c r="D34" s="9" t="s">
        <v>15</v>
      </c>
    </row>
    <row r="35" spans="2:5" x14ac:dyDescent="0.4">
      <c r="B35" s="23" t="s">
        <v>57</v>
      </c>
      <c r="C35" s="21">
        <f>C34/10000</f>
        <v>381.71699999999998</v>
      </c>
      <c r="D35" s="9" t="s">
        <v>59</v>
      </c>
    </row>
    <row r="36" spans="2:5" x14ac:dyDescent="0.4">
      <c r="B36" s="23" t="s">
        <v>58</v>
      </c>
      <c r="C36" s="21">
        <f>C33/1000*C5*C6</f>
        <v>1381861.53</v>
      </c>
      <c r="D36" s="9" t="s">
        <v>60</v>
      </c>
    </row>
    <row r="37" spans="2:5" x14ac:dyDescent="0.4">
      <c r="B37" s="23" t="s">
        <v>58</v>
      </c>
      <c r="C37" s="21">
        <f>C36/10000</f>
        <v>138.18615299999999</v>
      </c>
      <c r="D37" s="9" t="s">
        <v>16</v>
      </c>
    </row>
    <row r="38" spans="2:5" x14ac:dyDescent="0.4">
      <c r="B38" s="23" t="s">
        <v>61</v>
      </c>
      <c r="C38" s="71">
        <f>C35+C37</f>
        <v>519.90315299999997</v>
      </c>
      <c r="D38" s="24" t="s">
        <v>16</v>
      </c>
    </row>
    <row r="39" spans="2:5" ht="18" thickBot="1" x14ac:dyDescent="0.45">
      <c r="B39" s="68" t="s">
        <v>45</v>
      </c>
      <c r="C39" s="69">
        <f>C32+C38</f>
        <v>2551.9863409999998</v>
      </c>
      <c r="D39" s="70" t="s">
        <v>16</v>
      </c>
    </row>
    <row r="40" spans="2:5" ht="18" thickBot="1" x14ac:dyDescent="0.45"/>
    <row r="41" spans="2:5" x14ac:dyDescent="0.4">
      <c r="B41" s="5" t="s">
        <v>62</v>
      </c>
      <c r="C41" s="28">
        <f>C39-C20</f>
        <v>901.50014099999999</v>
      </c>
      <c r="D41" s="7" t="s">
        <v>16</v>
      </c>
    </row>
    <row r="42" spans="2:5" ht="18" thickBot="1" x14ac:dyDescent="0.45">
      <c r="B42" s="68" t="s">
        <v>63</v>
      </c>
      <c r="C42" s="69">
        <f>C41*10</f>
        <v>9015.0014100000008</v>
      </c>
      <c r="D42" s="70" t="s">
        <v>64</v>
      </c>
      <c r="E42" s="59">
        <f>334614305/10000</f>
        <v>33461.430500000002</v>
      </c>
    </row>
    <row r="43" spans="2:5" ht="18" thickBot="1" x14ac:dyDescent="0.45">
      <c r="E43" s="34">
        <f>69284884/10000</f>
        <v>6928.4884000000002</v>
      </c>
    </row>
    <row r="44" spans="2:5" x14ac:dyDescent="0.4">
      <c r="B44" s="5" t="s">
        <v>85</v>
      </c>
      <c r="C44" s="36">
        <f>C8/C13</f>
        <v>0.68500000000000005</v>
      </c>
      <c r="D44" s="7"/>
    </row>
    <row r="45" spans="2:5" x14ac:dyDescent="0.4">
      <c r="B45" s="8" t="s">
        <v>86</v>
      </c>
      <c r="C45" s="2">
        <v>187</v>
      </c>
      <c r="D45" s="9" t="s">
        <v>88</v>
      </c>
    </row>
    <row r="46" spans="2:5" x14ac:dyDescent="0.4">
      <c r="B46" s="8" t="s">
        <v>87</v>
      </c>
      <c r="C46" s="35">
        <v>100</v>
      </c>
      <c r="D46" s="9" t="s">
        <v>88</v>
      </c>
      <c r="E46" t="s">
        <v>89</v>
      </c>
    </row>
    <row r="47" spans="2:5" ht="18" thickBot="1" x14ac:dyDescent="0.45">
      <c r="B47" s="10"/>
      <c r="C47" s="37">
        <f>C46/C45</f>
        <v>0.53475935828877008</v>
      </c>
      <c r="D47" s="1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view="pageBreakPreview" topLeftCell="A22" zoomScale="55" zoomScaleNormal="85" zoomScaleSheetLayoutView="55" workbookViewId="0">
      <selection activeCell="E48" sqref="E48"/>
    </sheetView>
  </sheetViews>
  <sheetFormatPr defaultRowHeight="17.399999999999999" x14ac:dyDescent="0.4"/>
  <cols>
    <col min="2" max="2" width="35.5" bestFit="1" customWidth="1"/>
    <col min="3" max="3" width="14.59765625" bestFit="1" customWidth="1"/>
    <col min="5" max="5" width="74" bestFit="1" customWidth="1"/>
  </cols>
  <sheetData>
    <row r="1" spans="1:5" ht="18" thickBot="1" x14ac:dyDescent="0.45">
      <c r="A1" s="1" t="s">
        <v>65</v>
      </c>
    </row>
    <row r="2" spans="1:5" x14ac:dyDescent="0.4">
      <c r="B2" s="5"/>
      <c r="C2" s="6"/>
      <c r="D2" s="6"/>
      <c r="E2" s="7" t="s">
        <v>19</v>
      </c>
    </row>
    <row r="3" spans="1:5" ht="34.799999999999997" x14ac:dyDescent="0.4">
      <c r="B3" s="8" t="s">
        <v>18</v>
      </c>
      <c r="C3" s="2">
        <v>83</v>
      </c>
      <c r="D3" s="2" t="s">
        <v>1</v>
      </c>
      <c r="E3" s="18" t="s">
        <v>20</v>
      </c>
    </row>
    <row r="4" spans="1:5" x14ac:dyDescent="0.4">
      <c r="B4" s="30" t="s">
        <v>21</v>
      </c>
      <c r="C4" s="2">
        <v>4</v>
      </c>
      <c r="D4" s="2"/>
      <c r="E4" s="18"/>
    </row>
    <row r="5" spans="1:5" ht="34.799999999999997" x14ac:dyDescent="0.4">
      <c r="B5" s="31" t="s">
        <v>75</v>
      </c>
      <c r="C5" s="29">
        <v>0</v>
      </c>
      <c r="D5" s="2"/>
      <c r="E5" s="9"/>
    </row>
    <row r="6" spans="1:5" x14ac:dyDescent="0.4">
      <c r="B6" s="8" t="s">
        <v>23</v>
      </c>
      <c r="C6" s="2">
        <v>1</v>
      </c>
      <c r="D6" s="2"/>
      <c r="E6" s="9" t="s">
        <v>22</v>
      </c>
    </row>
    <row r="7" spans="1:5" ht="34.799999999999997" x14ac:dyDescent="0.4">
      <c r="B7" s="8" t="s">
        <v>24</v>
      </c>
      <c r="C7" s="16">
        <v>30047</v>
      </c>
      <c r="D7" s="2" t="s">
        <v>25</v>
      </c>
      <c r="E7" s="18" t="s">
        <v>76</v>
      </c>
    </row>
    <row r="8" spans="1:5" x14ac:dyDescent="0.4">
      <c r="B8" s="8" t="s">
        <v>26</v>
      </c>
      <c r="C8" s="16">
        <v>100</v>
      </c>
      <c r="D8" s="2" t="s">
        <v>34</v>
      </c>
      <c r="E8" s="18" t="s">
        <v>29</v>
      </c>
    </row>
    <row r="9" spans="1:5" x14ac:dyDescent="0.4">
      <c r="B9" s="8" t="s">
        <v>151</v>
      </c>
      <c r="C9" s="16">
        <v>274</v>
      </c>
      <c r="D9" s="2" t="s">
        <v>28</v>
      </c>
      <c r="E9" s="66" t="s">
        <v>150</v>
      </c>
    </row>
    <row r="10" spans="1:5" x14ac:dyDescent="0.4">
      <c r="B10" s="8" t="s">
        <v>31</v>
      </c>
      <c r="C10" s="17">
        <v>0.8</v>
      </c>
      <c r="D10" s="2"/>
      <c r="E10" s="18" t="s">
        <v>32</v>
      </c>
    </row>
    <row r="11" spans="1:5" ht="18" thickBot="1" x14ac:dyDescent="0.45">
      <c r="B11" s="10" t="s">
        <v>152</v>
      </c>
      <c r="C11" s="12">
        <v>4</v>
      </c>
      <c r="D11" s="12" t="s">
        <v>10</v>
      </c>
      <c r="E11" s="67" t="s">
        <v>153</v>
      </c>
    </row>
    <row r="12" spans="1:5" ht="18" thickBot="1" x14ac:dyDescent="0.45"/>
    <row r="13" spans="1:5" x14ac:dyDescent="0.4">
      <c r="B13" s="22" t="s">
        <v>39</v>
      </c>
      <c r="C13" s="6"/>
      <c r="D13" s="7"/>
    </row>
    <row r="14" spans="1:5" x14ac:dyDescent="0.4">
      <c r="B14" s="23" t="s">
        <v>36</v>
      </c>
      <c r="C14" s="2">
        <f>C8*C11</f>
        <v>400</v>
      </c>
      <c r="D14" s="24" t="s">
        <v>28</v>
      </c>
      <c r="E14" s="15"/>
    </row>
    <row r="15" spans="1:5" x14ac:dyDescent="0.4">
      <c r="B15" s="23" t="s">
        <v>41</v>
      </c>
      <c r="C15" s="3">
        <f>C11*365</f>
        <v>1460</v>
      </c>
      <c r="D15" s="24" t="s">
        <v>33</v>
      </c>
    </row>
    <row r="16" spans="1:5" x14ac:dyDescent="0.4">
      <c r="B16" s="23" t="s">
        <v>42</v>
      </c>
      <c r="C16" s="3">
        <f>C15*C8</f>
        <v>146000</v>
      </c>
      <c r="D16" s="24" t="s">
        <v>28</v>
      </c>
    </row>
    <row r="17" spans="2:5" x14ac:dyDescent="0.4">
      <c r="B17" s="23" t="s">
        <v>37</v>
      </c>
      <c r="C17" s="3">
        <f>C16*C3</f>
        <v>12118000</v>
      </c>
      <c r="D17" s="24" t="s">
        <v>15</v>
      </c>
    </row>
    <row r="18" spans="2:5" x14ac:dyDescent="0.4">
      <c r="B18" s="23" t="s">
        <v>37</v>
      </c>
      <c r="C18" s="20">
        <f>C17/10000</f>
        <v>1211.8</v>
      </c>
      <c r="D18" s="24" t="s">
        <v>43</v>
      </c>
    </row>
    <row r="19" spans="2:5" x14ac:dyDescent="0.4">
      <c r="B19" s="8" t="s">
        <v>38</v>
      </c>
      <c r="C19" s="4">
        <f>C16/1000*C7</f>
        <v>4386862</v>
      </c>
      <c r="D19" s="24" t="s">
        <v>44</v>
      </c>
    </row>
    <row r="20" spans="2:5" x14ac:dyDescent="0.4">
      <c r="B20" s="8" t="s">
        <v>38</v>
      </c>
      <c r="C20" s="21">
        <f>C19/10000</f>
        <v>438.68619999999999</v>
      </c>
      <c r="D20" s="24" t="s">
        <v>16</v>
      </c>
    </row>
    <row r="21" spans="2:5" ht="18" thickBot="1" x14ac:dyDescent="0.45">
      <c r="B21" s="10" t="s">
        <v>45</v>
      </c>
      <c r="C21" s="25">
        <f>C18+C20</f>
        <v>1650.4861999999998</v>
      </c>
      <c r="D21" s="26" t="s">
        <v>46</v>
      </c>
    </row>
    <row r="22" spans="2:5" ht="18" thickBot="1" x14ac:dyDescent="0.45"/>
    <row r="23" spans="2:5" x14ac:dyDescent="0.4">
      <c r="B23" s="22" t="s">
        <v>47</v>
      </c>
      <c r="C23" s="6"/>
      <c r="D23" s="7"/>
    </row>
    <row r="24" spans="2:5" x14ac:dyDescent="0.4">
      <c r="B24" s="23" t="s">
        <v>36</v>
      </c>
      <c r="C24" s="2">
        <f>C14</f>
        <v>400</v>
      </c>
      <c r="D24" s="24" t="s">
        <v>28</v>
      </c>
      <c r="E24" s="15"/>
    </row>
    <row r="25" spans="2:5" x14ac:dyDescent="0.4">
      <c r="B25" s="23" t="s">
        <v>41</v>
      </c>
      <c r="C25" s="3">
        <f>C15</f>
        <v>1460</v>
      </c>
      <c r="D25" s="24" t="s">
        <v>33</v>
      </c>
      <c r="E25" t="s">
        <v>149</v>
      </c>
    </row>
    <row r="26" spans="2:5" x14ac:dyDescent="0.4">
      <c r="B26" s="23" t="s">
        <v>12</v>
      </c>
      <c r="C26" s="3">
        <f>C16</f>
        <v>146000</v>
      </c>
      <c r="D26" s="9" t="s">
        <v>27</v>
      </c>
      <c r="E26" s="64">
        <v>1</v>
      </c>
    </row>
    <row r="27" spans="2:5" x14ac:dyDescent="0.4">
      <c r="B27" s="23" t="s">
        <v>49</v>
      </c>
      <c r="C27" s="16">
        <f>C9</f>
        <v>274</v>
      </c>
      <c r="D27" s="9" t="s">
        <v>48</v>
      </c>
      <c r="E27" s="63">
        <f>C27/C24</f>
        <v>0.68500000000000005</v>
      </c>
    </row>
    <row r="28" spans="2:5" x14ac:dyDescent="0.4">
      <c r="B28" s="23" t="s">
        <v>50</v>
      </c>
      <c r="C28" s="3">
        <f>C27*265</f>
        <v>72610</v>
      </c>
      <c r="D28" s="9" t="s">
        <v>28</v>
      </c>
      <c r="E28" s="65">
        <f>E26-E27</f>
        <v>0.31499999999999995</v>
      </c>
    </row>
    <row r="29" spans="2:5" x14ac:dyDescent="0.4">
      <c r="B29" s="23" t="s">
        <v>51</v>
      </c>
      <c r="C29" s="4">
        <f>C28*C3</f>
        <v>6026630</v>
      </c>
      <c r="D29" s="9" t="s">
        <v>15</v>
      </c>
    </row>
    <row r="30" spans="2:5" x14ac:dyDescent="0.4">
      <c r="B30" s="23" t="s">
        <v>51</v>
      </c>
      <c r="C30" s="21">
        <f>C29/10000</f>
        <v>602.66300000000001</v>
      </c>
      <c r="D30" s="9" t="s">
        <v>16</v>
      </c>
    </row>
    <row r="31" spans="2:5" x14ac:dyDescent="0.4">
      <c r="B31" s="23" t="s">
        <v>52</v>
      </c>
      <c r="C31" s="21">
        <f>C28/1000*C5*C7</f>
        <v>0</v>
      </c>
      <c r="D31" s="9" t="s">
        <v>15</v>
      </c>
    </row>
    <row r="32" spans="2:5" x14ac:dyDescent="0.4">
      <c r="B32" s="23" t="s">
        <v>53</v>
      </c>
      <c r="C32" s="21">
        <f>C31/10000</f>
        <v>0</v>
      </c>
      <c r="D32" s="9" t="s">
        <v>16</v>
      </c>
    </row>
    <row r="33" spans="1:5" x14ac:dyDescent="0.4">
      <c r="B33" s="23" t="s">
        <v>54</v>
      </c>
      <c r="C33" s="21">
        <f>C30+C32</f>
        <v>602.66300000000001</v>
      </c>
      <c r="D33" s="9" t="s">
        <v>55</v>
      </c>
    </row>
    <row r="34" spans="1:5" x14ac:dyDescent="0.4">
      <c r="B34" s="23" t="s">
        <v>56</v>
      </c>
      <c r="C34" s="4">
        <f>C26-C28</f>
        <v>73390</v>
      </c>
      <c r="D34" s="9" t="s">
        <v>48</v>
      </c>
    </row>
    <row r="35" spans="1:5" x14ac:dyDescent="0.4">
      <c r="B35" s="23" t="s">
        <v>57</v>
      </c>
      <c r="C35" s="4">
        <f>C34*C3</f>
        <v>6091370</v>
      </c>
      <c r="D35" s="9" t="s">
        <v>15</v>
      </c>
    </row>
    <row r="36" spans="1:5" x14ac:dyDescent="0.4">
      <c r="B36" s="23" t="s">
        <v>57</v>
      </c>
      <c r="C36" s="21">
        <f>C35/10000</f>
        <v>609.13699999999994</v>
      </c>
      <c r="D36" s="9" t="s">
        <v>59</v>
      </c>
    </row>
    <row r="37" spans="1:5" x14ac:dyDescent="0.4">
      <c r="B37" s="23" t="s">
        <v>58</v>
      </c>
      <c r="C37" s="21">
        <f>C34/1000*C6*C7</f>
        <v>2205149.33</v>
      </c>
      <c r="D37" s="9" t="s">
        <v>60</v>
      </c>
    </row>
    <row r="38" spans="1:5" x14ac:dyDescent="0.4">
      <c r="B38" s="23" t="s">
        <v>58</v>
      </c>
      <c r="C38" s="21">
        <f>C37/10000</f>
        <v>220.51493300000001</v>
      </c>
      <c r="D38" s="9" t="s">
        <v>16</v>
      </c>
    </row>
    <row r="39" spans="1:5" x14ac:dyDescent="0.4">
      <c r="B39" s="23" t="s">
        <v>61</v>
      </c>
      <c r="C39" s="21">
        <f>C36+C38</f>
        <v>829.65193299999999</v>
      </c>
      <c r="D39" s="9" t="s">
        <v>16</v>
      </c>
    </row>
    <row r="40" spans="1:5" ht="18" thickBot="1" x14ac:dyDescent="0.45">
      <c r="B40" s="27" t="s">
        <v>45</v>
      </c>
      <c r="C40" s="25">
        <f>C33+C39</f>
        <v>1432.3149330000001</v>
      </c>
      <c r="D40" s="13" t="s">
        <v>16</v>
      </c>
    </row>
    <row r="41" spans="1:5" x14ac:dyDescent="0.4">
      <c r="B41" s="14"/>
      <c r="C41" s="19"/>
      <c r="D41" s="15"/>
    </row>
    <row r="42" spans="1:5" ht="18" thickBot="1" x14ac:dyDescent="0.45">
      <c r="A42" s="1" t="s">
        <v>65</v>
      </c>
    </row>
    <row r="43" spans="1:5" x14ac:dyDescent="0.4">
      <c r="B43" s="5" t="s">
        <v>69</v>
      </c>
      <c r="C43" s="28">
        <f>'RPS 제도'!C31</f>
        <v>1202.000188</v>
      </c>
      <c r="D43" s="7" t="s">
        <v>16</v>
      </c>
    </row>
    <row r="44" spans="1:5" x14ac:dyDescent="0.4">
      <c r="B44" s="23" t="s">
        <v>70</v>
      </c>
      <c r="C44" s="21">
        <f>C43*100</f>
        <v>120200.01879999999</v>
      </c>
      <c r="D44" s="24" t="s">
        <v>64</v>
      </c>
    </row>
    <row r="45" spans="1:5" ht="18" thickBot="1" x14ac:dyDescent="0.45">
      <c r="B45" s="27" t="s">
        <v>71</v>
      </c>
      <c r="C45" s="25">
        <f>C44/365</f>
        <v>329.31511999999998</v>
      </c>
      <c r="D45" s="13" t="s">
        <v>16</v>
      </c>
    </row>
    <row r="46" spans="1:5" x14ac:dyDescent="0.4">
      <c r="A46" s="1"/>
    </row>
    <row r="47" spans="1:5" ht="18" thickBot="1" x14ac:dyDescent="0.45">
      <c r="A47" s="1" t="s">
        <v>155</v>
      </c>
    </row>
    <row r="48" spans="1:5" x14ac:dyDescent="0.4">
      <c r="B48" s="5" t="s">
        <v>66</v>
      </c>
      <c r="C48" s="32">
        <v>0.08</v>
      </c>
      <c r="D48" s="7"/>
      <c r="E48" t="s">
        <v>156</v>
      </c>
    </row>
    <row r="49" spans="2:4" x14ac:dyDescent="0.4">
      <c r="B49" s="8" t="s">
        <v>67</v>
      </c>
      <c r="C49" s="21">
        <f>C28*C48</f>
        <v>5808.8</v>
      </c>
      <c r="D49" s="9" t="s">
        <v>68</v>
      </c>
    </row>
    <row r="50" spans="2:4" x14ac:dyDescent="0.4">
      <c r="B50" s="8" t="s">
        <v>72</v>
      </c>
      <c r="C50" s="21">
        <f>C49*C3</f>
        <v>482130.4</v>
      </c>
      <c r="D50" s="9" t="s">
        <v>73</v>
      </c>
    </row>
    <row r="51" spans="2:4" x14ac:dyDescent="0.4">
      <c r="B51" s="8" t="s">
        <v>72</v>
      </c>
      <c r="C51" s="21">
        <f>C50/10000</f>
        <v>48.213039999999999</v>
      </c>
      <c r="D51" s="9" t="s">
        <v>16</v>
      </c>
    </row>
    <row r="52" spans="2:4" x14ac:dyDescent="0.4">
      <c r="B52" s="8" t="s">
        <v>74</v>
      </c>
      <c r="C52" s="21">
        <f>C49/1000*C4*C7</f>
        <v>698148.05440000002</v>
      </c>
      <c r="D52" s="9" t="s">
        <v>77</v>
      </c>
    </row>
    <row r="53" spans="2:4" x14ac:dyDescent="0.4">
      <c r="B53" s="8" t="s">
        <v>78</v>
      </c>
      <c r="C53" s="21">
        <f>C52/10000</f>
        <v>69.814805440000001</v>
      </c>
      <c r="D53" s="9" t="s">
        <v>16</v>
      </c>
    </row>
    <row r="54" spans="2:4" x14ac:dyDescent="0.4">
      <c r="B54" s="8" t="s">
        <v>145</v>
      </c>
      <c r="C54" s="21">
        <f>C51+C53</f>
        <v>118.02784543999999</v>
      </c>
      <c r="D54" s="9" t="s">
        <v>79</v>
      </c>
    </row>
    <row r="55" spans="2:4" x14ac:dyDescent="0.4">
      <c r="B55" s="8" t="s">
        <v>80</v>
      </c>
      <c r="C55" s="61">
        <f>C54*100</f>
        <v>11802.784544</v>
      </c>
      <c r="D55" s="9" t="s">
        <v>81</v>
      </c>
    </row>
    <row r="56" spans="2:4" x14ac:dyDescent="0.4">
      <c r="B56" s="23" t="s">
        <v>146</v>
      </c>
      <c r="C56" s="62">
        <f>C54/C49</f>
        <v>2.0318799999999998E-2</v>
      </c>
      <c r="D56" s="24" t="s">
        <v>144</v>
      </c>
    </row>
    <row r="57" spans="2:4" ht="18" thickBot="1" x14ac:dyDescent="0.45">
      <c r="B57" s="27" t="s">
        <v>147</v>
      </c>
      <c r="C57" s="38">
        <f>C56*1000</f>
        <v>20.3188</v>
      </c>
      <c r="D57" s="26" t="s">
        <v>148</v>
      </c>
    </row>
  </sheetData>
  <phoneticPr fontId="2" type="noConversion"/>
  <hyperlinks>
    <hyperlink ref="E9" r:id="rId1"/>
    <hyperlink ref="E11" r:id="rId2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"/>
  <sheetViews>
    <sheetView topLeftCell="F4" zoomScale="55" zoomScaleNormal="55" workbookViewId="0">
      <selection activeCell="M40" sqref="M40"/>
    </sheetView>
  </sheetViews>
  <sheetFormatPr defaultRowHeight="17.399999999999999" x14ac:dyDescent="0.4"/>
  <cols>
    <col min="1" max="1" width="36.3984375" bestFit="1" customWidth="1"/>
    <col min="2" max="2" width="9.5" bestFit="1" customWidth="1"/>
  </cols>
  <sheetData>
    <row r="2" spans="1:5" x14ac:dyDescent="0.4">
      <c r="B2">
        <v>2016</v>
      </c>
      <c r="C2">
        <v>2022</v>
      </c>
      <c r="D2">
        <v>2025</v>
      </c>
    </row>
    <row r="4" spans="1:5" x14ac:dyDescent="0.4">
      <c r="A4" s="1" t="s">
        <v>137</v>
      </c>
    </row>
    <row r="5" spans="1:5" x14ac:dyDescent="0.4">
      <c r="A5" s="2" t="s">
        <v>83</v>
      </c>
      <c r="B5" s="2">
        <v>2016</v>
      </c>
      <c r="C5" s="2">
        <v>2022</v>
      </c>
      <c r="D5" s="2">
        <v>2025</v>
      </c>
      <c r="E5" s="2">
        <v>2030</v>
      </c>
    </row>
    <row r="6" spans="1:5" x14ac:dyDescent="0.4">
      <c r="A6" s="2" t="s">
        <v>122</v>
      </c>
      <c r="B6" s="2">
        <v>13.3</v>
      </c>
      <c r="C6" s="2">
        <v>27.5</v>
      </c>
      <c r="D6" s="2">
        <v>29.9</v>
      </c>
      <c r="E6" s="2">
        <v>63.8</v>
      </c>
    </row>
    <row r="7" spans="1:5" x14ac:dyDescent="0.4">
      <c r="A7" s="2" t="s">
        <v>84</v>
      </c>
      <c r="B7" s="2"/>
      <c r="C7" s="2"/>
      <c r="D7" s="2">
        <v>12.8</v>
      </c>
      <c r="E7" s="2"/>
    </row>
    <row r="8" spans="1:5" x14ac:dyDescent="0.4">
      <c r="D8">
        <v>42.7</v>
      </c>
    </row>
    <row r="10" spans="1:5" x14ac:dyDescent="0.4">
      <c r="A10" s="1" t="s">
        <v>136</v>
      </c>
      <c r="D10" t="s">
        <v>127</v>
      </c>
    </row>
    <row r="11" spans="1:5" x14ac:dyDescent="0.4">
      <c r="A11" s="2" t="s">
        <v>135</v>
      </c>
      <c r="B11" s="2">
        <f>1/20</f>
        <v>0.05</v>
      </c>
      <c r="C11" s="2" t="s">
        <v>120</v>
      </c>
    </row>
    <row r="12" spans="1:5" x14ac:dyDescent="0.4">
      <c r="A12" s="2" t="s">
        <v>124</v>
      </c>
      <c r="B12" s="2">
        <v>129</v>
      </c>
      <c r="C12" s="2" t="s">
        <v>125</v>
      </c>
      <c r="D12" t="s">
        <v>128</v>
      </c>
    </row>
    <row r="13" spans="1:5" x14ac:dyDescent="0.4">
      <c r="A13" s="2" t="s">
        <v>126</v>
      </c>
      <c r="B13" s="2">
        <v>373.2</v>
      </c>
      <c r="C13" s="2" t="s">
        <v>3</v>
      </c>
      <c r="D13" t="s">
        <v>128</v>
      </c>
    </row>
    <row r="14" spans="1:5" x14ac:dyDescent="0.4">
      <c r="A14" s="2" t="s">
        <v>129</v>
      </c>
      <c r="B14" s="2">
        <v>173.9</v>
      </c>
      <c r="C14" s="2" t="s">
        <v>3</v>
      </c>
      <c r="D14" t="s">
        <v>128</v>
      </c>
    </row>
    <row r="15" spans="1:5" x14ac:dyDescent="0.4">
      <c r="A15" s="2" t="s">
        <v>130</v>
      </c>
      <c r="B15" s="2">
        <f>B13+B14</f>
        <v>547.1</v>
      </c>
      <c r="C15" s="2" t="s">
        <v>131</v>
      </c>
    </row>
    <row r="16" spans="1:5" x14ac:dyDescent="0.4">
      <c r="A16" s="2" t="s">
        <v>123</v>
      </c>
      <c r="B16" s="56">
        <f>B15/(B12*1000)</f>
        <v>4.2410852713178297E-3</v>
      </c>
      <c r="C16" s="2"/>
    </row>
    <row r="18" spans="1:5" x14ac:dyDescent="0.4">
      <c r="A18" s="2" t="s">
        <v>83</v>
      </c>
      <c r="B18" s="2">
        <v>2016</v>
      </c>
      <c r="C18" s="2">
        <v>2022</v>
      </c>
      <c r="D18" s="2">
        <v>2025</v>
      </c>
      <c r="E18" s="2">
        <v>2030</v>
      </c>
    </row>
    <row r="19" spans="1:5" x14ac:dyDescent="0.4">
      <c r="A19" s="2" t="s">
        <v>132</v>
      </c>
      <c r="B19" s="2">
        <v>13.3</v>
      </c>
      <c r="C19" s="2">
        <v>27.5</v>
      </c>
      <c r="D19" s="2">
        <f>D8</f>
        <v>42.7</v>
      </c>
      <c r="E19" s="2">
        <v>63.8</v>
      </c>
    </row>
    <row r="20" spans="1:5" x14ac:dyDescent="0.4">
      <c r="A20" s="39" t="s">
        <v>133</v>
      </c>
      <c r="B20" s="57">
        <f>B19*$B16*1000</f>
        <v>56.406434108527137</v>
      </c>
      <c r="C20" s="57">
        <f>C19*$B16*1000</f>
        <v>116.62984496124032</v>
      </c>
      <c r="D20" s="57">
        <f>D19*$B16*1000</f>
        <v>181.09434108527134</v>
      </c>
      <c r="E20" s="57">
        <f>E19*$B16*1000</f>
        <v>270.58124031007753</v>
      </c>
    </row>
    <row r="21" spans="1:5" x14ac:dyDescent="0.4">
      <c r="A21" s="39" t="s">
        <v>134</v>
      </c>
      <c r="B21" s="57">
        <f>B20*$B11</f>
        <v>2.8203217054263572</v>
      </c>
      <c r="C21" s="57">
        <f>C20*$B11</f>
        <v>5.8314922480620162</v>
      </c>
      <c r="D21" s="57">
        <f>D20*$B11</f>
        <v>9.054717054263568</v>
      </c>
      <c r="E21" s="57">
        <f>E20*$B11</f>
        <v>13.529062015503877</v>
      </c>
    </row>
    <row r="23" spans="1:5" x14ac:dyDescent="0.4">
      <c r="A23" s="1" t="s">
        <v>142</v>
      </c>
      <c r="D23" t="s">
        <v>127</v>
      </c>
    </row>
    <row r="24" spans="1:5" x14ac:dyDescent="0.4">
      <c r="A24" s="2" t="s">
        <v>135</v>
      </c>
      <c r="B24" s="2">
        <v>1.2</v>
      </c>
      <c r="C24" s="2" t="s">
        <v>120</v>
      </c>
    </row>
    <row r="25" spans="1:5" x14ac:dyDescent="0.4">
      <c r="A25" s="14" t="s">
        <v>139</v>
      </c>
      <c r="B25" s="60">
        <v>129361</v>
      </c>
      <c r="C25" s="15" t="s">
        <v>3</v>
      </c>
      <c r="D25" t="s">
        <v>128</v>
      </c>
    </row>
    <row r="26" spans="1:5" x14ac:dyDescent="0.4">
      <c r="A26" s="14" t="s">
        <v>140</v>
      </c>
      <c r="B26" s="60">
        <v>15669</v>
      </c>
      <c r="C26" s="15" t="s">
        <v>131</v>
      </c>
      <c r="D26" t="s">
        <v>128</v>
      </c>
    </row>
    <row r="27" spans="1:5" x14ac:dyDescent="0.4">
      <c r="A27" s="14" t="s">
        <v>138</v>
      </c>
      <c r="B27" s="58">
        <v>0.121</v>
      </c>
      <c r="C27" s="14" t="s">
        <v>131</v>
      </c>
      <c r="D27" t="s">
        <v>128</v>
      </c>
    </row>
    <row r="28" spans="1:5" x14ac:dyDescent="0.4">
      <c r="A28" s="1"/>
    </row>
    <row r="29" spans="1:5" x14ac:dyDescent="0.4">
      <c r="A29" s="2" t="s">
        <v>82</v>
      </c>
      <c r="B29" s="2">
        <v>2016</v>
      </c>
      <c r="C29" s="2">
        <v>2022</v>
      </c>
      <c r="D29" s="2">
        <v>2025</v>
      </c>
      <c r="E29" s="2">
        <v>2030</v>
      </c>
    </row>
    <row r="30" spans="1:5" x14ac:dyDescent="0.4">
      <c r="A30" s="2" t="s">
        <v>121</v>
      </c>
      <c r="B30" s="2">
        <v>13.3</v>
      </c>
      <c r="C30" s="2">
        <v>27.5</v>
      </c>
      <c r="D30" s="2">
        <v>42.7</v>
      </c>
      <c r="E30" s="2">
        <v>63.8</v>
      </c>
    </row>
    <row r="31" spans="1:5" x14ac:dyDescent="0.4">
      <c r="A31" s="14" t="s">
        <v>141</v>
      </c>
      <c r="B31" s="33">
        <f>B30*$B27</f>
        <v>1.6093</v>
      </c>
      <c r="C31" s="33">
        <f t="shared" ref="C31:E31" si="0">C30*$B27</f>
        <v>3.3274999999999997</v>
      </c>
      <c r="D31" s="33">
        <f t="shared" si="0"/>
        <v>5.1667000000000005</v>
      </c>
      <c r="E31" s="33">
        <f t="shared" si="0"/>
        <v>7.7197999999999993</v>
      </c>
    </row>
    <row r="32" spans="1:5" x14ac:dyDescent="0.4">
      <c r="A32" s="14" t="s">
        <v>143</v>
      </c>
      <c r="B32">
        <f>$B24*B31*1000</f>
        <v>1931.1599999999999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view="pageBreakPreview" zoomScale="55" zoomScaleNormal="85" zoomScaleSheetLayoutView="55" workbookViewId="0">
      <selection activeCell="R24" sqref="R24"/>
    </sheetView>
  </sheetViews>
  <sheetFormatPr defaultRowHeight="17.399999999999999" x14ac:dyDescent="0.4"/>
  <cols>
    <col min="2" max="2" width="28.09765625" bestFit="1" customWidth="1"/>
    <col min="3" max="3" width="14.59765625" bestFit="1" customWidth="1"/>
    <col min="5" max="5" width="74" bestFit="1" customWidth="1"/>
  </cols>
  <sheetData>
    <row r="1" spans="1:5" ht="18" thickBot="1" x14ac:dyDescent="0.45">
      <c r="A1" s="1" t="s">
        <v>119</v>
      </c>
    </row>
    <row r="2" spans="1:5" x14ac:dyDescent="0.4">
      <c r="B2" s="52"/>
      <c r="C2" s="47"/>
      <c r="D2" s="48"/>
      <c r="E2" s="40" t="s">
        <v>5</v>
      </c>
    </row>
    <row r="3" spans="1:5" ht="34.799999999999997" x14ac:dyDescent="0.4">
      <c r="B3" s="23" t="s">
        <v>18</v>
      </c>
      <c r="C3" s="39">
        <v>83</v>
      </c>
      <c r="D3" s="24" t="s">
        <v>1</v>
      </c>
      <c r="E3" s="41" t="s">
        <v>20</v>
      </c>
    </row>
    <row r="4" spans="1:5" x14ac:dyDescent="0.4">
      <c r="B4" s="23" t="s">
        <v>21</v>
      </c>
      <c r="C4" s="39">
        <v>4</v>
      </c>
      <c r="D4" s="24"/>
      <c r="E4" s="42"/>
    </row>
    <row r="5" spans="1:5" x14ac:dyDescent="0.4">
      <c r="B5" s="23" t="s">
        <v>23</v>
      </c>
      <c r="C5" s="39">
        <v>1</v>
      </c>
      <c r="D5" s="24"/>
      <c r="E5" s="42" t="s">
        <v>22</v>
      </c>
    </row>
    <row r="6" spans="1:5" ht="34.799999999999997" x14ac:dyDescent="0.4">
      <c r="B6" s="23" t="s">
        <v>24</v>
      </c>
      <c r="C6" s="53">
        <v>30047</v>
      </c>
      <c r="D6" s="24" t="s">
        <v>25</v>
      </c>
      <c r="E6" s="41" t="s">
        <v>40</v>
      </c>
    </row>
    <row r="7" spans="1:5" x14ac:dyDescent="0.4">
      <c r="B7" s="23" t="s">
        <v>26</v>
      </c>
      <c r="C7" s="53">
        <v>187</v>
      </c>
      <c r="D7" s="24" t="s">
        <v>34</v>
      </c>
      <c r="E7" s="41" t="s">
        <v>29</v>
      </c>
    </row>
    <row r="8" spans="1:5" x14ac:dyDescent="0.4">
      <c r="B8" s="23" t="s">
        <v>30</v>
      </c>
      <c r="C8" s="53">
        <v>100</v>
      </c>
      <c r="D8" s="24" t="s">
        <v>90</v>
      </c>
      <c r="E8" s="41"/>
    </row>
    <row r="9" spans="1:5" x14ac:dyDescent="0.4">
      <c r="B9" s="23" t="s">
        <v>30</v>
      </c>
      <c r="C9" s="53">
        <f>C8*C4</f>
        <v>400</v>
      </c>
      <c r="D9" s="24" t="s">
        <v>28</v>
      </c>
      <c r="E9" s="41" t="s">
        <v>35</v>
      </c>
    </row>
    <row r="10" spans="1:5" x14ac:dyDescent="0.4">
      <c r="B10" s="23" t="s">
        <v>100</v>
      </c>
      <c r="C10" s="54">
        <v>0.8</v>
      </c>
      <c r="D10" s="24"/>
      <c r="E10" s="41" t="s">
        <v>32</v>
      </c>
    </row>
    <row r="11" spans="1:5" x14ac:dyDescent="0.4">
      <c r="B11" s="23" t="s">
        <v>101</v>
      </c>
      <c r="C11" s="54">
        <v>0.1</v>
      </c>
      <c r="D11" s="24"/>
      <c r="E11" s="44"/>
    </row>
    <row r="12" spans="1:5" ht="18" thickBot="1" x14ac:dyDescent="0.45">
      <c r="B12" s="23" t="s">
        <v>95</v>
      </c>
      <c r="C12" s="39">
        <v>5</v>
      </c>
      <c r="D12" s="24" t="s">
        <v>10</v>
      </c>
      <c r="E12" s="43" t="s">
        <v>2</v>
      </c>
    </row>
    <row r="13" spans="1:5" x14ac:dyDescent="0.4">
      <c r="B13" s="23" t="s">
        <v>91</v>
      </c>
      <c r="C13" s="39">
        <v>2</v>
      </c>
      <c r="D13" s="24" t="s">
        <v>92</v>
      </c>
      <c r="E13" s="15"/>
    </row>
    <row r="14" spans="1:5" x14ac:dyDescent="0.4">
      <c r="B14" s="23" t="s">
        <v>96</v>
      </c>
      <c r="C14" s="39">
        <v>4</v>
      </c>
      <c r="D14" s="24"/>
      <c r="E14" s="15"/>
    </row>
    <row r="15" spans="1:5" ht="18" thickBot="1" x14ac:dyDescent="0.45">
      <c r="B15" s="27" t="s">
        <v>97</v>
      </c>
      <c r="C15" s="55">
        <v>2</v>
      </c>
      <c r="D15" s="26"/>
      <c r="E15" s="15"/>
    </row>
    <row r="16" spans="1:5" ht="18" thickBot="1" x14ac:dyDescent="0.45"/>
    <row r="17" spans="2:5" x14ac:dyDescent="0.4">
      <c r="B17" s="46" t="s">
        <v>47</v>
      </c>
      <c r="C17" s="47"/>
      <c r="D17" s="48"/>
    </row>
    <row r="18" spans="2:5" x14ac:dyDescent="0.4">
      <c r="B18" s="23" t="s">
        <v>36</v>
      </c>
      <c r="C18" s="39">
        <f>C7*C12</f>
        <v>935</v>
      </c>
      <c r="D18" s="24" t="s">
        <v>28</v>
      </c>
      <c r="E18" s="15"/>
    </row>
    <row r="19" spans="2:5" x14ac:dyDescent="0.4">
      <c r="B19" s="23" t="s">
        <v>93</v>
      </c>
      <c r="C19" s="39">
        <f>C7*C13</f>
        <v>374</v>
      </c>
      <c r="D19" s="24" t="s">
        <v>94</v>
      </c>
      <c r="E19" s="15"/>
    </row>
    <row r="20" spans="2:5" x14ac:dyDescent="0.4">
      <c r="B20" s="23" t="s">
        <v>98</v>
      </c>
      <c r="C20" s="39">
        <f>C8*C14</f>
        <v>400</v>
      </c>
      <c r="D20" s="24" t="s">
        <v>102</v>
      </c>
      <c r="E20" s="15"/>
    </row>
    <row r="21" spans="2:5" x14ac:dyDescent="0.4">
      <c r="B21" s="23" t="s">
        <v>99</v>
      </c>
      <c r="C21" s="39">
        <f>C8*C13</f>
        <v>200</v>
      </c>
      <c r="D21" s="24" t="s">
        <v>28</v>
      </c>
      <c r="E21" s="15"/>
    </row>
    <row r="22" spans="2:5" x14ac:dyDescent="0.4">
      <c r="B22" s="23" t="s">
        <v>108</v>
      </c>
      <c r="C22" s="49">
        <f>C20*C3</f>
        <v>33200</v>
      </c>
      <c r="D22" s="24" t="s">
        <v>109</v>
      </c>
      <c r="E22" s="15"/>
    </row>
    <row r="23" spans="2:5" x14ac:dyDescent="0.4">
      <c r="B23" s="23" t="s">
        <v>110</v>
      </c>
      <c r="C23" s="49">
        <f>C21*C4/1000*C6</f>
        <v>24037.600000000002</v>
      </c>
      <c r="D23" s="24" t="s">
        <v>111</v>
      </c>
      <c r="E23" s="15"/>
    </row>
    <row r="24" spans="2:5" x14ac:dyDescent="0.4">
      <c r="B24" s="23" t="s">
        <v>114</v>
      </c>
      <c r="C24" s="49">
        <f>C18-C20</f>
        <v>535</v>
      </c>
      <c r="D24" s="24" t="s">
        <v>28</v>
      </c>
      <c r="E24" s="15"/>
    </row>
    <row r="25" spans="2:5" x14ac:dyDescent="0.4">
      <c r="B25" s="23" t="s">
        <v>112</v>
      </c>
      <c r="C25" s="49">
        <f>C24*C3</f>
        <v>44405</v>
      </c>
      <c r="D25" s="24" t="s">
        <v>109</v>
      </c>
      <c r="E25" s="15"/>
    </row>
    <row r="26" spans="2:5" x14ac:dyDescent="0.4">
      <c r="B26" s="23" t="s">
        <v>113</v>
      </c>
      <c r="C26" s="50">
        <f>C24/1000*C5*C6</f>
        <v>16075.145</v>
      </c>
      <c r="D26" s="24" t="s">
        <v>111</v>
      </c>
      <c r="E26" s="15"/>
    </row>
    <row r="27" spans="2:5" x14ac:dyDescent="0.4">
      <c r="B27" s="23" t="s">
        <v>115</v>
      </c>
      <c r="C27" s="50">
        <f>C22+C25</f>
        <v>77605</v>
      </c>
      <c r="D27" s="24" t="s">
        <v>116</v>
      </c>
      <c r="E27" s="15"/>
    </row>
    <row r="28" spans="2:5" ht="18" thickBot="1" x14ac:dyDescent="0.45">
      <c r="B28" s="27" t="s">
        <v>117</v>
      </c>
      <c r="C28" s="51">
        <f>C23+C26</f>
        <v>40112.745000000003</v>
      </c>
      <c r="D28" s="26" t="s">
        <v>116</v>
      </c>
      <c r="E28" s="15"/>
    </row>
    <row r="29" spans="2:5" ht="18" thickBot="1" x14ac:dyDescent="0.45">
      <c r="E29" s="15"/>
    </row>
    <row r="30" spans="2:5" x14ac:dyDescent="0.4">
      <c r="B30" s="5" t="s">
        <v>85</v>
      </c>
      <c r="C30" s="36">
        <v>0.69</v>
      </c>
      <c r="D30" s="7"/>
      <c r="E30" t="s">
        <v>118</v>
      </c>
    </row>
    <row r="31" spans="2:5" x14ac:dyDescent="0.4">
      <c r="B31" s="8" t="s">
        <v>86</v>
      </c>
      <c r="C31" s="2">
        <v>187</v>
      </c>
      <c r="D31" s="9" t="s">
        <v>88</v>
      </c>
    </row>
    <row r="32" spans="2:5" x14ac:dyDescent="0.4">
      <c r="B32" s="8" t="s">
        <v>87</v>
      </c>
      <c r="C32" s="35">
        <v>100</v>
      </c>
      <c r="D32" s="9" t="s">
        <v>88</v>
      </c>
      <c r="E32" t="s">
        <v>89</v>
      </c>
    </row>
    <row r="33" spans="2:4" x14ac:dyDescent="0.4">
      <c r="B33" s="23" t="s">
        <v>103</v>
      </c>
      <c r="C33" s="17">
        <f>C20/C18</f>
        <v>0.42780748663101603</v>
      </c>
      <c r="D33" s="9"/>
    </row>
    <row r="34" spans="2:4" x14ac:dyDescent="0.4">
      <c r="B34" s="23" t="s">
        <v>105</v>
      </c>
      <c r="C34" s="45">
        <v>900</v>
      </c>
      <c r="D34" s="9" t="s">
        <v>28</v>
      </c>
    </row>
    <row r="35" spans="2:4" x14ac:dyDescent="0.4">
      <c r="B35" s="23" t="s">
        <v>104</v>
      </c>
      <c r="C35" s="35">
        <f>C34*C33</f>
        <v>385.02673796791441</v>
      </c>
      <c r="D35" s="9" t="s">
        <v>28</v>
      </c>
    </row>
    <row r="36" spans="2:4" x14ac:dyDescent="0.4">
      <c r="B36" s="23" t="s">
        <v>106</v>
      </c>
      <c r="C36" s="2">
        <v>940</v>
      </c>
      <c r="D36" s="9" t="s">
        <v>28</v>
      </c>
    </row>
    <row r="37" spans="2:4" ht="18" thickBot="1" x14ac:dyDescent="0.45">
      <c r="B37" s="27" t="s">
        <v>107</v>
      </c>
      <c r="C37" s="38">
        <f>C36*C33</f>
        <v>402.13903743315507</v>
      </c>
      <c r="D37" s="13" t="s">
        <v>28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4</vt:i4>
      </vt:variant>
    </vt:vector>
  </HeadingPairs>
  <TitlesOfParts>
    <vt:vector size="9" baseType="lpstr">
      <vt:lpstr>발전량 예측제도</vt:lpstr>
      <vt:lpstr>RPS 제도</vt:lpstr>
      <vt:lpstr>RPS 제도 개정안</vt:lpstr>
      <vt:lpstr>재생에너지 3020</vt:lpstr>
      <vt:lpstr>APP data 근거</vt:lpstr>
      <vt:lpstr>'APP data 근거'!Print_Area</vt:lpstr>
      <vt:lpstr>'RPS 제도'!Print_Area</vt:lpstr>
      <vt:lpstr>'RPS 제도 개정안'!Print_Area</vt:lpstr>
      <vt:lpstr>'발전량 예측제도'!Print_Area</vt:lpstr>
    </vt:vector>
  </TitlesOfParts>
  <Company>IAE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2021-07-13T18:32:31Z</dcterms:created>
  <dcterms:modified xsi:type="dcterms:W3CDTF">2021-07-21T09:57:26Z</dcterms:modified>
</cp:coreProperties>
</file>