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<sst xmlns="http://schemas.openxmlformats.org/spreadsheetml/2006/main" count="7456" uniqueCount="5685">
  <si>
    <t>S.No.</t>
  </si>
  <si>
    <t>SIM ID</t>
  </si>
  <si>
    <t>UDISE code</t>
  </si>
  <si>
    <t>Project  Title</t>
  </si>
  <si>
    <t>Team Name</t>
  </si>
  <si>
    <t>School</t>
  </si>
  <si>
    <t>State/UT</t>
  </si>
  <si>
    <t>Website</t>
  </si>
  <si>
    <t>District</t>
  </si>
  <si>
    <t>Tel</t>
  </si>
  <si>
    <t>Email</t>
  </si>
  <si>
    <t>Address</t>
  </si>
  <si>
    <t>SIM204925</t>
  </si>
  <si>
    <t>33281303206</t>
  </si>
  <si>
    <t>Glucoscan</t>
  </si>
  <si>
    <t>Dream
Chasers</t>
  </si>
  <si>
    <t>SPIC NAGAR HIGHER
SECONDARY SCHOOL</t>
  </si>
  <si>
    <t>Tamil Nadu</t>
  </si>
  <si>
    <t>Spic Nagar Hss - Korampallam Ii Thoothukkudi (Tamil Nadu)</t>
  </si>
  <si>
    <t>SIM04297</t>
  </si>
  <si>
    <t>06180105812</t>
  </si>
  <si>
    <t>Netzerohome</t>
  </si>
  <si>
    <t>Young
Innovators</t>
  </si>
  <si>
    <t>MANAV RACHNA
INTERNATIONAL
SCHOOL (RUN BY
NAVUTHAN
EDUCATIONAL TRUST)</t>
  </si>
  <si>
    <t>Haryana</t>
  </si>
  <si>
    <t>Sector 43, Aravalli Hills, Delhi Surajkund Road, Faridabad 121004, (Haryana), India | Sector – 43, Aravalli Hills, Delhi – Surajkund Road, Faridabad – 121004, (Haryana), India | SDG 2 Zero Hunger: Ranked No. 1 in Delhi-NCR / Haryana, No. 5 in India (Amongst Top 300 Globally) | Faridabad 121004, (Haryana), India</t>
  </si>
  <si>
    <t>SIM89861</t>
  </si>
  <si>
    <t>29260804609</t>
  </si>
  <si>
    <t>Bioblend Dispenser</t>
  </si>
  <si>
    <t>Field Frontiers</t>
  </si>
  <si>
    <t>EXCEL PUBLIC
SCHOOL</t>
  </si>
  <si>
    <t>Karnataka</t>
  </si>
  <si>
    <t>Mysuru - 570018, Karnataka | # 40-P-1, Koorgalli Industrial Area, Belavadi Post, Mysuru – 570 018 Karnataka.</t>
  </si>
  <si>
    <t>SIM08630</t>
  </si>
  <si>
    <t>27201007608</t>
  </si>
  <si>
    <t>Development of a
Device - Voice To
Attract Attention.</t>
  </si>
  <si>
    <t>IT</t>
  </si>
  <si>
    <t>VAINATEYA VIDYALAY
AND JUNIOR COLLEGE
OF SCIENCE NIPHAD
NASHIK</t>
  </si>
  <si>
    <t>Maharashtra</t>
  </si>
  <si>
    <t>Vainateya Madyamik Vidyalaya  Niphad - Niphad Nashik (Maharashtra)</t>
  </si>
  <si>
    <t>SIM81108</t>
  </si>
  <si>
    <t>33292002505</t>
  </si>
  <si>
    <t>Metal detecting shoes
for indian army</t>
  </si>
  <si>
    <t>lourdes</t>
  </si>
  <si>
    <t>ST XAVIERS HR SEC
SCHOOL
PALAYAMKOTTAI</t>
  </si>
  <si>
    <t>Private Secondary School In Palayamkottai, Tirunelveli , Tamil Nadu, India</t>
  </si>
  <si>
    <t>SIM188968</t>
  </si>
  <si>
    <t>02080125001</t>
  </si>
  <si>
    <t>Artificial Intelligence
Based Direct
Observation Therapy
(Ai-Dot) Device for Tb
Patients</t>
  </si>
  <si>
    <t>Frosty lab</t>
  </si>
  <si>
    <t>DAV BILASPUR</t>
  </si>
  <si>
    <t>Himachal
Pradesh</t>
  </si>
  <si>
    <t>The School  Is Situated In Town Of Ghumarwin, Bilaspur, Near</t>
  </si>
  <si>
    <t>SIM97354</t>
  </si>
  <si>
    <t>32050700302</t>
  </si>
  <si>
    <t>Free Energy Elevator
for The Physically
Challenged</t>
  </si>
  <si>
    <t>PASCAL</t>
  </si>
  <si>
    <t>KMGUPS THAVANUR</t>
  </si>
  <si>
    <t>Kerala</t>
  </si>
  <si>
    <t>Kmgups Thavanur - Thavanur Malappuram (Kerala)</t>
  </si>
  <si>
    <t>SIM195879</t>
  </si>
  <si>
    <t>27040906219</t>
  </si>
  <si>
    <t>Atm for Grains</t>
  </si>
  <si>
    <t>ATM for
Grains</t>
  </si>
  <si>
    <t>SWAMI VIVEKANAND
RASHTRIYA
DNYANPEETH
JALGAON JAMOD</t>
  </si>
  <si>
    <t>SIM172933</t>
  </si>
  <si>
    <t>08270219202</t>
  </si>
  <si>
    <t>Eco- fert packaging :
biodegradable algae-
based solution for
pollution reduction
and soil enrichment.</t>
  </si>
  <si>
    <t>The
innovation
squad</t>
  </si>
  <si>
    <t>MODERN SCHOOL
DUNGARPUR</t>
  </si>
  <si>
    <t>Rajasthan</t>
  </si>
  <si>
    <t>Dungarpur</t>
  </si>
  <si>
    <t>The history of Modern School is at no odds. The birth of Modern School dates back to July 1981 when this very ordinary Varghese couple stepped into the educational venture, in Dungarpur the ‘town of hills’. But of course only a divine inspiration coupled with the love of Jesus Christ could lead Pr. K.O. Varghese and Late Mrs. Lissamma Varghese to this concealed corner of Rajasthan. The need for a quality education in English medium and an ardent desire to support those with financial constraints with regard to education, this couple launched into the undertaking of educational establishment. This could never be built alone, but assuredly and undeniably with a team of key management members, supporters, the entire body of staff and well wishers… “Downfall marks us in the journey when we begin to forget our roots or our humble beginnings”, as our much honored Founder Chairman Sir repeatedly reminds. So we like to mention few significant and unforgettable names with regard to this remarkable journey in that line….</t>
  </si>
  <si>
    <t>SIM168289</t>
  </si>
  <si>
    <t>33011006103</t>
  </si>
  <si>
    <t>LPG leakage auto cut
off alert sms sending
system for home and
industries</t>
  </si>
  <si>
    <t>Giggly Bees</t>
  </si>
  <si>
    <t>ANNAI VELANKANNI
HIGH SCHOOL
VYASARPADY</t>
  </si>
  <si>
    <t>Annai Vailankanni Hs - Ward39 Chennai (Tamil Nadu)</t>
  </si>
  <si>
    <t>ANNAI VAILANKANNI HS - Ward39 District Chennai (Tamil Nadu)</t>
  </si>
  <si>
    <t>SIM08370</t>
  </si>
  <si>
    <t>10280803810</t>
  </si>
  <si>
    <t>Flood safety car</t>
  </si>
  <si>
    <t>C V Raman</t>
  </si>
  <si>
    <t>KENDRIYA VIDYALAYA
KHAGAUL</t>
  </si>
  <si>
    <t>Bihar</t>
  </si>
  <si>
    <t>Opening Of The New Kendriya Vidyalaya, Ramkot, Kathua, Jammu &amp; Kashmir-Reg</t>
  </si>
  <si>
    <t>Neha Kumari , students of class 9 at PM SHRI KV Khagaul, Patna, BIHAR, won the Silver Medal in Visual Art category (solo event) in Kala Utsav 2024</t>
  </si>
  <si>
    <t>SIM222745</t>
  </si>
  <si>
    <t>10171403513</t>
  </si>
  <si>
    <t>Smart fuel monitoring
system: enhancing fuel
transparency and
efficiency</t>
  </si>
  <si>
    <t>INSIGHT
INNOVATORS</t>
  </si>
  <si>
    <t>PM SHRI KENDRIYA
VIDYALAYA MASHRAK</t>
  </si>
  <si>
    <t>Opening Of The New Kendriya Vidyalaya Sabalgarh, Morena, Madhya Pradesh-Reg</t>
  </si>
  <si>
    <t>Kendriya Vidyalaya No. 2 , Sheikhpura More , Bailey Road, P.O. – B.V College, Patna – 800014 (Bihar)</t>
  </si>
  <si>
    <t>SIM97154</t>
  </si>
  <si>
    <t>07070111703</t>
  </si>
  <si>
    <t>Multi resqbot</t>
  </si>
  <si>
    <t>Life Defender</t>
  </si>
  <si>
    <t>GOVT SARVODAYA CO
ED SR SEC SCHOOL</t>
  </si>
  <si>
    <t>Delhi</t>
  </si>
  <si>
    <t>Sarvodaya Co-Ed Senior Secondary School | New Delhi, Government Of Nct Of Delhi | India</t>
  </si>
  <si>
    <t>12/1, Jam Nagar House, Near UPSC, India Gate, New Delhi-110011</t>
  </si>
  <si>
    <t>SIM191527</t>
  </si>
  <si>
    <t>06180107343</t>
  </si>
  <si>
    <t>Aerosustain</t>
  </si>
  <si>
    <t>Watt</t>
  </si>
  <si>
    <t>SCOTTISH HIGH
INTERNATIONAL
SCHOOL</t>
  </si>
  <si>
    <t>Parisa Chopra Shines: From Bronze To Level In Sgfi Shooting</t>
  </si>
  <si>
    <t>Special Olympics Bharat had an enriching youth activation session with around 30 students of Scottish High and more than 15 special Olympics athletes of haryana as youth leaders with and without Intellectual disability, focused on spreading awareness and advocating for inclusion. On the occasion youth leaders and athlete leaders were motivated experience shared by World.</t>
  </si>
  <si>
    <t>SIM171125</t>
  </si>
  <si>
    <t>23320300112</t>
  </si>
  <si>
    <t>Eco Solar Shield</t>
  </si>
  <si>
    <t>Technovaters</t>
  </si>
  <si>
    <t>SAGAR PUBLIC
SCHOOL</t>
  </si>
  <si>
    <t>Madhya
Pradesh</t>
  </si>
  <si>
    <t>Abhyuday Rai Of Class Vii Has Won Silver And Gold Medal@ 53Rd Swimming Competition Bhopal</t>
  </si>
  <si>
    <t>came into existence in the year 1983 under the visionary leadership of Chairman Shri Sudhir Kumar Agrawal. Over the years, it has transformed into one of the largest corporate houses and business conglomerate of Central India. In its journey of over three decades, the group has successfully ventured into the field of education, real estate, production and manufacturing to employ 5000+ people, and impact lives of more than two lakh people every day. Sagar Group has been felicitated with IBC24 Excellence Award 2017 for its contribution to the Industrial Development of Madhya Pradesh and Incredible Societal Development.</t>
  </si>
  <si>
    <t>SIM90694</t>
  </si>
  <si>
    <t>33260108129</t>
  </si>
  <si>
    <t>Automatic wheelchair</t>
  </si>
  <si>
    <t>Abdul kalam</t>
  </si>
  <si>
    <t>STRN GHSS
ARUPPUKOTTAI</t>
  </si>
  <si>
    <t>S.T.R.N.G.H.S.S. Apk - Aruppukottai (Ward 1) Virudhunagar (Tamil Nadu)</t>
  </si>
  <si>
    <t>S.T.R.N.G.H.S.S. APK - Aruppukottai (ward 1) District Virudhunagar (Tamil Nadu)</t>
  </si>
  <si>
    <t>SIM124128</t>
  </si>
  <si>
    <t>36151600306</t>
  </si>
  <si>
    <t>Solar tracking system</t>
  </si>
  <si>
    <t>UNSTOPPABL
E SCHOLORS</t>
  </si>
  <si>
    <t>ZILLA PARISHAD HIGH
SCHOOL KONDAPOOR</t>
  </si>
  <si>
    <t>Telangana</t>
  </si>
  <si>
    <t>Zphs Kondapur | Government Of Telangana, Siddipet | India</t>
  </si>
  <si>
    <t>The district comprises of 26 mandals and 3 revenue divisions . The district headquarters is located at Siddipet town. The Govt of Telangana has decided to set up a police commissionerate for the town.</t>
  </si>
  <si>
    <t>SIM212860</t>
  </si>
  <si>
    <t>09721901410</t>
  </si>
  <si>
    <t>Smart delivery drone</t>
  </si>
  <si>
    <t>nitinteam</t>
  </si>
  <si>
    <t>S S P D S V M INTER
COLLEGE KASGANJ</t>
  </si>
  <si>
    <t>Uttar Pradesh</t>
  </si>
  <si>
    <t>SIM82419</t>
  </si>
  <si>
    <t>32130300603</t>
  </si>
  <si>
    <t>A Device for Detecting
and killing the Brain
Eating Amoeba
(Naegleria Fowleri)</t>
  </si>
  <si>
    <t>sparking idea</t>
  </si>
  <si>
    <t>SNVGHS PARAVOOR</t>
  </si>
  <si>
    <t>S.N.V.G.H.S Paravoor - Paravoor Kollam (Kerala)</t>
  </si>
  <si>
    <t>S.N.V.G.H.S PARAVOOR was established in 1923 and it is managed by the Pvt. Aided. It is located in Urban area. It is located in CHATHANNOOR block of KOLLAM district of Kerala. The school consists of Grades from 5 to 10. The school is Girls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</si>
  <si>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SIM227888</t>
  </si>
  <si>
    <t>06180107361</t>
  </si>
  <si>
    <t>Mars (Multifunctional
Agricultural Robotic
System)</t>
  </si>
  <si>
    <t>MARS</t>
  </si>
  <si>
    <t>AMITY
INTERNATIONAL
SCHOOL</t>
  </si>
  <si>
    <t>Gauri Gaur (Class 11) awarded with a cash prize of ₹ 50,000/- by Govt. of Haryana for clinching First Position in Under 17, SGFI Cricket Nationals.</t>
  </si>
  <si>
    <t>SIM39485</t>
  </si>
  <si>
    <t>33090900105</t>
  </si>
  <si>
    <t>EV meter recharging
system</t>
  </si>
  <si>
    <t>VARSHINI S</t>
  </si>
  <si>
    <t>GHS R PUDUPATTI</t>
  </si>
  <si>
    <t>Ghs R. Pudupatti - R.Pudupatti Namakkal (Tamil Nadu)</t>
  </si>
  <si>
    <t>GHS R. PUDUPATTI was established in 1968 and it is managed by the Department of Education. It is located in Rural area. It is located in NAMAGIRIPETTAI block of NAMAKKAL district of Tamil Nadu. The school consists of Grades from 6 to 10.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</si>
  <si>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SIM84528</t>
  </si>
  <si>
    <t>33260910538</t>
  </si>
  <si>
    <t>Municipal Water Alarm</t>
  </si>
  <si>
    <t>9ESunflower</t>
  </si>
  <si>
    <t>SNG GIRLS HSS
THIRUTHANGAL</t>
  </si>
  <si>
    <t>Thiruthangal 626 130, Virudhunagar ,</t>
  </si>
  <si>
    <t>SIM215443</t>
  </si>
  <si>
    <t>07010306003</t>
  </si>
  <si>
    <t>Signsync</t>
  </si>
  <si>
    <t>Bug Smashers</t>
  </si>
  <si>
    <t>DAV PUBLIC SCHOOL
PUSHPANJALI
ENCLAVE</t>
  </si>
  <si>
    <t>SIM194532</t>
  </si>
  <si>
    <t>24070603407</t>
  </si>
  <si>
    <t>Aqua Aura</t>
  </si>
  <si>
    <t>AQUAURA</t>
  </si>
  <si>
    <t>ANAND NIKETAN
MANINAGAR</t>
  </si>
  <si>
    <t>Gujarat</t>
  </si>
  <si>
    <t>Ahmedabad, where academic excellence, global exposure, and strong values create a foundation for student success. With a vibrant community of over 1,500 learners, we nurture young minds in a dynamic and future-ready environment. Recognized among the best schools in Ahmedabad and counted among the top CBSE schools in Gujarat, our school prepares students for excellence in every sphere of life. | Opp. Bhaktidham Temple, Badodara Village, Jashodanagar – Mehmedabad Highway, Dist- Ahmedabad, Taluka-Daskroi, Pin-382445, Gujarat</t>
  </si>
  <si>
    <t>SIM116575</t>
  </si>
  <si>
    <t>01011304001</t>
  </si>
  <si>
    <t>Traffic-Driven Vertical
Axis Wind Turbine for
Clean Energy
Generation</t>
  </si>
  <si>
    <t>Mursaleen
team</t>
  </si>
  <si>
    <t>BHSS ASHPORA</t>
  </si>
  <si>
    <t>Jammu And
Kashmir</t>
  </si>
  <si>
    <t>Bhss Ashpora - Ashpora Kupwara (Jammu And Kashmir)</t>
  </si>
  <si>
    <t>BHSS ASHPORA was established in 1954 and it is managed by the Department of Education. It is located in Rural area. It is located in MAWER block of KUPWARA district of Jammu and Kashmir. The school consists of Grades from 9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</si>
  <si>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SIM114474</t>
  </si>
  <si>
    <t>01061302305</t>
  </si>
  <si>
    <t>Foot Operated Water
Tap</t>
  </si>
  <si>
    <t>Smart tap
solutions</t>
  </si>
  <si>
    <t>ARMY GOODWILL
SCHOOL WUZUR</t>
  </si>
  <si>
    <t>Level Inter School Competation :Martial Art</t>
  </si>
  <si>
    <t>3. The popularity of Army Goodwill Schools can be measured by the fact that there is a growing clamor by local population for opening more such schools and approximately 14500 students are currently obtaining quality education in primary/ higher secondary levels. Approximately 1500 students from economically weaker sections are receiving scholarships, the total value of which is a little above five crores for studies in schools within and outside the State. Most of the students benefitting from these scholarship schemes have also been assisted in obtaining admissions in institutes outside of Jammu and Kashmir. Besides imparting quality education the Goodwill Schools are also providing employment to qualified youth of the State. As on date nearly 1000 teaching and non teaching staff is employed in various Goodwill schools. | 3. The popularity of Army Goodwill Schools can be measured by the fact that there is a growing clamour by local population for opening more such schools and approximately 14,000 students are currently obtaining quality education in primary/ higher secondary levels. Approximately 840 students from economically weaker sections are receiving scholarships, the total value of which is a little above two crores for studies in schools within and outside the State. Most of the students benefitting from these scholarship schemes have also been assisted in obtaining admissions in institutes outside of Jammu and Kashmir. Besides imparting quality education the Goodwill Schools are also providing employment to qualified youth of the State. As on date nearly 1000 teaching and non teaching staff is employed in various Goodwill schools.</t>
  </si>
  <si>
    <t>SIM124906</t>
  </si>
  <si>
    <t>29280502212</t>
  </si>
  <si>
    <t>Mpx-Bot</t>
  </si>
  <si>
    <t>The Atlanteans</t>
  </si>
  <si>
    <t>NATIONAL PUBLIC
SCHOOL
YESHWANTHPUR</t>
  </si>
  <si>
    <t>SIM133191</t>
  </si>
  <si>
    <t>32080701708</t>
  </si>
  <si>
    <t>Corn Plastic - Bridging
Innovation and
Sustainability.</t>
  </si>
  <si>
    <t>EcoPhilics</t>
  </si>
  <si>
    <t>PM SHRI JAWAHAR
NAVODAYA
VIDYALAYA</t>
  </si>
  <si>
    <t>Jawahar Navodaya Vidyalaya, Periye, Kasaragod, Kerala, India Pin - 671316</t>
  </si>
  <si>
    <t>Jawahar Navodaya Vidyalaya, ETC POST, KOTTARAKKARA, DISTRICT KOLLAM, PIN - 691531, KERALA, INDIA | Jawahar Navodaya Vidyalaya, Kollam which was started on 1-12-1994 is a residential co-educational institution. The Vidyalaya is located at Trikkannamangal, 4 kilometers away from Kottarakara, where ‘Kathakali’, the traditional art form of Kerala originated. It is a 21</t>
  </si>
  <si>
    <t>SIM185468</t>
  </si>
  <si>
    <t>18271107704</t>
  </si>
  <si>
    <t>NexGen</t>
  </si>
  <si>
    <t>NextGen</t>
  </si>
  <si>
    <t>SANSKRITI THE
GURUKUL</t>
  </si>
  <si>
    <t>Assam</t>
  </si>
  <si>
    <t>Tamilnadu S</t>
  </si>
  <si>
    <t>Admission for Class 9 will depend on the entrance examination in English, maths, Science and Hindi/Assamese, followed by an interview.</t>
  </si>
  <si>
    <t>SIM204618</t>
  </si>
  <si>
    <t>33300500314</t>
  </si>
  <si>
    <t>Marine terminus</t>
  </si>
  <si>
    <t>Sapphire</t>
  </si>
  <si>
    <t>SMT R P R HINDU
VIDYALAYA MATRIC
HR SEC</t>
  </si>
  <si>
    <t>Sa Vidya ya Vimuktaye – Providing the knowledge that liberates is the motto with which the first Hindu Vidyalaya was started by Vishva Hindu Vidya Kendra, in the year 1975 at Ellaiyaman koil street, West Mambalam, Chennai with just 7 students. Through the years, Vishva Hindu Vidya Kendra has grown like a big banyan tree under which there are 15 Schools spread all over Tamil Nadu, touching the lives of over 20,000 students. The students are ably guided by its committed and passionate team of teachers under the able leadership of Dr. Smt. Girija Seshadri and Sri. S. Vedantam Ji. Today, we have over 1 Lakh, Alumni, who bear the torch of Hindu Vidyalayas in all corners of the world, spreading the values, Patriotic Spirit and Social Commitment that VHVK stands for.</t>
  </si>
  <si>
    <t>SIM51810</t>
  </si>
  <si>
    <t>33120101304</t>
  </si>
  <si>
    <t>Eco-liq</t>
  </si>
  <si>
    <t>LAMARK24</t>
  </si>
  <si>
    <t>ST MARYS GIRLS
HR.SEC.SCHOOL</t>
  </si>
  <si>
    <t>In Sivagangai Stands Tall Among Other Schools In The Vicinity.</t>
  </si>
  <si>
    <t>SIM121305</t>
  </si>
  <si>
    <t>22070326104</t>
  </si>
  <si>
    <t>Mokcha -- the filter</t>
  </si>
  <si>
    <t>Dr Kalam
Science club 3</t>
  </si>
  <si>
    <t>GOVERNMENT
MULTIPURPOSE HR
SEC SCHOOL
BILASPUR</t>
  </si>
  <si>
    <t>Chhattisgarh</t>
  </si>
  <si>
    <t>School Education | Bilaspur | India</t>
  </si>
  <si>
    <t>Bilaspur district was constituted in year 1861 and followed by Bilaspur municipality in year 1867. Bilaspur district is not only famous in Chhattisgarh state but also in India due to its unique characteristics like rice quality, Kosa industry and its cultural background. Bilaspur district has a major contribution in the naming “Dhan Ka Katora” for the entire Chhattisgarh region.</t>
  </si>
  <si>
    <t>SIM169746</t>
  </si>
  <si>
    <t>34020307603</t>
  </si>
  <si>
    <t>Safewell: intelligent
borewell rescue
system</t>
  </si>
  <si>
    <t>AquaOrbit
Rescue</t>
  </si>
  <si>
    <t>ADITYA VIDYASHRAM
RESIDENTIAL SCHOOL</t>
  </si>
  <si>
    <t>Puducherry</t>
  </si>
  <si>
    <t>Aditya Vidyashram Hss - Poraiyur - Olavaikkal Pondicherry (Puducherry)</t>
  </si>
  <si>
    <t>Flat No.12-16 Om Sakthi nagar, Vazhudavoor Rd, Muthirapalayam, Pipdic Industrial Estate, Mettupalayam, Marie Oulgaret, Puducherry, 605009.</t>
  </si>
  <si>
    <t>SIM138727</t>
  </si>
  <si>
    <t>Conscious Crumple</t>
  </si>
  <si>
    <t>ECO Feel</t>
  </si>
  <si>
    <t>SIM172255</t>
  </si>
  <si>
    <t>29260706708</t>
  </si>
  <si>
    <t>Fertiliser Dispenser</t>
  </si>
  <si>
    <t>GJCMAHARAJA</t>
  </si>
  <si>
    <t>GJC BIFERTICATED
MAHARAJA HIGH
SCHOOL</t>
  </si>
  <si>
    <t>Government Junior College  Biferticated Maharaja - Ward-64 Mysuru (Karnataka)</t>
  </si>
  <si>
    <t>GOVERNMENT JUNIOR COLLEGE BIFERTICATED MAHARAJA - Ward-64 District Mysuru (Karnataka)</t>
  </si>
  <si>
    <t>SIM179483</t>
  </si>
  <si>
    <t>23320302440</t>
  </si>
  <si>
    <t>Stray Shield</t>
  </si>
  <si>
    <t>Thrill</t>
  </si>
  <si>
    <t>SAGAR PUBLIC
SCHOOL ROHIT
NAGAR BRANCH
BHOPAL</t>
  </si>
  <si>
    <t>SIM01803</t>
  </si>
  <si>
    <t>23271200517</t>
  </si>
  <si>
    <t>Advance Drainage
System</t>
  </si>
  <si>
    <t>Smart Disaster
Warriors</t>
  </si>
  <si>
    <t>PARAMOUNT
ACADEMY KASRAWAD</t>
  </si>
  <si>
    <t>SIM00300</t>
  </si>
  <si>
    <t>03180104703</t>
  </si>
  <si>
    <t>Automated pothole
detector</t>
  </si>
  <si>
    <t>TechCreators</t>
  </si>
  <si>
    <t>THE GURUKUL</t>
  </si>
  <si>
    <t>Punjab</t>
  </si>
  <si>
    <t>004 - PUNJABI</t>
  </si>
  <si>
    <t>SIM92480</t>
  </si>
  <si>
    <t>28142990321</t>
  </si>
  <si>
    <t>Clothes protection
from rains</t>
  </si>
  <si>
    <t>Enistens
power</t>
  </si>
  <si>
    <t>ZILLA PARISHAD
GIRLS HIGH SCHOOL
DOWLESWARAM</t>
  </si>
  <si>
    <t>Andhra
Pradesh</t>
  </si>
  <si>
    <t>Zphs Dowlaiswaram - Dowleswaram East Godavari (Andhra Pradesh)</t>
  </si>
  <si>
    <t>ZPHS DOWLAISWARAM was established in 1935 and it is managed by the Local body. It is located in Rural area. It is located in RAJAHMUNDRY(RURAL) block of EAST GODAVARI district of ANDHRA PRADESH. The school consists of Grades from 6 to 10. The school is Boys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</si>
  <si>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SIM198465</t>
  </si>
  <si>
    <t>070803DC801</t>
  </si>
  <si>
    <t>Thriwe- tree hub and
renewable integrated
wave energy</t>
  </si>
  <si>
    <t>Team THRIVE</t>
  </si>
  <si>
    <t>ARMY PUBLIC SCHOOL
DHAULA KUAN</t>
  </si>
  <si>
    <t>3rd Prize at the prestigious *9th National Skill Championship 2025 held at IIT Delhi!* Talented Participants: Happy (Class 10 B) ,Ankolika (Class 11) Anshika Sanawar (Class 12 E), Ayush (Class 11), Pritika Bhal (Class 12 E) Mentor: Ms. Himanshee Shukla</t>
  </si>
  <si>
    <t>SIM40327</t>
  </si>
  <si>
    <t>07060214904</t>
  </si>
  <si>
    <t>Eco air defender:
healthy skies, no more
lies; eco air defender,
watch us rise!</t>
  </si>
  <si>
    <t>Aero Chill</t>
  </si>
  <si>
    <t>SALWAN BOYS SENIOR
SECONDARY SCHOOL</t>
  </si>
  <si>
    <t>Pack - ₹ 6,999</t>
  </si>
  <si>
    <t>Salwan Boys Sr. Sec. School, New Rajinder Nagar, New Delhi - 149-rajinder Nagar District Central Delhi (Delhi)</t>
  </si>
  <si>
    <t>SIM176084</t>
  </si>
  <si>
    <t>29260806603</t>
  </si>
  <si>
    <t>Vertical Wind Mill</t>
  </si>
  <si>
    <t>Avishkara</t>
  </si>
  <si>
    <t>GOVERNMENT HIGH
SCHOOL HANCHYA</t>
  </si>
  <si>
    <t>Government High School Hanchya - Hanchya Mysuru (Karnataka)</t>
  </si>
  <si>
    <t>GOVERNMENT HIGH SCHOOL HANCHYA was established in 1993 and it is managed by the Department of Education. It is located in Rural area. It is located in MYSORE RURAL block of MYSURU district of Karnataka. The school consists of Grades from 9 to 10.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</si>
  <si>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SIM184142</t>
  </si>
  <si>
    <t>03180219405</t>
  </si>
  <si>
    <t>Hydrogreenx</t>
  </si>
  <si>
    <t>HydroGreenX</t>
  </si>
  <si>
    <t>LEARNING PATHS
SCHOOL</t>
  </si>
  <si>
    <t>Sec 67, Mohali, (Punjab) India, | Learning Paths School, originally established as The Millennium School in Sector 67, Mohali, began its journey on April 7, 2008, with 150 students and 16 dedicated teachers under the leadership of Principal Mrs. Komal Singh. By 2010, the school earned CBSE affiliation, marking a significant milestone. In 2012, the school celebrated its first batch of Board exam results, showcasing outstanding academic performance. The same year, it received the prestigious International School Award and an ‘Award of Honour’ from the Punjab Pollution Control Board.</t>
  </si>
  <si>
    <t>SIM211061</t>
  </si>
  <si>
    <t>08122802119</t>
  </si>
  <si>
    <t>Sahayaka',ambulance
at your doorstep.</t>
  </si>
  <si>
    <t>JPITES Ananya
Vihaan</t>
  </si>
  <si>
    <t>JAYSHREE PERIWAL
HIGH SCHOOL</t>
  </si>
  <si>
    <t>Jaipur &amp; Reached Till Quarter Finals.</t>
  </si>
  <si>
    <t>Secured All India Rank 31 in the prestigious NEET-2020 and holds the distinction of being the Rajasthan State Topper in that category.</t>
  </si>
  <si>
    <t>SIM224301</t>
  </si>
  <si>
    <t>32080701404</t>
  </si>
  <si>
    <t>Artifical Photosythesis
to Turn Factory
Emissions into Energy</t>
  </si>
  <si>
    <t>ZERO
EMMISSION</t>
  </si>
  <si>
    <t>MAR ELIAS HSS
KOTTAPPADY</t>
  </si>
  <si>
    <t>Mar Elias Hss | Ernakulam Website | India</t>
  </si>
  <si>
    <t>MAR ELIAS HSS KOTTAPPADY was established in 1941 and it is managed by the Pvt. Aided. It is located in Rural area. It is located in KOTHAMANGALAM block of ERNAKULAM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</si>
  <si>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SIM191530</t>
  </si>
  <si>
    <t>33281302408</t>
  </si>
  <si>
    <t>Tide against Trash</t>
  </si>
  <si>
    <t>OCEAN
PROTECTORS</t>
  </si>
  <si>
    <t>BMC MATRIC HR SEC
SCHOOL</t>
  </si>
  <si>
    <t>Bmc. Matric Hr.Sec.S. - Meelavitan I Thoothukkudi (Tamil Nadu)</t>
  </si>
  <si>
    <t>BMC. MATRIC HR.SEC.S. was established in 1996 and it is managed by the Pvt. Unaided. It is located in Rural area. It is located in THOOTHUKUDI RURAL block of THOOTHUKKUDI district of Tamil Nadu. The school consists of Grades from 1 to 12. The school is Co-educational and it have an attached pre-primary section. The school is N/A in nature and is not using school building as a shift-school. English is the medium of instructions in this school. This school is approachable by all weather road. In this school academic session starts in April.</t>
  </si>
  <si>
    <t>SIM206871</t>
  </si>
  <si>
    <t>07070305706</t>
  </si>
  <si>
    <t>RPG-rehabilitation
power glove</t>
  </si>
  <si>
    <t>RPG
REHABILITAT
ION POWER
GLOVE</t>
  </si>
  <si>
    <t>NEO CONVENT SENIOR
SECONDARY SCHOOL</t>
  </si>
  <si>
    <t>1St Position In North Tae-Kwon-Do Championship</t>
  </si>
  <si>
    <t>2nd Position in Cricket Delhi State School Games 2024 | The School was recognized by Delhi Administration and by M.C.D in 1976. Upgradation for Senior Secondary stage was granted by Delhi Administration in 1992. The school is affiliated with CBSE up to Senior Secondary level.</t>
  </si>
  <si>
    <t>SIM01992</t>
  </si>
  <si>
    <t>Sunchaser with self-
cleaning and sun
tracking</t>
  </si>
  <si>
    <t>DK
CHALLENGER</t>
  </si>
  <si>
    <t>SIM201992</t>
  </si>
  <si>
    <t>070509ND301</t>
  </si>
  <si>
    <t>AI-powered
thermographic medical
device for early
detection and risk
assessment of diabetic
foot ulcers</t>
  </si>
  <si>
    <t>Cloudispy</t>
  </si>
  <si>
    <t>DR RAJENDRA PRASAD
KENDRIYA VIDYALAYA</t>
  </si>
  <si>
    <t>Inception- Nestled in one of the greenest picturesque areas of the city, the prestigious education institute was started in the fall of 1946 as a primary school. On June 12, 2019, the President Secretariat passed the orders to hand over the existing Sarvodaya Vidyalaya to the Kendriya Vidyalaya Sangathan ,considering its pan India character . Thus on June 26, 2019 ,Dr Rajendra Prasad Kendriya Vidyalaya was set up , under special project mode at President Estate ,Rashtrapati Bhavan, New Delhi. This Vidyalaya was converted from the existing Dr. Rajendra Prasad Sarvodaya Vidyalaya on ‘as is where’ basis under “Special Project Mode” with the objective of making it an institution of excellence.</t>
  </si>
  <si>
    <t>SIM185123</t>
  </si>
  <si>
    <t>24191307003</t>
  </si>
  <si>
    <t>Irrigo</t>
  </si>
  <si>
    <t>Fusion Force</t>
  </si>
  <si>
    <t>CYGNUS WORLD
SCHOOL</t>
  </si>
  <si>
    <t>Address : Cygnus World School Campus, Nr. Motnath Mahadev Temple, Harni Road, Vadodara - 390 022 Gujarat, India</t>
  </si>
  <si>
    <t>SIM217974</t>
  </si>
  <si>
    <t>06180107358</t>
  </si>
  <si>
    <t>Glossa: The Sign
Language Converter</t>
  </si>
  <si>
    <t>TechSeekers</t>
  </si>
  <si>
    <t>COLONELS CENTRAL
ACADEMY</t>
  </si>
  <si>
    <t>Browse By</t>
  </si>
  <si>
    <t>is a Senior Secondary, affiliated to CBSE. Affiliation ID is 530142. Address of the school is: No.5 Sector-4 Urban Estate Gurgaon Haryana. PIN Code: 122006. Email address of the school is ccaschool.gurgaon@gmail.com. The school is being managed by The Scientific Educational Advancement Society.</t>
  </si>
  <si>
    <t>SIM227603</t>
  </si>
  <si>
    <t>21280407201</t>
  </si>
  <si>
    <t>Prevention of knee
waist pain and
respiratory problems
of a farmers farming
smart tool</t>
  </si>
  <si>
    <t>Cleangreen</t>
  </si>
  <si>
    <t>GOVT UGHS
MAJHIDHANUA</t>
  </si>
  <si>
    <t>Odisha</t>
  </si>
  <si>
    <t>Ug High School Majhidhanua - Majhidhanua Nabarangpur (Orissa)</t>
  </si>
  <si>
    <t>Secondary Education serves as a bridge between elementary and higher education and prepares young person’s between the age group of 14-18 yrs for entry into higher education. The Directorate of Secondary Education, Odisha has been set up in the year 1983 to look into the Secondary Education in the State. The Director, Secondary Education, Odisha is the Administrative Authority for Secondary Schools under the School and Mass Education Department, Government of Odisha. The Centrally Sponsored Scheme Samagra Shiksha (SS) lends support in Access, Infrastructure and Quality enhancement. | As per Census 2011 population of Odisha is 4,19,74,218. Out of this the Rural population of Odisha is 3,49,70,562 and Urban population is 70,03,656. | This scheme has been revised as SCHEME FOR PROVIDING QUALITY EDUCATION IN MADRASA (SPQEM) by Govt. of India. The State Grant-in-Aid Committee headed by the Principal Secretary to Govt., S&amp;ME Department in its meeting dtd.09.02.10 has recommended proposal for Rs.2,16,81,899/- in respect of 98 new Madrasas, Rs.1,21,96,000/- for providing science Math, Kits, Computer lab and teachers training in favour of 172 Madrasa and Rs.5,00,000/- for Odisha State Board of Madrasa Education in order to monitor the scheme of providing quality education in Madrasas and strengthening Madrasa Board and submitted to Govt. of India vide this Deptt. L.No.9466 dt.04.06.2010.</t>
  </si>
  <si>
    <t>SIM229032</t>
  </si>
  <si>
    <t>33180104977</t>
  </si>
  <si>
    <t>Speed breaker
detection system</t>
  </si>
  <si>
    <t>Atchaya</t>
  </si>
  <si>
    <t>ARISTO PUBLIC
SCHOOL</t>
  </si>
  <si>
    <t>QQ42+94 Thirupathiripuliyur, Cuddalore, Tamil Nadu</t>
  </si>
  <si>
    <t>SIM222465</t>
  </si>
  <si>
    <t>09100311811</t>
  </si>
  <si>
    <t>Digirakshak: a smart
safety device for
women and children</t>
  </si>
  <si>
    <t>Digirakshak</t>
  </si>
  <si>
    <t>PRAGYAN SCHOOL
GAUTAM BUDDHA
NAGAR</t>
  </si>
  <si>
    <t>SIM218140</t>
  </si>
  <si>
    <t>28232801310</t>
  </si>
  <si>
    <t>Steroid detector</t>
  </si>
  <si>
    <t>DISCOVERY</t>
  </si>
  <si>
    <t>SHLOKA A BIRLA
SCHOOL</t>
  </si>
  <si>
    <t>SIM02751</t>
  </si>
  <si>
    <t>22090500903</t>
  </si>
  <si>
    <t>Cow Dung Peaker</t>
  </si>
  <si>
    <t>PRITHVI</t>
  </si>
  <si>
    <t>GOVERNMENT
HIGHER SECONDARY
SCHOOL BIJEBHATHA</t>
  </si>
  <si>
    <t>Govt. H.S.S. Bijebhatha - Bijebhatha Rajnandgaon (Chhattisgarh)</t>
  </si>
  <si>
    <t>GOVT. H.S.S. BIJEBHATHA was established in 1965 and it is managed by the Department of Education. It is located in Rural area. It is located in DONGARGAON block of RAJNANDGAON district of Chhattisgarh. The school consists of Grades from 9 to 12. The school is Co-educational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</si>
  <si>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SIM04903</t>
  </si>
  <si>
    <t>22090201723</t>
  </si>
  <si>
    <t>Automatic Upper
Dipper Light Control
System</t>
  </si>
  <si>
    <t>Swami
Vivekanand</t>
  </si>
  <si>
    <t>GBHSS A CHOWKI</t>
  </si>
  <si>
    <t>Mohla-Manpur- Ambagarh Chowki, Govt Of Chhattisgarh | Origin Of Shivnath | India</t>
  </si>
  <si>
    <t>came into existence on 2nd sep. 2022 by way of division of District Rajnandgaon. It is situated on the south west direction of Chhattisgarh state. The district headquarter is at Mohla. Mohla is 150km away from the state capital Raipur. Nearest airport to the district is at Swami Vivekanand Airport Raipur, about 170km away. In ancient time, the region was under chando(chandrapur) raj. In british rule period, there were 3 riyasats namely Koracha, Panabaras and Aamagarh. | District Mohla-Manpur- Ambagarh Chowki came into existence on 2nd sep. 2022 by way of division of District Rajnandgaon. It is situated on the south west direction of Chhattisgarh state. The district headquarter is at Mohla. Mohla is 150km away from the state capital Raipur. Nearest airport to the district is at Swami Vivekanand Airport Raipur, about 170km away. In ancient time, the region was under chando(chandrapur) raj. In british rule period, there were 3 riyasats namely Koracha, Panabaras and Aamagarh.</t>
  </si>
  <si>
    <t>SIM02396</t>
  </si>
  <si>
    <t>24191302606</t>
  </si>
  <si>
    <t>Hashira by demons
slayer</t>
  </si>
  <si>
    <t>DEMON
SLAYER</t>
  </si>
  <si>
    <t>BARODA HIGH
SCHOOL ALKAPURI</t>
  </si>
  <si>
    <t>Aug’1974 by Baroda Lions Club educational Trust, a registered Charitable Trust. Demand for good English medium schools had considerably increased with a result that when the Government of Gujarat allotted a plot of land in the alkapuri area, the journey of Baroda High School, Alkapuri Jr-2 began…</t>
  </si>
  <si>
    <t>SIM84084</t>
  </si>
  <si>
    <t>29200900439</t>
  </si>
  <si>
    <t>Automated Sensing
System</t>
  </si>
  <si>
    <t>CULTURAL
HERITAGE</t>
  </si>
  <si>
    <t>BGS NATIONAL
PUBLIC SCHOOL</t>
  </si>
  <si>
    <t>Ramalingeshwara Cave Temple, Hulimavu, Bannerghatta Road, Bengaluru – 560076, Karnataka, INDIA. | is running over 500 educational units across India including Medical and Engineering colleges. BGS National Public School affiliated to CBSE (Affiliation No. 830209) is one of the units of Sri Adichunchanagiri Shikshana Trust, Bangalore, Karnataka located in Hulimavu, Bannerghatta Road. It started functioning from 22nd June 2006 and has classes up to 12 Std. | Bangalore – 560 076, Karnataka, INDIA</t>
  </si>
  <si>
    <t>SIM191391</t>
  </si>
  <si>
    <t>29200110309</t>
  </si>
  <si>
    <t>Solar Reflective Panel</t>
  </si>
  <si>
    <t>Mind Benders</t>
  </si>
  <si>
    <t>RASHTROTTHANA
VIDYA KENDRA
BANGALORE URBAN</t>
  </si>
  <si>
    <t>(18 Prakalpas (Projects) and 35 activities) across Karnataka and has touched the lives of millions of people. Rashtrotthana Parishat strives to create a strong, united and prosperous Nation while upholding the distinctive culture and character of India and its people. | with the vision to create a healthy and sustainable society. We work in various fields such as education, health, service, publications and environment. The organization has a network of over 50 initiatives (18 Prakalpas (Projects) and 35 activities) across Karnataka and has touched the lives of millions of people. Rashtrotthana Parishat strives to create a strong, united and prosperous Nation while upholding the distinctive culture and character of India and its people. | (18 Prakalpas (Projects) and 35 activities) across Karnataka and has touched the lives of millions of people.</t>
  </si>
  <si>
    <t>SIM196019</t>
  </si>
  <si>
    <t>29260407901</t>
  </si>
  <si>
    <t>Modified Fruit Plucker</t>
  </si>
  <si>
    <t>Bose</t>
  </si>
  <si>
    <t>PM SHRI GHPS
BILIKERE</t>
  </si>
  <si>
    <t>Overview</t>
  </si>
  <si>
    <t>Regarding consideration of qualifying service for pension benefit under Rule 247A of Karnataka Civil Service Rules for Government employees covered under the previous pension scheme</t>
  </si>
  <si>
    <t>SIM35572</t>
  </si>
  <si>
    <t>32141001204</t>
  </si>
  <si>
    <t>Smart Drip</t>
  </si>
  <si>
    <t>Creativity</t>
  </si>
  <si>
    <t>KENDRIYA VIDYALAYA
PATTOM SHIFT 1</t>
  </si>
  <si>
    <t>Kendriya Vidyalaya,Kollam Ramankulangara,Kavanad P.O.,Kollam , Pin - 691 003 Kerala (State)</t>
  </si>
  <si>
    <t>SIM188993</t>
  </si>
  <si>
    <t>32070904001</t>
  </si>
  <si>
    <t>Pre-Sterilised
Substrate for Oyster
Mushroom Cultivation</t>
  </si>
  <si>
    <t>SOLUTION
FINDERS</t>
  </si>
  <si>
    <t>SCGHSS KOTTAKKAL
MALA</t>
  </si>
  <si>
    <t>Soccorso Cghs Kottakkal Mala - Vadama-11 Thrissur (Kerala)</t>
  </si>
  <si>
    <t>SOCCORSO CGHS KOTTAKKAL MALA - Vadama-11 District Thrissur (Kerala)</t>
  </si>
  <si>
    <t>SIM210180</t>
  </si>
  <si>
    <t>32130500103</t>
  </si>
  <si>
    <t>Eco Press:
Transforming Plastic
Waste Disposal</t>
  </si>
  <si>
    <t>Vision
ventures</t>
  </si>
  <si>
    <t>BHSS
KARUNAGAPPALLY</t>
  </si>
  <si>
    <t>Boy'S Hss Karunagappally - Ayanivelikulangara Kollam (Kerala)</t>
  </si>
  <si>
    <t>BOY'S HSS KARUNAGAPPALLY was established in 1916 and it is managed by the Pvt. Aided. It is located in Urban area. It is located in KARUNAGAPPALLY block of KOLLAM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</si>
  <si>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SIM45717</t>
  </si>
  <si>
    <t>32080104316</t>
  </si>
  <si>
    <t>Cropixs</t>
  </si>
  <si>
    <t>Algorithm
Avengers</t>
  </si>
  <si>
    <t>RAJAGIRI PUBLIC
SCHOOL ERNAKULAM</t>
  </si>
  <si>
    <t>SIM96611</t>
  </si>
  <si>
    <t>32141001217</t>
  </si>
  <si>
    <t>Neurocheck</t>
  </si>
  <si>
    <t>NeuroCheck</t>
  </si>
  <si>
    <t>ST THOMAS CENTRAL
SCHOOL
MUKKOLAKKAL
THIRUVANANTHAPUR
AM</t>
  </si>
  <si>
    <t>1966 establishments in Kerala</t>
  </si>
  <si>
    <t>SIM185277</t>
  </si>
  <si>
    <t>23130732701</t>
  </si>
  <si>
    <t>Portable Electric
Power Tilling Machine</t>
  </si>
  <si>
    <t>VIRAT</t>
  </si>
  <si>
    <t>SARASWATI HR SEC
SCHOOL KRISHN
NAGAR SATNA</t>
  </si>
  <si>
    <t>Saraswati Hss  - Krishna Nagar Satna W 20 Satna (Madhya Pradesh)</t>
  </si>
  <si>
    <t>SARASWATI HSS - Krishna Nagar Satna W 20 District Satna (Madhya Pradesh)</t>
  </si>
  <si>
    <t>SIM220295</t>
  </si>
  <si>
    <t>27091508012</t>
  </si>
  <si>
    <t>Smart Agriculture
Using Arduino Uno and
Other Sensors</t>
  </si>
  <si>
    <t>BHIDE HIGH
SCHOOL</t>
  </si>
  <si>
    <t>BHIDE GIRLS HIGH
SCHOOL AND JUNIOR
COLLEGE</t>
  </si>
  <si>
    <t>Bhide Girls High Sch /Jr Co - Sitaburdi Nagpur (Maharashtra)</t>
  </si>
  <si>
    <t>BHIDE GIRLS HIGH SCH /JR CO was established in 1878 and it is managed by the Pvt. Aided. It is located in Urban area. It is located in URC 2 block of NAGPUR district of Maharashtra. The school consists of Grades from 5 to 12. The school is Girls and it doesn't have an attached pre-primary section. The school is N/A in nature and is not using school building as a shift-school. Marathi is the medium of instructions in this school. This school is approachable by all weather road. In this school academic session starts in April.</t>
  </si>
  <si>
    <t>SIM01637</t>
  </si>
  <si>
    <t>27351002430</t>
  </si>
  <si>
    <t>Smart Farm</t>
  </si>
  <si>
    <t>THE ADARSH
GANG</t>
  </si>
  <si>
    <t>PODAR
INTERNATIONAL
SCHOOL SANGLI</t>
  </si>
  <si>
    <t>Through the Podar Innovation center, 80+ academicians have come together to create a curriculum and content based on the guidelines of various boards including CBSE, ICSE, CAIE and the Maharashtra State Board. Apart from offering a strong syllabus and curriculum, the PIC also offers facilities and programs such as remedial learning that help teachers in assisting students to cope with difficult concepts, symphonic, math gym, math lab and life skills that are appropriate for their future and help them in becoming independent.</t>
  </si>
  <si>
    <t>SIM05883</t>
  </si>
  <si>
    <t>27040701404</t>
  </si>
  <si>
    <t>White Groups Or
Humani Ali Destroyer</t>
  </si>
  <si>
    <t>Team Creator</t>
  </si>
  <si>
    <t>D E S HIGH SCHOOL
AND JR COLLEGE
DATALA</t>
  </si>
  <si>
    <t>D.E.S. High Sch, Datala | Buldhana, Government Of Maharashtra | India</t>
  </si>
  <si>
    <t>D.E.S. HIGH SCH, DATALA was established in 1953 and it is managed by the Pvt. Aided. It is located in Rural area. It is located in MALAKAPUR block of BULDANA district of Maharashtra. The school consists of Grades from 5 to 12. The school is Co-educational and it doesn't have an attached pre-primary section. The school is N/A in nature and is not using school building as a shift-school. Marathi is the medium of instructions in this school. This school is approachable by all weather road. In this school academic session starts in April.</t>
  </si>
  <si>
    <t>SIM46737</t>
  </si>
  <si>
    <t>08122801418</t>
  </si>
  <si>
    <t>Smart dustbin</t>
  </si>
  <si>
    <t>SMART MINDS</t>
  </si>
  <si>
    <t>SANSKAR SCHOOL</t>
  </si>
  <si>
    <t>SIM04738</t>
  </si>
  <si>
    <t>33260612797</t>
  </si>
  <si>
    <t>Hydroponics fodder
system for cow</t>
  </si>
  <si>
    <t>SRV KINGS</t>
  </si>
  <si>
    <t>SRI RAMANA
VIDYALAYA
MONTESSORI MAT HSS</t>
  </si>
  <si>
    <t>SIM189155</t>
  </si>
  <si>
    <t>33120501528</t>
  </si>
  <si>
    <t>Disaster management:
fire fighter</t>
  </si>
  <si>
    <t>Fire warriors</t>
  </si>
  <si>
    <t>THE NGP SCHOOL</t>
  </si>
  <si>
    <t>. The Government of Tamil Nadu by an act of legislature have established the Tamil Nadu Teachers Education University in the State of TamilNadu for promoting excellence in Teachers education with effect from 01.07.2008. Our College is presently affiliated to the Tamil Nadu Teachers Education University. National Council for Teacher Education (NCTE) has accorded its recognition by order no: F:TNSEC/SRO/NCTE/2005-2006/841 dated 13.07.2005. APS04303 (CODE No.) | The Government of Tamil Nadu by an act of legislature have established the Tamil Nadu Teachers Education University in the State of TamilNadu for promoting excellence in Teachers education with effect from 01.07.2008. Our College is presently affiliated to the Tamil Nadu Teachers Education University. National Council for Teacher Education (NCTE) has accorded its recognition by order no: F:TNSEC/SRO/NCTE/2005-2006/841 dated 13.07.2005. APS04303 (CODE No.)</t>
  </si>
  <si>
    <t>SIM106251</t>
  </si>
  <si>
    <t>36220390136</t>
  </si>
  <si>
    <t>Crop moisture detect
automatic agriculture
motor on and off
system</t>
  </si>
  <si>
    <t>Abdul Kalam
team</t>
  </si>
  <si>
    <t>GEETANJALI HIGH
SCHOOL</t>
  </si>
  <si>
    <t>Old Arunachaleshwara School Campus, Gouthamnagar, Old Kothagudem, Badradri Kothagudem</t>
  </si>
  <si>
    <t>58, Mayuri Marg, Mayur Marg, Begumpet, Hyderabad, Telangana 500016, India</t>
  </si>
  <si>
    <t>SIM156255</t>
  </si>
  <si>
    <t>07080316702</t>
  </si>
  <si>
    <t>Neer-Rakshak</t>
  </si>
  <si>
    <t>Team
Neerakshak</t>
  </si>
  <si>
    <t>DELHI PUBLIC
SCHOOL RK PURAM</t>
  </si>
  <si>
    <t>Of</t>
  </si>
  <si>
    <t>. It was founded in 1972 and was the second Delhi Public School to be established after | Delhi Public School R.K. Puram is one of the most prestigious schools in India. Founded as a Public School in 1972 in New Delhi, it is a private institution run by the Delhi Public School Society.</t>
  </si>
  <si>
    <t>SIM00555</t>
  </si>
  <si>
    <t>Water sprinkler
irrigation robot</t>
  </si>
  <si>
    <t>THE
ACHIEVERS</t>
  </si>
  <si>
    <t>SIM64105</t>
  </si>
  <si>
    <t>06180105815</t>
  </si>
  <si>
    <t>Pneumatic Engine</t>
  </si>
  <si>
    <t>Pneumatic
Engineers</t>
  </si>
  <si>
    <t>DELHI PUBLIC
SCHOOL GURGAON</t>
  </si>
  <si>
    <t>Award For Best Teaching Practices By The Administration, Gurugram On 26</t>
  </si>
  <si>
    <t>Ranked #1 in Haryana and Ranked #1 in Gurugram under the category – ‘Mental &amp; Emotional Well-Being Services’ by North India Schools Merit Awards 2024-25 – Education Today on 30th August</t>
  </si>
  <si>
    <t>SIM176061</t>
  </si>
  <si>
    <t>29210430804</t>
  </si>
  <si>
    <t>Fume Fighters
(Automatic Gas
Detector)</t>
  </si>
  <si>
    <t>FUME
FIGHTERS</t>
  </si>
  <si>
    <t>SRI VIVEKANANDA
VIDYA KENDR</t>
  </si>
  <si>
    <t>Sri Ramakrishna Road, Sir M V Extension, Hoskote,Bengaluru Rural –  562114,  Karnataka .</t>
  </si>
  <si>
    <t>Sri Ramakrishna Road, Sir M V Extension, Hoskote,Bengaluru Rural District– 562114, Karnataka .</t>
  </si>
  <si>
    <t>SIM142565</t>
  </si>
  <si>
    <t>08122704716</t>
  </si>
  <si>
    <t>Pet amicus</t>
  </si>
  <si>
    <t>PET AMICUS</t>
  </si>
  <si>
    <t>BVP VIDYASHRAM
PRATAP NAGAR
JAIPUR</t>
  </si>
  <si>
    <t>SIM128266</t>
  </si>
  <si>
    <t>28132991173</t>
  </si>
  <si>
    <t>Automatic street light</t>
  </si>
  <si>
    <t>Thinkers</t>
  </si>
  <si>
    <t>SRI SARADA VIDYA
NILAYAM</t>
  </si>
  <si>
    <t>SIM142833</t>
  </si>
  <si>
    <t>22110429704</t>
  </si>
  <si>
    <t>Watt wise- the
electricity saver</t>
  </si>
  <si>
    <t>Watt Wise</t>
  </si>
  <si>
    <t>R K SARDA VIDYA
ASHRAM</t>
  </si>
  <si>
    <t>Yes (Education Office, Raipur Chhattisgarh)</t>
  </si>
  <si>
    <t>Top 5 CBSE School, Best Academic School Raipur Chhattisgarh | Our Inspiration - Top 10 CBSE School Raipur Chhattisgarh | Chairman's Message - Top 10 CBSE School Raipur Chhattisgarh | Chairperson SMC Message - Top 10 CBSE School Raipur Chhattisgarh | Principal's Message - Top 10 CBSE School Raipur Chhattisgarh | Administration - Top 10 CBSE School Raipur Chhattisgarh | Vision &amp; Mission - Top 10 CBSE School Raipur Chhattisgarh | Our Core Beliefs - Top 10 CBSE School Raipur Chhattisgarh | About RKSVA - Top 10 CBSE School Raipur Chhattisgarh | Annual Report - Top 10 CBSE School Raipur Chhattisgarh | School Managing Committee - Top 10 CBSE School Raipur Chhattisgarh</t>
  </si>
  <si>
    <t>SIM44959</t>
  </si>
  <si>
    <t>01041801201</t>
  </si>
  <si>
    <t>Apple Harvester</t>
  </si>
  <si>
    <t>NR Baba
inovators</t>
  </si>
  <si>
    <t>BMS NR BABA</t>
  </si>
  <si>
    <t>Panchayat Registered In Kupwara</t>
  </si>
  <si>
    <t>SIM15049</t>
  </si>
  <si>
    <t>01040102206</t>
  </si>
  <si>
    <t>Automatic Snow
Detection and Cleaning
System for Roof Tops</t>
  </si>
  <si>
    <t>Initiators</t>
  </si>
  <si>
    <t>GOVT BOYS HIGHER
SECONDARY SCHOOL
BUDGAM</t>
  </si>
  <si>
    <t>Education | Budgam , Government Of Jammu &amp; Kashmir | India</t>
  </si>
  <si>
    <t>GOVT. BOYS HIGH SCHOOL HUMHAMA - Humhama Ward No 33 District Badgam (Jammu And Kashmir)</t>
  </si>
  <si>
    <t>SIM203403</t>
  </si>
  <si>
    <t>20140113716</t>
  </si>
  <si>
    <t>Smart Safety Helmet</t>
  </si>
  <si>
    <t>Vitality Group</t>
  </si>
  <si>
    <t>DAV PUBLIC SCHOOL
GANDHI NAGAR
RANCHI</t>
  </si>
  <si>
    <t>Jharkhand</t>
  </si>
  <si>
    <t>Dav Public School, Gandhi Nagar, Ccl,Racnhi - Ward No-17 Ranchi (Jharkhand)</t>
  </si>
  <si>
    <t>DAV PUBLIC SCHOOL, GANDHI NAGAR, CCL,RACNHI - Ward No-17 District Ranchi (Jharkhand)</t>
  </si>
  <si>
    <t>SIM06520</t>
  </si>
  <si>
    <t>29150426405</t>
  </si>
  <si>
    <t>Farmer Friendly
Agricultural
Equipment</t>
  </si>
  <si>
    <t>indian
scientist</t>
  </si>
  <si>
    <t>MORARJI DESAI RES
SCHOOL
CHURCHIGUNDI</t>
  </si>
  <si>
    <t>Murarji Desai Res.School Churchagundi - Shikaripur Ward 10 Shivamogga (Karnataka)</t>
  </si>
  <si>
    <t>MURARJI DESAI RES.SCHOOL CHURCHAGUNDI - Shikaripur Ward 10 District Shivamogga (Karnataka)</t>
  </si>
  <si>
    <t>SIM187655</t>
  </si>
  <si>
    <t>08170304509</t>
  </si>
  <si>
    <t>Smart glasses.stic and
with cap for blind
people</t>
  </si>
  <si>
    <t>Aman avm</t>
  </si>
  <si>
    <t>ADARSH VIDYA
MANDIR SENIOR
SECONDARY
MAJIWALA</t>
  </si>
  <si>
    <t>Bhartiy Adarsh Vidhya Mandir   - Majiwala Barmer (Rajasthan)</t>
  </si>
  <si>
    <t>BHARTIY ADARSH VIDHYA MANDIR was established in 1995 and it is managed by the Pvt. Unaided. It is located in Rural area. It is located in BALOTRA block of BARMER district of Rajasthan. The school consists of Grades from 1 to 12. The school is Co-educational and it have an attached pre-primary section. The school is Not Applicable in nature and is not using school building as a shift-school. Hindi is the medium of instructions in this school. This school is approachable by all weather road. In this school academic session starts in April.</t>
  </si>
  <si>
    <t>SIM35525</t>
  </si>
  <si>
    <t>33101503209</t>
  </si>
  <si>
    <t>Smart home
automation</t>
  </si>
  <si>
    <t>Lotus</t>
  </si>
  <si>
    <t>GMHSS,SEENAPURAM</t>
  </si>
  <si>
    <t>Government Higher Secondary School, Seenapuram - Seenapuram Erode (Tamil Nadu)</t>
  </si>
  <si>
    <t>GOVERNMENT HIGHER SECONDARY SCHOOL, SEENAPURAM was established in 1998 and it is managed by the Department of Education. It is located in Rural area. It is located in PERUNDURAI block of ERODE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</si>
  <si>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SIM158612</t>
  </si>
  <si>
    <t>36220891186</t>
  </si>
  <si>
    <t>Kids smart watch</t>
  </si>
  <si>
    <t>RHSSAM002</t>
  </si>
  <si>
    <t>RADIANT HIGH
SCHOOL</t>
  </si>
  <si>
    <t>Radiant High School,  - Musheerbad Hyderabad (Telangana)</t>
  </si>
  <si>
    <t>RADIANT HIGH SCHOOL, was established in 1964 and it is managed by the Pvt. Unaided. It is located in Urban area. It is located in MUSHEERABAD block of HYDERABAD district of Telangana. The school consists of Grades from 8 to 10.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</si>
  <si>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SIM36877</t>
  </si>
  <si>
    <t>36210200811</t>
  </si>
  <si>
    <t>Hydronex - the
aquaponic revolution</t>
  </si>
  <si>
    <t>Siddharth and
team</t>
  </si>
  <si>
    <t>DELHI PUBLIC
SCHOOL</t>
  </si>
  <si>
    <t>Dps Nadergul, Survey No.469/1,Nadergul Village, Ranga Reddy , Ranga Reddy, - 501510</t>
  </si>
  <si>
    <t># 1-1-114/12, adjacent to Telangana Chowrasta, near Waddepally Registration Office, Chaitanyapuri Colony, Hanamkonda, Telangana, 506004</t>
  </si>
  <si>
    <t>SIM188288</t>
  </si>
  <si>
    <t>05050608314</t>
  </si>
  <si>
    <t>Ecosmart glide scooter</t>
  </si>
  <si>
    <t>CYCLE RIDER</t>
  </si>
  <si>
    <t>KENDRIYA VIDYALAYA
RAIWALA</t>
  </si>
  <si>
    <t>Uttarakhand</t>
  </si>
  <si>
    <t>PRINCIPAL KENDRIYA VIDYALAYA RAIWALA, DEHRADUN 249205 UTTARAKHAND</t>
  </si>
  <si>
    <t>SIM122379</t>
  </si>
  <si>
    <t>28122400904</t>
  </si>
  <si>
    <t>Low cost winnowing
unit</t>
  </si>
  <si>
    <t>APJ
ABDHULKALA
M TEAM</t>
  </si>
  <si>
    <t>ZPHS
KONDAVELAGADA</t>
  </si>
  <si>
    <t>Zphs K Velagada - Chandrampeta Vizianagaram (Andhra Pradesh)</t>
  </si>
  <si>
    <t>ZPHS K VELAGADA was established in 1991 and it is managed by the Local body. It is located in Rural area. It is located in NELLIMARLA block of VIZIANAGARAM district of ANDHRA PRADESH.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</si>
  <si>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SIM139991</t>
  </si>
  <si>
    <t>22172500910</t>
  </si>
  <si>
    <t>Kisan Sahayak Yantra</t>
  </si>
  <si>
    <t>SChandrashek
har2</t>
  </si>
  <si>
    <t>GOVT MODEL HR SEC
SCHOOL PHARASGAON</t>
  </si>
  <si>
    <t>Govt. Higher Secondary School Pharasgaon - Pharasgaon Kondagaon (Chhattisgarh)</t>
  </si>
  <si>
    <t>GOVT. HIGHER SECONDARY SCHOOL PHARASGAON was established in 1965 and it is managed by the Department of Education. It is located in Urban area. It is located in PHARASGAON block of KONDAGAON district of Chhattisgarh. The school consists of Grades from 9 to 12. The school is Co-educational and it doesn't have an attached pre-primary section. The school is Not Applicable in nature and is not using school building as a shift-school. Hindi is the medium of instructions in this school. This school is approachable by all weather road. In this school academic session starts in April.</t>
  </si>
  <si>
    <t>SIM07363</t>
  </si>
  <si>
    <t>29031400123</t>
  </si>
  <si>
    <t>Capture - Culprit
Acquiring Photo
Taking Ultimate
Raspberry Pi Epitome</t>
  </si>
  <si>
    <t>Trailblazers</t>
  </si>
  <si>
    <t>SAINIK SCHOOL
BIJAPUR</t>
  </si>
  <si>
    <t>Vijayapura Of Karnataka</t>
  </si>
  <si>
    <t>Sainik School Bijapur offers admission for both boys and girls in Class 6 and Class 9. For Class 6, there are 108 seats for boys and 12 seats for girls. In Class 9, 23 seats are allocated for boys and 3 for girls. The school also maintains a balance between local and out-of-state students. In Class 6, 78 seats are reserved for students from Karnataka (home state), while 42 seats are for students from other states. Similarly, for Class 9, 18 seats are for Karnataka students and 8 for other states. This diverse intake ensures a rich learning environment, promoting national integration and equal opportunities for students from various backgrounds. Complete</t>
  </si>
  <si>
    <t>SIM97222</t>
  </si>
  <si>
    <t>29280700149</t>
  </si>
  <si>
    <t>Smart Fertilizer
Sprayer Rover</t>
  </si>
  <si>
    <t>Inspired
Minds</t>
  </si>
  <si>
    <t>KENDRIYA VIDYALAYA
RAIL WHEEL FACTORY</t>
  </si>
  <si>
    <t>S Of India</t>
  </si>
  <si>
    <t>KVS Bangalore Region and PMSHRI KV 1 Jalahalli is very proud of Mr Ashok Sengupta , PGT (CS) of the Vidyalaya for contributions to the field of butterfly research and environmentalism. The discovery of a new butterfly species, the Conjoined Silverline, in the Western Ghats of Karnataka is a significant achievement. | Kendriya Vidyalaya Sangathan is an autonomous body functioning under the Ministry of Human Resource Development, Govt. of India. Since its inception in 1965, the Kendriya Vidyalayas (Central Schools) have come to be known as centres of excellence in the field of school education promoting national integration and a sense of INDIANNESS among the children while ensuring their total personality development and academic excellence. KVS, BENGALURU REGION is one among the 25 Regions that connects 52 Kendriya Vidyalayas (including 2nd shift in KV Malleswaram, Bengaluru) dotted on the landscape of Karnataka.</t>
  </si>
  <si>
    <t>SIM219356</t>
  </si>
  <si>
    <t>32131000909</t>
  </si>
  <si>
    <t>Black Pepper
Separating Machine</t>
  </si>
  <si>
    <t>STAR</t>
  </si>
  <si>
    <t>SNTHSS</t>
  </si>
  <si>
    <t>S.N.T.H.S.S Chathannoor - Chathannoor Kollam (Kerala)</t>
  </si>
  <si>
    <t>S.N.T.H.S.S CHATHANNOOR was established in 2003 and it is managed by the Pvt. Aided. It is located in Rural area. It is located in CHATHANNOOR block of KOLLAM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</si>
  <si>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SIM190868</t>
  </si>
  <si>
    <t>32060900513</t>
  </si>
  <si>
    <t>Green Breath</t>
  </si>
  <si>
    <t>GREEN
BREATH</t>
  </si>
  <si>
    <t>VYASA VIDYA
PEETHOM</t>
  </si>
  <si>
    <t>Palakkad Junior Athletics Meet 2025</t>
  </si>
  <si>
    <t>67th Kerala State Junior Athletics Championship - PRIYOKUMAR PHAIREMBAM 1st Position - High Jump (Under 14n Boys)</t>
  </si>
  <si>
    <t>SIM199423</t>
  </si>
  <si>
    <t>33020900209</t>
  </si>
  <si>
    <t>Pyro protector coat - a
wearable fire fighting
solution</t>
  </si>
  <si>
    <t>Ghssmgr3</t>
  </si>
  <si>
    <t>GHSS MGR NAGAR</t>
  </si>
  <si>
    <t>Ghss Mgr Nagar - Ward 131  Chennai (Tamil Nadu)</t>
  </si>
  <si>
    <t>GHSS MGR NAGAR - Ward 131 District Chennai (Tamil Nadu)</t>
  </si>
  <si>
    <t>SIM106398</t>
  </si>
  <si>
    <t>36052200610</t>
  </si>
  <si>
    <t>Agri cannon</t>
  </si>
  <si>
    <t>KALAM</t>
  </si>
  <si>
    <t>ZPHS KANJAR</t>
  </si>
  <si>
    <t>Zphs Kanjar - Chinnapur Nizamabad (Telangana)</t>
  </si>
  <si>
    <t>ZPHS KANJAR was established in 2007 and it is managed by the Local body. It is located in Rural area. It is located in NIZAMABAD block of NIZAMABAD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</si>
  <si>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SIM197230</t>
  </si>
  <si>
    <t>07040322812</t>
  </si>
  <si>
    <t>Digitape</t>
  </si>
  <si>
    <t>ROBO BOYZ</t>
  </si>
  <si>
    <t>SHAHEED RAJPAL DAV
PUBLIC SCHOOL</t>
  </si>
  <si>
    <t>SIM03664</t>
  </si>
  <si>
    <t>01102402302</t>
  </si>
  <si>
    <t>Road Power Generator:
Harnessing Energy
From Traffic</t>
  </si>
  <si>
    <t>TEAM
UNSTOPABLE</t>
  </si>
  <si>
    <t>KENDRIYA VIDYALAYA
UDHAMPUR</t>
  </si>
  <si>
    <t>The KVS Jammu region was established in 1984 and currently has jurisdiction over 38 KVs located in Jammu and Kashmir, with a dedicated, well-equipped and committed team of effective management and teachers for the intellectual, moral and spiritual development of the students. Under is working in the same direction. A galaxy of multidisciplinary curricular activities is organized on a regular basis to bring out the best in students. ‘All round personality development’ is an important focus area to enable our students to march with the ever changing world of technology and globalization.</t>
  </si>
  <si>
    <t>SIM228215</t>
  </si>
  <si>
    <t>27091411312</t>
  </si>
  <si>
    <t>Scan Wellness - My
Medical Qr Code</t>
  </si>
  <si>
    <t>MED
SCANNER</t>
  </si>
  <si>
    <t>BHAVANS
BHAGWANDAS
PUROHIT VIDYA
MANDIR</t>
  </si>
  <si>
    <t>Maharashtra State Bharat Scout And Guide (Rural) Apponted As Commissioner Guiders(Rural)</t>
  </si>
  <si>
    <t>The foundation stone was laid on the 16th of January 2006 at the hands of Shri. Anil Deshmukh, Former Minister of Public works and Presided by Shri. Devendra Fadanvis, Former Chief Minister of Maharashtra, in presence of Shri. Banwarilalji Purohit. | Under Directorate of Sports and Youth Services, Maharashtra State Pune, State Level School Mini-Golf Tournament: 2023-24 was jointly organized by District Sports Office, Nagpur, District Sports Council, Nagpur and Maharashtra Mini Golf Association at Sports Complex Ground, Mankapur, Nagpur from 6th to 10th February 2024. Giving an outstanding performance, seven students of Bhavan’s Bhagwandas Purohit Vidya Mandir, Ashti brought laurels to school in the tournament. In Under-17 Girls Category, Ms Mani Kesri and Ms Arna Bais secured a Gold Medal. In Under-14 Boys Category, Mast. Dhruv Rathi and Mast. Aditya Chauhan bagged a Silver Medal. In Under-19 Boys Category, Mast. Atharv Kesri clinched a Silver Medal while in Under-17 Boys Category, Mast. Rishi Agrawal and Mast. Harshit Sinha won a Bronze Medal each. The students were trained and escorted by their Sports Teachers</t>
  </si>
  <si>
    <t>SIM196570</t>
  </si>
  <si>
    <t>08010123408</t>
  </si>
  <si>
    <t>Reaching the lost
energy</t>
  </si>
  <si>
    <t>Problem
Fixers</t>
  </si>
  <si>
    <t>BIRLA PUBLIC SCHOOL
GANGANAGAR</t>
  </si>
  <si>
    <t>Responding positively and effectively to the challenges of the 21st century, Birla Educational Trust is committed to inculcate the life skills in the young minds required for 21st century to compete with the world whereby they become successful citizens to lead the next generation through Birla Public School, a world class Day cum Residential CBSE English Medium Co-Educational school, in Ganganagar, Rajasthan. | Sri Ganganagar - 335002, Rajasthan</t>
  </si>
  <si>
    <t>SIM124122</t>
  </si>
  <si>
    <t>Solar Based Grain
Dryer</t>
  </si>
  <si>
    <t>DREAM
CHASERS</t>
  </si>
  <si>
    <t>SIM194737</t>
  </si>
  <si>
    <t>08300602346</t>
  </si>
  <si>
    <t>Liquid tree</t>
  </si>
  <si>
    <t>LIQUID TREE</t>
  </si>
  <si>
    <t>DISHA DELPHI PUBLIC
SCHOOL</t>
  </si>
  <si>
    <t>Disha  Delphi Public School - Np Kota Ward No 39 Kota (Rajasthan)</t>
  </si>
  <si>
    <t>DISHA DELPHI PUBLIC SCHOOL - Np Kota Ward No 39 District Kota (Rajasthan)</t>
  </si>
  <si>
    <t>SIM199636</t>
  </si>
  <si>
    <t>33280801105</t>
  </si>
  <si>
    <t>Leaf health identifier</t>
  </si>
  <si>
    <t>GreenGuardia
ns</t>
  </si>
  <si>
    <t>RAVILLA KR
APPASWAMY NAIDU
VIDHYASHRAM M</t>
  </si>
  <si>
    <t>SIM194874</t>
  </si>
  <si>
    <t>18080200105</t>
  </si>
  <si>
    <t>Machine-based
utilization for smart
knowledge in assessing
needs of oral health -
muskan</t>
  </si>
  <si>
    <t>Echo</t>
  </si>
  <si>
    <t>PM SHRI KENDRIYA
VDIAYALAYA
MANGALDOI</t>
  </si>
  <si>
    <t>2003 establishments in Assam</t>
  </si>
  <si>
    <t>SIM221543</t>
  </si>
  <si>
    <t>06120605222</t>
  </si>
  <si>
    <t>Nextgen</t>
  </si>
  <si>
    <t>NEXTGEN</t>
  </si>
  <si>
    <t>OP JINDAL MODERN
SCHOOL</t>
  </si>
  <si>
    <t>6TH K M STONE DELHI ROAD HISAR HARYANA</t>
  </si>
  <si>
    <t>SIM214747</t>
  </si>
  <si>
    <t>01130302903</t>
  </si>
  <si>
    <t>Smart Agriculture Hub</t>
  </si>
  <si>
    <t>Super titans</t>
  </si>
  <si>
    <t>KENDRIYA VIDYALAYA
BANTALAB</t>
  </si>
  <si>
    <t>The KVS Jammu region was established in 1984 and has current jurisdiction over 38 KVs located in Jammu and Kashmir, with a dedicated, well-equipped and committed team of effective management and teachers for the intellectual, moral and spiritual development of the students. Under its working in the same direction, a galaxy of multidisciplinary curricular activities are organized on a regular basis to bring out the best in students. ‘All round personality development’ is an important focus area to enable our students to march with the ever changing world of technology and globalization.</t>
  </si>
  <si>
    <t>SIM195825</t>
  </si>
  <si>
    <t>01131903606</t>
  </si>
  <si>
    <t>Smart Stick For Blind</t>
  </si>
  <si>
    <t>aphssinnovato
r5</t>
  </si>
  <si>
    <t>ACTIVITY PUBLIC
HIGHER SECONDARY
SCHOOL JAMMU</t>
  </si>
  <si>
    <t>SIM51597</t>
  </si>
  <si>
    <t>01020602112</t>
  </si>
  <si>
    <t>Frost Guard For Water
Pipes</t>
  </si>
  <si>
    <t>The Pipeline</t>
  </si>
  <si>
    <t>HSS DANGIWACHA</t>
  </si>
  <si>
    <t>H S S Dangiwacha - Dangiwacha Baramula (Jammu And Kashmir)</t>
  </si>
  <si>
    <t>H S S DANGIWACHA was established in 1922 and it is managed by the Department of Education. It is located in Rural area. It is located in DANGIWACHA block of BARAMULA district of Jammu and Kashmir. The school consists of Grades from 9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</si>
  <si>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SIM168136</t>
  </si>
  <si>
    <t>29160507609</t>
  </si>
  <si>
    <t>Nirmal Jyothi</t>
  </si>
  <si>
    <t>Jyothiabhyaan</t>
  </si>
  <si>
    <t>MADHAVA KRIPA
ENGLISH NURSERY
AND HIGHER
PRIMARY SCHOOL</t>
  </si>
  <si>
    <t>Manipal - 576104, D K .</t>
  </si>
  <si>
    <t>MADHAVAKRIPA ENGLISH NURSERY &amp; HPS MANIPAL was established in 1962 and it is managed by the Pvt. Unaided. It is located in Urban area. It is located in BRAHMAVARA block of UDUPI district of Karnataka. The school consists of Grades from 1 to 12. The school is Co-educational and it have an attached pre-primary section. The school is N/A in nature and is not using school building as a shift-school. English is the medium of instructions in this school. This school is approachable by all weather road. In this school academic session starts in April.</t>
  </si>
  <si>
    <t>SIM211168</t>
  </si>
  <si>
    <t>07070312314</t>
  </si>
  <si>
    <t>Raksha kawach for
visually impaired</t>
  </si>
  <si>
    <t>Green Avenger</t>
  </si>
  <si>
    <t>ADARSH PUBLIC
SCHOOL</t>
  </si>
  <si>
    <t>Louis Vuitton Pm Replica</t>
  </si>
  <si>
    <t>We are elated to announce that Our student Nischay Kharbanda of Class X D has qualified Mukhyamantri Vigyan Pratibha Pariksha MVPP 2022-2023, conducted by Directorate of Education, Delhi Government with overall rank 20 and will recieve a scholarship amount of Rs5000/- | Once again we are feeling proud to announce that Our Respected Principal Ma'am Ms. Pooja Malhotra received Golden Brush Award by the CEO of Stem Metaverse for her constant support and guidance. Not only this our school has won The Best Performance Trophy at MP Sports Fest 2023 presented by Mr. Parvesh Singh Verma MP Lok Sabha (West Delhi)</t>
  </si>
  <si>
    <t>SIM191419</t>
  </si>
  <si>
    <t>Kite – Kavach
Intelligent Technology
Engineering</t>
  </si>
  <si>
    <t>ROBOWIZARD</t>
  </si>
  <si>
    <t>Special Olympics Bharat had an enriching youth activation session with around 30 students of Scottish High and more than 15 special Olympics athletes of haryana as youth leaders with and without Intellectual disability, focused on spreading awareness and advocating for inclusion. On the occasion youth leaders and athlete leaders were motivated experience shared by World […]</t>
  </si>
  <si>
    <t>SIM195546</t>
  </si>
  <si>
    <t>02010108201</t>
  </si>
  <si>
    <t>Eco Friendly
Biodegradable Nursery
Pots</t>
  </si>
  <si>
    <t>KVC1</t>
  </si>
  <si>
    <t>KV BHPC CHAMERA 1</t>
  </si>
  <si>
    <t>KENDRIYA VIDYALAYA NHPC CHAMERA-1, KHAIRI, PO- SAMLEU, TEH- DALHOUSIE, DISTT- CHAMBA (HIMACHAL PRADESH) - 176325</t>
  </si>
  <si>
    <t>SIM03249</t>
  </si>
  <si>
    <t>29280702305</t>
  </si>
  <si>
    <t>Coreai Campus</t>
  </si>
  <si>
    <t>SCSTeam12</t>
  </si>
  <si>
    <t>SOUNDARYA CENTRAL
SCHOOL BANGALORE
URBAN</t>
  </si>
  <si>
    <t>SIM199842</t>
  </si>
  <si>
    <t>32060800431</t>
  </si>
  <si>
    <t>Bi-Chemi Washroom</t>
  </si>
  <si>
    <t>BI CHEMI
TOILET</t>
  </si>
  <si>
    <t>PM SHRI KENDRIYA
VIDYALAYA
OTTAPALAM</t>
  </si>
  <si>
    <t>Kumari Anamika won 2 Gold, 1 silver and 1 bronze at the Kerala State Shooting Championship</t>
  </si>
  <si>
    <t>SIM195228</t>
  </si>
  <si>
    <t>08121213111</t>
  </si>
  <si>
    <t>EZ Vend - smart and
easy vending machine</t>
  </si>
  <si>
    <t>EZ VEND</t>
  </si>
  <si>
    <t>JAYSHREE PERIWAL
GLOBAL SCHOOL</t>
  </si>
  <si>
    <t>The initiative benefited more than 3,000 women and girls in rural areas of Rajasthan, helping to transform their lives by providing them with 'Menstrual Hygiene Kits'.</t>
  </si>
  <si>
    <t>SIM02374</t>
  </si>
  <si>
    <t>33031401009</t>
  </si>
  <si>
    <t>AI powered melanoma
detection</t>
  </si>
  <si>
    <t>team 1 sairam
vidyalaya</t>
  </si>
  <si>
    <t>SAIRAM VIDYALAYA
SR SEC SCHOOL</t>
  </si>
  <si>
    <t>SIM00077</t>
  </si>
  <si>
    <t>36120990064</t>
  </si>
  <si>
    <t>Solar impact based
resonance system</t>
  </si>
  <si>
    <t>TeamA</t>
  </si>
  <si>
    <t>PLATINUM JUBILEE
HIGH SCHOOL</t>
  </si>
  <si>
    <t>Best Co-Ed School In The Warangal</t>
  </si>
  <si>
    <t>SIM22916</t>
  </si>
  <si>
    <t>07080317203</t>
  </si>
  <si>
    <t>Solution to clean water
bodies</t>
  </si>
  <si>
    <t>Void Dynamics</t>
  </si>
  <si>
    <t>DAV PUBLIC SCHOOL
VASANT KUNJ</t>
  </si>
  <si>
    <t>D.A.V. Public School | New Delhi, Government Of Nct Of Delhi | India</t>
  </si>
  <si>
    <t>Sector- b Pocket-1 Vasant Kunj, Delhi-110070 | D A V PUBLIC SCHOOL , SECTOR-B, PKT-1, VASANT KUNJ, NEW DELHI-11000 | Sector- B Pocket-1 Vasant Kunj, New Delhi110070</t>
  </si>
  <si>
    <t>SIM09816</t>
  </si>
  <si>
    <t>24191301204</t>
  </si>
  <si>
    <t>Hydro-reminder</t>
  </si>
  <si>
    <t>HydrationHer
oes</t>
  </si>
  <si>
    <t>BARODA HIGH
SCHOOL BAGIKHANA</t>
  </si>
  <si>
    <t>Baroda High School – Bagikhana, an established educational institute since1961, has about 1535 students in the Pre-Primary / Primary section and about 477students in the Secondary and Higher Secondary sections (Science Stream). It is an English Medium co-educational school managed by The Baroda Lions Club Education Trust and it follows the Gujarat State Education Board curriculum.</t>
  </si>
  <si>
    <t>SIM00971</t>
  </si>
  <si>
    <t>Smart Zebra Crossing</t>
  </si>
  <si>
    <t>EMPOWERME
NT ENSEMBLE</t>
  </si>
  <si>
    <t>SIM191468</t>
  </si>
  <si>
    <t>32141000514</t>
  </si>
  <si>
    <t>Phishbuster</t>
  </si>
  <si>
    <t>Phishbusters</t>
  </si>
  <si>
    <t>THE SCHOOL OF THE
GOOD SHEPHERD</t>
  </si>
  <si>
    <t>SIM187287</t>
  </si>
  <si>
    <t>32120100406</t>
  </si>
  <si>
    <t>Power Stride</t>
  </si>
  <si>
    <t>PowerStride</t>
  </si>
  <si>
    <t>KENDRIYA VIDYALAYA
ADOOR</t>
  </si>
  <si>
    <t>1993 establishments in Kerala</t>
  </si>
  <si>
    <t>SIM09302</t>
  </si>
  <si>
    <t>27252002412</t>
  </si>
  <si>
    <t>Smart Solar Farming</t>
  </si>
  <si>
    <t>NexGen
TechInnos</t>
  </si>
  <si>
    <t>CITY PRIDE SCHOOL</t>
  </si>
  <si>
    <t>State Level Ranks 3 Students, Level Ranker 1 Student &amp; 5 With Special Prize</t>
  </si>
  <si>
    <t>City Pride group of Schools is the most reputed group of schools in Pune area, presently running three campuses - in Nigdi , in Moshi and in Ravet area , while the fourth upcoming branch will start its operations in next academic year 2025-26 in Pradhikaran , Ravet. All the three campuses are affiliated to CBSE board and the upcoming branch in Pradhikaran too is recognized by Maharashtra state for running CBSE school. All schools have state of art infrastructure equipped with all amenities required for excellent learning environment. City pride is known for its innovative and futuristic academic programme backed by excellent teaching- learning methodology delivered by experiences fleet of teachers in all its campuses. Pioneer in many innovative strategies, city pride school has made its mark at various national and international platforms. Its futuristic vocational skill labs, state of art performing art facilities , life skill programmes and coaching facilities for competitive exams gives city pride school a unique place as the first choice of school, for parents...... | City Pride group of Schools is the most reputed group of schools in Pune area, presently running three campuses - in Nigdi , in Moshi and in Ravet area , while the fourth upcoming branch will start its operations in next academic year 2025-26 in Pradhikaran , Ravet. All the three campuses are affiliated to CBSE board and the upcoming branch in Pradhikaran too is recognized by Maharashtra state for running CBSE school. All schools have state of art infrastructure equipped with all amenities required for excellent learning environment. City pride is known for its innovative and futuristic academic programme backed by excellent teaching- learning methodology delivered by experiences fleet of teachers in all its campuses. Pioneer in many innovative strategies, city pride school has made its mark at various national and international platforms. Its futuristic vocational skill labs, state of art performing art facilities , life skill programmes and coaching facilities for competitive exams gives city pride school a unique place as the first choice of school, for parents.</t>
  </si>
  <si>
    <t>SIM198019</t>
  </si>
  <si>
    <t>27091511001</t>
  </si>
  <si>
    <t>Ecofilter:Revolutionizi
Ng Traffic Pollution
Control System</t>
  </si>
  <si>
    <t>EcoFilter
Revolutionizin
g Traffic
Pollution
Control</t>
  </si>
  <si>
    <t>SCHOOL OF SCHOLARS
ATREY LAYOUT
NAGPUR</t>
  </si>
  <si>
    <t>With a rich legacy of over 37 years, the School Of Scholars has been providing exceptional education to more than 23,000+ students in Maharashtra. Our network of 20 Units across the state is committed to offering a safe and conducive learning environment that enables students to realize their full potential. SOS has emerged as one of the best CBSE School in Maharashtra by shaping young minds into confident, compassionate, and capable individuals.</t>
  </si>
  <si>
    <t>SIM90789</t>
  </si>
  <si>
    <t>34020114501</t>
  </si>
  <si>
    <t>Your gas guardian</t>
  </si>
  <si>
    <t>Tech Titans</t>
  </si>
  <si>
    <t>KENDRIYA VIDYALAYA
NO II PUDUCHERRY</t>
  </si>
  <si>
    <t>PM SHRI Kendriya Vidyalaya No.2, Puducherry was established in the year 1986. Since its inception, the Vidyalaya has had a charmed life-housed in a modest and transitory accommodation | PM SHRI Kendriya Vidyalaya No.2, Puducherry was established in</t>
  </si>
  <si>
    <t>SIM171536</t>
  </si>
  <si>
    <t>22100726624</t>
  </si>
  <si>
    <t>Pipe Inspection and
Underground Robot
Cleaner</t>
  </si>
  <si>
    <t>Bird</t>
  </si>
  <si>
    <t>GOVT GIRLS HIGHER
SECONDARY SCHOOL
VAISHALI NAGAR
BHILAI</t>
  </si>
  <si>
    <t>GOVT GIRLS HIGHER SECONDARY SCHOOL VAISALI NAGAR BHILAI was established in 1984 and it is managed by the Department of Education. It is located in Urban area. It is located in DURG block of DURG district of Chhattisgarh. The school consists of Grades from 9 to 12. The school is Girls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</si>
  <si>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SIM195339</t>
  </si>
  <si>
    <t>07010305607</t>
  </si>
  <si>
    <t>Advanced Traffic
Management System
(ATMS)</t>
  </si>
  <si>
    <t>The Brainiacs</t>
  </si>
  <si>
    <t>DARBARI LAL DAV
MODEL SCHOOL</t>
  </si>
  <si>
    <t>Badminton Championships</t>
  </si>
  <si>
    <t>DLDAV Shalimar Bagh entered its 44th year this May. The wealth of experience, expertise and repute that it enjoys makes it stand tall as an institution in North-West Delhi.While we revel in the glory of our rich past and experience, we are never complacent about it. | ISO 9001:2000 certified institution in the year 2003, received the Commendation Certificate from the prestigious IMC Ramakrishna Bajaj National Quality Award in 2011, and was ranked amongst the top 10 schools of north Delhi by Hindustan Times C-fore in 2011. DLDAV is proud to be amongst the first few schools in Delhi-NCR to have been awarded a CERTIFICATE OF ACCREDITATION FROM CBSE</t>
  </si>
  <si>
    <t>SIM172955</t>
  </si>
  <si>
    <t>06190102006</t>
  </si>
  <si>
    <t>Solar Powered Road
Charging System</t>
  </si>
  <si>
    <t>The Royale</t>
  </si>
  <si>
    <t>Jawahar Navodaya Vidyalaya, Village Pabra, Hisar, Haryana, India Pin - 125112</t>
  </si>
  <si>
    <t>was established November 06, 1986. This date was the most auspicious day when the foundation stone of Jawahar Navodaya Vidyalaya, Pabra, Hisar was laid down by Honorable Shri Bansi Lal, the then present Chief Minister of Haryana.Jawahar Navodaya Vidyalaya Pabra, District Hissar (Haryana) is a residential and co-education institute run by</t>
  </si>
  <si>
    <t>SIM20849</t>
  </si>
  <si>
    <t>32060900720</t>
  </si>
  <si>
    <t>Payload Drone</t>
  </si>
  <si>
    <t>TEAM 8H</t>
  </si>
  <si>
    <t>BEM HSS PALAKKAD</t>
  </si>
  <si>
    <t>Educational Institutes In Palakkad</t>
  </si>
  <si>
    <t>The main building of the school was constructed in 1910. This building is unique in architecture designed and constructed by T. Maue, a German Architect cum Missionary. There are no other school buildings in Kerala equal in architectural beauty to the BEM High School.</t>
  </si>
  <si>
    <t>SIM198643</t>
  </si>
  <si>
    <t>32010502103</t>
  </si>
  <si>
    <t>Emerge Ai</t>
  </si>
  <si>
    <t>Emerge AI</t>
  </si>
  <si>
    <t>BHARATIYA VIDYA
BHAVAN SCHOOL
CHEVAYUR</t>
  </si>
  <si>
    <t>Thrissur</t>
  </si>
  <si>
    <t>Bhavan's Vidya Mandir, Pathanamthitta under Bharatiya Vidya Bhavan, Mumbai was formally inaugurated by then Education Minister of Kerala, Shri. M. A. Baby on October 6th, 2007 in the August presence of Shri. Ashok Kumar Singh IAS, Ho. Chairman of Bhavan's and the District Collector of Pathanamthitta, Shri. T. K. A. Nair IAS who was then the Principal Secretary to the Prime Minister of India, Shri. P. I. Sherief Mohammed, Hon. Secretary of BVM who was an officer with the Sales Tax Department, Govt. of Kerala.</t>
  </si>
  <si>
    <t>SIM21213</t>
  </si>
  <si>
    <t>Snapcharge India's
First Inverter Power
Bank</t>
  </si>
  <si>
    <t>Portable
Power bank</t>
  </si>
  <si>
    <t>SIM02724</t>
  </si>
  <si>
    <t>21171303272</t>
  </si>
  <si>
    <t>AI-powered pond
water contamination
prediction</t>
  </si>
  <si>
    <t>PHONIX INO</t>
  </si>
  <si>
    <t>DAV PUBLIC SCHOOL</t>
  </si>
  <si>
    <t>Group Mediclaim Insurance 2025-26 for employees of DAV Institutions, Odisha | The foundation of DAV Public School, Berhampur in March 1989 marked the beginning of an educational institution that has flourished under the aegis of the DAV College Managing Committee, New Delhi. Operating as a self-funded, English Medium, Co-Educational Senior Secondary School, the institution gained recognition from the Government of Odisha and is affiliated with the prestigious Central Board of Secondary Education (CBSE), New Delhi. | It is at a distance of 5 Kms from the heart of the town and 2 Kms from Berhampur Railway Station. DAV Public School, Berhampur is located at Sadananda Vihar, Gosaninuagaon, Berhampur, Odisha away from the hustle and bustle of the city life, helping students learn better without any disturbance.</t>
  </si>
  <si>
    <t>SIM96685</t>
  </si>
  <si>
    <t>33060604501</t>
  </si>
  <si>
    <t>Farmer’s defender</t>
  </si>
  <si>
    <t>TEAM16</t>
  </si>
  <si>
    <t>GHSS MAZHAIYUR</t>
  </si>
  <si>
    <t>Ghss-Mazhaiyur - Mazhaiyur Tiruvannamalai (Tamil Nadu)</t>
  </si>
  <si>
    <t>GHSS-MAZHAIYUR was established in 1961 and it is managed by the Department of Education. It is located in Rural area. It is located in THELLAR block of TIRUVANNAMALAI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</si>
  <si>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SIM01501</t>
  </si>
  <si>
    <t>33020802701</t>
  </si>
  <si>
    <t>Licence audit pro</t>
  </si>
  <si>
    <t>TECH
ROCKERZ</t>
  </si>
  <si>
    <t>JAIGOPAL GARODIA
HINDU VIDYALAYA
MATRIC HIGHER
SECONDARY SCHOOL</t>
  </si>
  <si>
    <t>The new and permanent school building in Postal Colony IV Street, was inaugurated by the then CM of Uttar Pradesh, Sri. Kalyan Singh, on 2nd August 1992, in the Divine presence of Sri Math Andavan Sriranga Ramanuja Maha Desikan and Sri. R. Srihari, Industrialist &amp; the then Working President of VHP Tamil Nadu, Dr. R. Sridhar, former M.P. &amp; Sri. S. Jayakumar, former MLA. | Sa Vidya ya Vimuktaye – Providing the knowledge that liberates is the motto with which the first Hindu Vidyalaya was started by Vishva Hindu Vidya Kendra, in the year 1975 at Ellaiyaman koil street, West Mambalam, Chennai with just 7 students. Through the years, Vishva Hindu Vidya Kendra has grown like a big banyan tree under which there are 15 Schools spread all over Tamil Nadu, touching the lives of over 20,000 students. The students are ably guided by its committed and passionate team of teachers under the able leadership of Dr. Smt. Girija Seshadri and Sri. S. Vedantam Ji. Today, we have over 1 Lakh, Alumni, who bear the torch of Hindu Vidyalayas in all corners of the world, spreading the values, Patriotic Spirit and Social Commitment that VHVK stands for.</t>
  </si>
  <si>
    <t>SIM167732</t>
  </si>
  <si>
    <t>09590100202</t>
  </si>
  <si>
    <t>Fan air controler</t>
  </si>
  <si>
    <t>Science
Warrior</t>
  </si>
  <si>
    <t>KISAN INTERMEDIATE
COLLEGE SAKHOPAR
KUSHINAGAR</t>
  </si>
  <si>
    <t>Kisan Inter College Sakhopar - Sakhopar Kushinagar (Uttar Pradesh)</t>
  </si>
  <si>
    <t>KISAN INTER COLLEGE SAKHOPAR was established in 1948 and it is managed by the Pvt. Aided. It is located in Rural area. It is located in PADARAUNA block of KUSHINAGAR district of Uttar Pradesh. The school consists of Grades from 6 to 12. The school is Co-educational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</si>
  <si>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SIM212753</t>
  </si>
  <si>
    <t>09071300172</t>
  </si>
  <si>
    <t>Smart food shelf life
monitor</t>
  </si>
  <si>
    <t>KL Innovators</t>
  </si>
  <si>
    <t>KL INTERNATIONAL
SCHOOL</t>
  </si>
  <si>
    <t>SIM227075</t>
  </si>
  <si>
    <t>07070312315</t>
  </si>
  <si>
    <t>Cooker cum hotpot</t>
  </si>
  <si>
    <t>Prakriti
Innovator</t>
  </si>
  <si>
    <t>MAMTA MODERN SR
SEC SCHOOL</t>
  </si>
  <si>
    <t>The school was established in the year 1973 and it never saw behind during its journey to the present prestigious institution of West Delhi having up to date ultra modern and sufficient infrastructure needed for running a successful school.</t>
  </si>
  <si>
    <t>SIM26071</t>
  </si>
  <si>
    <t>24070500714</t>
  </si>
  <si>
    <t>Special glasses for
blind people</t>
  </si>
  <si>
    <t>earth warrior</t>
  </si>
  <si>
    <t>DIVYAPATH SCHOOL</t>
  </si>
  <si>
    <t>SIM62800</t>
  </si>
  <si>
    <t>29261203103</t>
  </si>
  <si>
    <t>Kawach, Advance
Train Collision
Preventer...</t>
  </si>
  <si>
    <t>Sci fi Squad</t>
  </si>
  <si>
    <t>GEETHA BHARATHI
SCHOOL</t>
  </si>
  <si>
    <t>Geetha Bharathi Hps - Ward-63 Mysuru (Karnataka)</t>
  </si>
  <si>
    <t>GEETHA BHARATHI HPS - Ward-63 District Mysuru (Karnataka)</t>
  </si>
  <si>
    <t>SIM207964</t>
  </si>
  <si>
    <t>29010402308</t>
  </si>
  <si>
    <t>Water Saver</t>
  </si>
  <si>
    <t>TECH BIRDS</t>
  </si>
  <si>
    <t>ANGADI
INTERNATIONAL
SCHOOL BELAGAVI</t>
  </si>
  <si>
    <t>K-Tech Innovation Hub (Nain)</t>
  </si>
  <si>
    <t>Our Founder Chairman, Late Shri. Suresh Angadiji was honored with ‘Excellent Contribution in Education’ award at the 2″” National Karnataka Education Summit &amp; Awards, in recognition of the yeomen service rendered by SAEF to the cause of education. SAEF’s commitment to environment can be gauged from the fact that AITM has a unique green campus with state of the art Solar Roof Top power plant, the first of its kind for any educational institute in the state.</t>
  </si>
  <si>
    <t>SIM96474</t>
  </si>
  <si>
    <t>32071702501</t>
  </si>
  <si>
    <t>Vehicle Detector For
Curves</t>
  </si>
  <si>
    <t>SARVODAYAN
S</t>
  </si>
  <si>
    <t>SARVODAYAM VHSS
ARYAMPADAM</t>
  </si>
  <si>
    <t>Sarvodhayam Vhss Aryampadam - Mundathikode Thrissur (Kerala)</t>
  </si>
  <si>
    <t>SARVODHAYAM VHSS ARYAMPADAM was established in 1955 and it is managed by the Pvt. Aided. It is located in Urban area. It is located in WADAKKANCHERY block of THRISSUR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</si>
  <si>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SIM63382</t>
  </si>
  <si>
    <t>27261003811</t>
  </si>
  <si>
    <t>Freedom In Focus
Transforming Lives
With Smart Glasses For
The Blind</t>
  </si>
  <si>
    <t>MARATHA
WARRIORS</t>
  </si>
  <si>
    <t>PRAVARA PUBLIC
SCHOOL</t>
  </si>
  <si>
    <t>Ahmednagar</t>
  </si>
  <si>
    <t>Discover the best State Board education in Ahmednagar &amp; Don't miss the chance to enroll your child for 2025 Academic Session ! Apply today at Parvara Public School, Loni, Ahmednagar, Maharashtra</t>
  </si>
  <si>
    <t>SIM01782</t>
  </si>
  <si>
    <t>Snooze pillow</t>
  </si>
  <si>
    <t>EMPOWERME
NT ELITES</t>
  </si>
  <si>
    <t>SPIC NAGAR HSS was established in 1974 and it is managed by the Pvt. Unaided. It is located in Rural area. It is located in THOOTHUKUDI RURAL block of THOOTHUKKUDI district of Tamil Nadu. The school consists of Grades from 6 to 12. The school is Co-educational and it doesn't have an attached pre-primary section. The school is N/A in nature and is not using school building as a shift-school. English is the medium of instructions in this school. This school is approachable by all weather road. In this school academic session starts in April.</t>
  </si>
  <si>
    <t>SIM02193</t>
  </si>
  <si>
    <t>Maternal melody</t>
  </si>
  <si>
    <t>Mingle
Masters</t>
  </si>
  <si>
    <t>SIM26160</t>
  </si>
  <si>
    <t>36220790178</t>
  </si>
  <si>
    <t>Teacher's assistant</t>
  </si>
  <si>
    <t>Teachers
Assistant</t>
  </si>
  <si>
    <t>BHARATIYA VIDYA
BHAVANS PUBLIC
SCHOOL</t>
  </si>
  <si>
    <t>Rajendra Nagar, Rangareddy</t>
  </si>
  <si>
    <t>The second phase came in the form of the Secondary block (Block-B) which was inaugurated on 16th April, 2011 by His Excellency Shri E.S.L. Narasimhan, Joint Governor of Telangana and Andhra Pradesh. Initially the school was started from Pre-primary to class-V and over the span of 13 years, it has grown to the level of Pre-primary to class-XII with the pupil's strength of around 2105 and with over 86 teaching and non-teaching staff. The school is expanding both in terms of student and teaching fraternity year after year.</t>
  </si>
  <si>
    <t>SIM03458</t>
  </si>
  <si>
    <t>09090203004</t>
  </si>
  <si>
    <t>Smart setu</t>
  </si>
  <si>
    <t>Team 2</t>
  </si>
  <si>
    <t>UTTAM SCHOOL FOR
GIRLS</t>
  </si>
  <si>
    <t>SIM228542</t>
  </si>
  <si>
    <t>09140100606</t>
  </si>
  <si>
    <t>Evac</t>
  </si>
  <si>
    <t>project EVAC</t>
  </si>
  <si>
    <t>PM SHRI KENDRIYA
VIDYALAYA BAAD
MMATHUR</t>
  </si>
  <si>
    <t>Mathura</t>
  </si>
  <si>
    <t>SIM03032</t>
  </si>
  <si>
    <t>19260900701</t>
  </si>
  <si>
    <t>Oxyalert: safeguarding
aquatic health for
sustainable fish
farming</t>
  </si>
  <si>
    <t>Healthineers</t>
  </si>
  <si>
    <t>DAV MODEL SCHOOL</t>
  </si>
  <si>
    <t>West Bengal</t>
  </si>
  <si>
    <t>SIM195903</t>
  </si>
  <si>
    <t>19021303403</t>
  </si>
  <si>
    <t>Smart agri tech</t>
  </si>
  <si>
    <t>FARM KING</t>
  </si>
  <si>
    <t>KV NFR NJP</t>
  </si>
  <si>
    <t>"BUILDING NO. 5 AMBAGAN COLONY BANDEL, DISTT :HOOGHLY 712 123 (WEST BENGAL)"</t>
  </si>
  <si>
    <t>SIM68284</t>
  </si>
  <si>
    <t>28222501222</t>
  </si>
  <si>
    <t>Robocleaner [river
cleaning boat]</t>
  </si>
  <si>
    <t>CSK afflatians</t>
  </si>
  <si>
    <t>AFFLATUS ENGLISH
MEDIUM SCHOOL</t>
  </si>
  <si>
    <t>SIM176278</t>
  </si>
  <si>
    <t>04010101101</t>
  </si>
  <si>
    <t>Poses n’ pixels: a
catalyst for interactive
special education</t>
  </si>
  <si>
    <t>Poses N Pixels</t>
  </si>
  <si>
    <t>CARMEL CONVENT
SCHOOL</t>
  </si>
  <si>
    <t>Chandigarh</t>
  </si>
  <si>
    <t>SIM169836</t>
  </si>
  <si>
    <t>07040321702</t>
  </si>
  <si>
    <t>Taxmate</t>
  </si>
  <si>
    <t>MAYUR PUBLIC
SCHOOL</t>
  </si>
  <si>
    <t>SIM220468</t>
  </si>
  <si>
    <t>63300139014</t>
  </si>
  <si>
    <t>Rethreads: renewing
fashion</t>
  </si>
  <si>
    <t>OIS DOHA</t>
  </si>
  <si>
    <t>OLIVE
INTERNATIONAL
SCHOOL</t>
  </si>
  <si>
    <t>SIM171595</t>
  </si>
  <si>
    <t>06180101510</t>
  </si>
  <si>
    <t>Orbiox</t>
  </si>
  <si>
    <t>Life Link
Saviours</t>
  </si>
  <si>
    <t>BLUE BELLS MODEL
SCHOOL</t>
  </si>
  <si>
    <t>Sector -4, Urban Estate Gurgaon -122001 Haryana INDIA</t>
  </si>
  <si>
    <t>SIM92514</t>
  </si>
  <si>
    <t>Healthy Greens Grow
Box</t>
  </si>
  <si>
    <t>Healthy
Greens</t>
  </si>
  <si>
    <t>SIM228822</t>
  </si>
  <si>
    <t>29260705106</t>
  </si>
  <si>
    <t>Plant Booster</t>
  </si>
  <si>
    <t>Rajendranagar</t>
  </si>
  <si>
    <t>KPS RAJENDRANAGAR</t>
  </si>
  <si>
    <t>Contact Us ( S)</t>
  </si>
  <si>
    <t>A total of 308 Karnataka Public Schools are functioning in the year 2024-25. A total of | 2)permission can be obtained from the Centre for e-governance by requesting to this email. pd.webportal@karnataka.gov.in</t>
  </si>
  <si>
    <t>SIM69588</t>
  </si>
  <si>
    <t>Memory Mender</t>
  </si>
  <si>
    <t>Memory
Builders</t>
  </si>
  <si>
    <t>SIM157190</t>
  </si>
  <si>
    <t>32140300701</t>
  </si>
  <si>
    <t>Solar Wireless
Charging System</t>
  </si>
  <si>
    <t>PATH
FINDERS</t>
  </si>
  <si>
    <t>GUPS CHANTHAVILA</t>
  </si>
  <si>
    <t>Gups Chanthavila - Ayirooppara Thiruvananthapuram (Kerala)</t>
  </si>
  <si>
    <t>GUPS CHANTHAVILA was established in 1963 and it is managed by the Department of Education. It is located in Urban area. It is located in KANIYAPURAM block of THIRUVANANTHAPURAM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</si>
  <si>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SIM196078</t>
  </si>
  <si>
    <t>32080303410</t>
  </si>
  <si>
    <t>LIFTA: Landslide
Integrated Finding and
Tracking
Apparatus(Lifta)</t>
  </si>
  <si>
    <t>LIFTA</t>
  </si>
  <si>
    <t>BHAVANS VIDYA
MANDIR</t>
  </si>
  <si>
    <t>Ernakulam Youth Championship</t>
  </si>
  <si>
    <t>26TH ALL KERALA BHAVAN'S CULTURAL FEST - CAT V</t>
  </si>
  <si>
    <t>SIM175553</t>
  </si>
  <si>
    <t>32080200402</t>
  </si>
  <si>
    <t>Novel refrigerator
system</t>
  </si>
  <si>
    <t>Haritham</t>
  </si>
  <si>
    <t>HOLY FAMILY HS
ANGAMALY</t>
  </si>
  <si>
    <t>Holy Family Hs Ankamaly - Angamaly Municipality Ernakulam (Kerala)</t>
  </si>
  <si>
    <t>HOLY FAMILY HS ANKAMALY was established in 1930 and it is managed by the Pvt. Aided. It is located in Urban area. It is located in ANGAMALY block of ERNAKULAM district of Kerala. The school consists of Grades from 5 to 10.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</si>
  <si>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SIM200375</t>
  </si>
  <si>
    <t>23110419701</t>
  </si>
  <si>
    <t>Emergency Traffic
Signal</t>
  </si>
  <si>
    <t>Innovative
mids</t>
  </si>
  <si>
    <t>PM SHRI KENDRIYA
VIDYALAYA BINA</t>
  </si>
  <si>
    <t>– Sagar, M.P, Pin – 470113</t>
  </si>
  <si>
    <t>PM SHRI KENDRIYA VIDYALAYA NO 1 ORDNANCE FACTORY ITARSI DISTRICT NARMADAPURM MADHYA PRADESH 461122</t>
  </si>
  <si>
    <t>SIM50754</t>
  </si>
  <si>
    <t>36210300116</t>
  </si>
  <si>
    <t>Tmad</t>
  </si>
  <si>
    <t>Trio APK</t>
  </si>
  <si>
    <t>SILVEROAKS
INTERNATIONAL
SCHOOL</t>
  </si>
  <si>
    <t>SIM01385</t>
  </si>
  <si>
    <t>09670104102</t>
  </si>
  <si>
    <t>Pocket vigil</t>
  </si>
  <si>
    <t>SBSBGN
Pocket Vigil</t>
  </si>
  <si>
    <t>SUNBEAM ENGLISH
SCHOOL</t>
  </si>
  <si>
    <t>Address : Plot no. 198, Near Ashapur Overbridge Chauraha, Beside Ramleela Maidan, Uttar Pradesh -221007 | Plot no 198, Near Ashapur Over bridge, Varanasi, Uttar Pradesh 221007 | Arazi no. 904, Central Jail Rd, near Sunbeam Women's College, Sikraul, Varuna,Varanasi, Uttar Pradesh 221002</t>
  </si>
  <si>
    <t>SIM185513</t>
  </si>
  <si>
    <t>Safedrive headlight
control system</t>
  </si>
  <si>
    <t>AS alpha</t>
  </si>
  <si>
    <t>SIM55929</t>
  </si>
  <si>
    <t>28132890944</t>
  </si>
  <si>
    <t>Auto hide water taps</t>
  </si>
  <si>
    <t>Water Drop</t>
  </si>
  <si>
    <t>APSWRSCHOOL
JUNIOR COLLEGE</t>
  </si>
  <si>
    <t>A P S W R  Jr College - Devarapalli Visakhapatnam (Andhra Pradesh)</t>
  </si>
  <si>
    <t>A P S W R JR COLLEGE was established in 1984 and it is managed by the Tribal/Social Welfare Department. It is located in Rural area. It is located in DEVARAPALLI block of VISAKHAPATNAM district of ANDHRA PRADESH. The school consists of Grades from 5 to 12. The school is Boys and it doesn't have an attached pre-primary section. The school is Non-Ashram type (Govt.) in nature and is not using school building as a shift-school. English is the medium of instructions in this school. This school is approachable by all weather road. In this school academic session starts in April.</t>
  </si>
  <si>
    <t>SIM103581</t>
  </si>
  <si>
    <t>28120207607</t>
  </si>
  <si>
    <t>Miraculous medicinal
values of vernonia</t>
  </si>
  <si>
    <t>Nature</t>
  </si>
  <si>
    <t>KGBV
GUMMALAKSHMIPUR
AM</t>
  </si>
  <si>
    <t>Kgbv G.L.Puram - Gummalakshmipuram Vizianagaram (Andhra Pradesh)</t>
  </si>
  <si>
    <t>KGBV G.L.PURAM was established in 2006 and it is managed by the Tribal/Social Welfare Department. It is located in Rural area. It is located in G.L.PURAM block of VIZIANAGARAM district of ANDHRA PRADESH. The school consists of Grades from 6 to 10. The school is Girls and it doesn't have an attached pre-primary section. The school is Kasturba Gandhi Balika Vidhyalaya (KGBV) in nature and is not using school building as a shift-school. Telugu is the medium of instructions in this school. This school is approachable by all weather road. In this school academic session starts in April.</t>
  </si>
  <si>
    <t>SIM197318</t>
  </si>
  <si>
    <t>22091100147</t>
  </si>
  <si>
    <t>Generation of
electricity from
municipal water tanks</t>
  </si>
  <si>
    <t>Ampere</t>
  </si>
  <si>
    <t>WESLEYAN ENG MED
HR SEC SCHOOL</t>
  </si>
  <si>
    <t>Wesleyan Eng. Med. School Tanka Para - Rajnandgaon Rajnandgaon (Chhattisgarh)</t>
  </si>
  <si>
    <t>WESLEYAN ENG. MED. SCHOOL TANKA PARA was established in 1974 and it is managed by the Pvt. Unaided. It is located in Urban area. It is located in RAJNANDGAON block of RAJNANDGAON district of Chhattisgarh. The school consists of Grades from 1 to 12. The school is Co-educational and it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</si>
  <si>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SIM226218</t>
  </si>
  <si>
    <t>22191212604</t>
  </si>
  <si>
    <t>SoilI Irrigartion System</t>
  </si>
  <si>
    <t>technoC</t>
  </si>
  <si>
    <t>GOVERNMENT
HIGHER SECONDARY
SCHOOL KOTARI
MUNGELI</t>
  </si>
  <si>
    <t>Education Office Raipur</t>
  </si>
  <si>
    <t>H S S GOVT, KOTRI was established in 1972 and it is managed by the Department of Education. It is located in Rural area. It is located in LORMI block of MUNGELI district of Chhattisgarh. The school consists of Grades from 9 to 12. The school is Co-educational and it doesn't have an attached pre-primary section. The school is Not Applicable in nature and is not using school building as a shift-school. Hindi is the medium of instructions in this school. This school is approachable by all weather road. In this school academic session starts in April.</t>
  </si>
  <si>
    <t>SIM185601</t>
  </si>
  <si>
    <t>07010306501</t>
  </si>
  <si>
    <t>Eco Sustainable Road
solutions: self healing
asphalt through
bacterial
Biomineralisation</t>
  </si>
  <si>
    <t>Team Omega</t>
  </si>
  <si>
    <t>MAHARAJA AGARSAIN
PUBLIC SCHOOL</t>
  </si>
  <si>
    <t>Nestled in the heart of our vibrant community, MAPS has been an anchor of educational excellence and personal growth for over 47 years. Driven by the profound belief that education holds the key to a brighter future, the worthy members of AWS sowed the seeds on 10th April 1978 in the memory of the great, Saint Maharaja Agarsain Ji (founder of the socialist democratic setup).MAPS is affiliated with CBSE and holds the distinction of being the first school in North Delhi registered with Cambridge Assessment International Education, University of Cambridge, U.K. Our commitment to academic diversity is evident in offering IGCSE and AS/A levels from primary to class X.</t>
  </si>
  <si>
    <t>SIM227248</t>
  </si>
  <si>
    <t>07080316802</t>
  </si>
  <si>
    <t>Camille’s</t>
  </si>
  <si>
    <t>CalmiFlex</t>
  </si>
  <si>
    <t>SPRINGDALES SCHOOL</t>
  </si>
  <si>
    <t>at 1/2 East Patel Nager, New Delhi – the residence of the Kumar family- with 24 children and 3 teachers – Mrs. Rajni Kumar, Mrs Sanyogta Puri and Ms. Subhasmohini Puri.</t>
  </si>
  <si>
    <t>SIM14553</t>
  </si>
  <si>
    <t>Gleam Machine -
Obstacle Avoiding
Vacuum And Sweeper</t>
  </si>
  <si>
    <t>Gleam
Machine</t>
  </si>
  <si>
    <t>SIM195381</t>
  </si>
  <si>
    <t>Project Mindshift</t>
  </si>
  <si>
    <t>Wellness
Innovators</t>
  </si>
  <si>
    <t>SIM205679</t>
  </si>
  <si>
    <t>32041501024</t>
  </si>
  <si>
    <t>Smart Bottle Dispenser</t>
  </si>
  <si>
    <t>AZM
FUTURIFIERS</t>
  </si>
  <si>
    <t>MES RAJA
RESIDENTIAL SCHOOL</t>
  </si>
  <si>
    <t>Office Bearers</t>
  </si>
  <si>
    <t>Admission are open for academic session 2025-26 . Since 1974, M.E.S. Raja Residential School, Calicut, Kerala, continues to offer an exemplary education that blends academic excellence with personal growth, shaping the leaders of tomorrow..</t>
  </si>
  <si>
    <t>SIM69580</t>
  </si>
  <si>
    <t>27260711108</t>
  </si>
  <si>
    <t>Multi-Crop Cutter</t>
  </si>
  <si>
    <t>JNVTDSCIENC
E1</t>
  </si>
  <si>
    <t>JAWAHAR NAVODAYA
VIDYALAYA</t>
  </si>
  <si>
    <t>Additional Jnvs Sanctioned For Sc Large Concentrated Population S</t>
  </si>
  <si>
    <t>Dadra Nagar Haveli and Daman &amp; Diu U.T.(3), Goa (2). Gujarat(34), Maharashtra(34)</t>
  </si>
  <si>
    <t>SIM189825</t>
  </si>
  <si>
    <t>33030903164</t>
  </si>
  <si>
    <t>Nature nourish</t>
  </si>
  <si>
    <t>NATURE
NOURISH</t>
  </si>
  <si>
    <t>G K SHETTY HINDU
VIDYALAYA MHSS</t>
  </si>
  <si>
    <t>SIM45255</t>
  </si>
  <si>
    <t>33010509005</t>
  </si>
  <si>
    <t>Gesture talk: real-time
gestures-to-text
translator.</t>
  </si>
  <si>
    <t>THE GLOW
PATROL</t>
  </si>
  <si>
    <t>ADITYA VIDYASHRAM
GURUGRAM CAMPUS</t>
  </si>
  <si>
    <t>4/100-A, Kalappanaickenpalayam, Somayampalayam Post, Coimbatore, Tamil Nadu 641108, India</t>
  </si>
  <si>
    <t>SIM63037</t>
  </si>
  <si>
    <t>36210901401</t>
  </si>
  <si>
    <t>Ecosort</t>
  </si>
  <si>
    <t>The Achievers</t>
  </si>
  <si>
    <t>DELHI PUBLIC
SCHOOL NACHARAM
SECUNDERABAD</t>
  </si>
  <si>
    <t>Malkajgiri, Ranga Reddy</t>
  </si>
  <si>
    <t>Plot No.44, Uppal Mandal, 42A, behind BSNL Telephone exchange, Durga Nagar, Nacharam, Hyderabad, Secunderabad, Telangana 500076 | Plot No.44, Uppal Mandal, 42A, behind BSNL Telephone exchange, Durga Nagar, Nacharam, Hyderabad Telangana 500076</t>
  </si>
  <si>
    <t>SIM67067</t>
  </si>
  <si>
    <t>09090903819</t>
  </si>
  <si>
    <t>Smart Wheelchair</t>
  </si>
  <si>
    <t>Ashtavakra
Chakrasan</t>
  </si>
  <si>
    <t>ST TERESA SCHOOL
GHAZIABAD</t>
  </si>
  <si>
    <t>SIM224636</t>
  </si>
  <si>
    <t>Jeevan Rakshak</t>
  </si>
  <si>
    <t>Jeevan
rakshak</t>
  </si>
  <si>
    <t>SIM229428</t>
  </si>
  <si>
    <t>Mindscape</t>
  </si>
  <si>
    <t>BrainBoosters</t>
  </si>
  <si>
    <t>SIM163884</t>
  </si>
  <si>
    <t>07040322009</t>
  </si>
  <si>
    <t>Safe Mate : life
securing headshell</t>
  </si>
  <si>
    <t>TechnoVision</t>
  </si>
  <si>
    <t>AMITY
INTERNATIONAL
SCHOOL MAYUR
VIHAR</t>
  </si>
  <si>
    <t>was one of the top 100 teams at Youth Ideathon 2024, held at IIT Delhi. The team, led by Class 12E and 11F students, presented an innovative tax management solution, making them the only Amity team to qualify in the Senior Category.</t>
  </si>
  <si>
    <t>SIM197206</t>
  </si>
  <si>
    <t>07010302103</t>
  </si>
  <si>
    <t>Skyecho</t>
  </si>
  <si>
    <t>Innovation
Champs</t>
  </si>
  <si>
    <t>BAL BHARATI PUBLIC
SCHOOL ROHINI</t>
  </si>
  <si>
    <t>SIM142503</t>
  </si>
  <si>
    <t>07020306903</t>
  </si>
  <si>
    <t>Robocrow</t>
  </si>
  <si>
    <t>The Curious
Crew</t>
  </si>
  <si>
    <t>LILAWATI VIDYA
MANDIR SR SEC
SCHOOL</t>
  </si>
  <si>
    <t>Lilawati Vidya Mandir Sr. Sec School , Near Rly. Under Bridge Shakti Nagar Delhi - 69-kamla Nagar District North Delhi (Delhi)</t>
  </si>
  <si>
    <t>SIM227988</t>
  </si>
  <si>
    <t>07070310304</t>
  </si>
  <si>
    <t>Ecovision</t>
  </si>
  <si>
    <t>SENAC</t>
  </si>
  <si>
    <t>HANSRAJ MODEL
SCHOOL</t>
  </si>
  <si>
    <t>Road No. 73, Punjabi Bagh, New Delhi - 110026 India.</t>
  </si>
  <si>
    <t>SIM147397</t>
  </si>
  <si>
    <t>32050500411</t>
  </si>
  <si>
    <t>Complete Driver Safety
System</t>
  </si>
  <si>
    <t>SVD
INVENTIONS</t>
  </si>
  <si>
    <t>GOVERNMENT
HIGHER SECONDARY
SCHOOL
KUNNAKKAVU
MALAPPURAM</t>
  </si>
  <si>
    <t>Ghss Kunnakkavu - Elamkulam Malappuram (Kerala)</t>
  </si>
  <si>
    <t>GHSS KUNNAKKAVU was established in 1974 and it is managed by the Department of Education. It is located in Rural area. It is located in PERINTHALMANNA block of MALAPPURAM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</si>
  <si>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SIM46664</t>
  </si>
  <si>
    <t>27201801807</t>
  </si>
  <si>
    <t>The Revolutionary
Leap Towards
Futuristic Fuel.</t>
  </si>
  <si>
    <t>Vortex</t>
  </si>
  <si>
    <t>PM SHRI KV NASIK
ROAD CAMP</t>
  </si>
  <si>
    <t>SIM192234</t>
  </si>
  <si>
    <t>33120102203</t>
  </si>
  <si>
    <t>Regen-z</t>
  </si>
  <si>
    <t>SRISHTI</t>
  </si>
  <si>
    <t>KIKANI VIDHYA
MANDIR</t>
  </si>
  <si>
    <t>Kikani Vidya Mandir Aided Higher Sec School - Kamarajapuram 35 Coimbatore (Tamil Nadu)</t>
  </si>
  <si>
    <t>KIKANI VIDYA MANDIR AIDED HIGHER SEC SCHOOL - Kamarajapuram 35 District Coimbatore (Tamil Nadu)</t>
  </si>
  <si>
    <t>SIM227780</t>
  </si>
  <si>
    <t>09140112007</t>
  </si>
  <si>
    <t>Chess move detection
with computer vision
algorithm</t>
  </si>
  <si>
    <t>Curosity Crew</t>
  </si>
  <si>
    <t>KENDRIYA VIDYALAYA</t>
  </si>
  <si>
    <t>KVS Varanasi Region is one of the 25 Regions under Kendriya Vidyalaya Sangathan. KVS Varanasi Region has 36 Kendriya Vidyalayas under its control. 03 KVs (KV Basti, New Cantt. &amp; BHU Varanasi) are running in double shifts. It covers Kendriya Vidyalayas of Eastern Uttar Pradesh.</t>
  </si>
  <si>
    <t>SIM175984</t>
  </si>
  <si>
    <t>15050301404</t>
  </si>
  <si>
    <t>Automatic Cloths
Retriver</t>
  </si>
  <si>
    <t>Chhurbura
team
chhuanthar</t>
  </si>
  <si>
    <t>HUNTHAR HIGH
SCHOOL
CHHUANTHAR</t>
  </si>
  <si>
    <t>Mizoram</t>
  </si>
  <si>
    <t>H.T. High School Chhuanthar (Lumpsum) | Serchhip , Government Of Mizoram | India</t>
  </si>
  <si>
    <t>The establishment of Serchhip District came into being on 15th September, 1998 from the existence of Rural Development Block. Serchhip is the smallest district in the state. The Tropic of Cancer passed through the District and is located in the central of the state of Mizoram.</t>
  </si>
  <si>
    <t>SIM202631</t>
  </si>
  <si>
    <t>16010300713</t>
  </si>
  <si>
    <t>GenBook - a revolution
to digital logbook and
data storing facilities</t>
  </si>
  <si>
    <t>GEN BOOK
ANDROID APP</t>
  </si>
  <si>
    <t>PRANAVANANDA
VIDYAMANDIR (RUN
BY BHARAT
SEVASHRAM SANGH)</t>
  </si>
  <si>
    <t>Tripura</t>
  </si>
  <si>
    <t>SIM55921</t>
  </si>
  <si>
    <t>Automated weather-
responsive clothes
drying system [the
smart clothes drying
system]</t>
  </si>
  <si>
    <t>Rains</t>
  </si>
  <si>
    <t>Apswr Jr. College,Kuntamukkala - Konduru Krishna (Andhra Pradesh)</t>
  </si>
  <si>
    <t>APSWR JR. COLLEGE,KUNTAMUKKALA was established in 1984 and it is managed by the Tribal/Social Welfare Department. It is located in Rural area. It is located in G.KONDURU block of KRISHNA district of ANDHRA PRADESH. The school consists of Grades from 1 to 12. The school is Girls and it doesn't have an attached pre-primary section. The school is Ashram (Govt.) in nature and is not using school building as a shift-school. English is the medium of instructions in this school. This school is approachable by all weather road. In this school academic session starts in April.</t>
  </si>
  <si>
    <t>SIM118463</t>
  </si>
  <si>
    <t>28110300803</t>
  </si>
  <si>
    <t>Zero waste &amp; immune
boost edible millet
utensils</t>
  </si>
  <si>
    <t>Raman team</t>
  </si>
  <si>
    <t>Z P H SCHOOL</t>
  </si>
  <si>
    <t>History</t>
  </si>
  <si>
    <t>"AP 10th Results 2019: Andhra Pradesh Board SSC results declared @ bseap.org, girls outshine boys – Times of India"</t>
  </si>
  <si>
    <t>SIM199965</t>
  </si>
  <si>
    <t>Smart Mobility for
Blind</t>
  </si>
  <si>
    <t>Smart Mobility</t>
  </si>
  <si>
    <t>SIM05496</t>
  </si>
  <si>
    <t>07090319604</t>
  </si>
  <si>
    <t>Swift Drain</t>
  </si>
  <si>
    <t>Shark Quad</t>
  </si>
  <si>
    <t>NEW GREEN FIELD
SCHOOL ALAKNANDA</t>
  </si>
  <si>
    <t>New Green Field School, Marg 22, Saket, New Delhi | 71st K.M. Stone, Delhi-Mathura Road, NH-2, Palwal, Haryana (NCR Delhi) 121102 | Address: 71st K.M. Stone, Delhi-Mathura Road, NH-2,</t>
  </si>
  <si>
    <t>SIM194094</t>
  </si>
  <si>
    <t>32140300115</t>
  </si>
  <si>
    <t>Drivers Alert System</t>
  </si>
  <si>
    <t>MGM T2</t>
  </si>
  <si>
    <t>MGM CENTRAL
PUBLIC SCHOOL</t>
  </si>
  <si>
    <t>MGM College of arts and science was established in the year 2015. It’s a affiliated to Kerala University. Approved by University Grant Commission [UGC] | Corporate Office : Flat No.B1, First Floor, SRK Cyber Heights, Near MGM Central Public School, Trivandrum, Kerala 6955011</t>
  </si>
  <si>
    <t>SIM139230</t>
  </si>
  <si>
    <t>21170511377</t>
  </si>
  <si>
    <t>Protective headgear</t>
  </si>
  <si>
    <t>Protective
Headgear</t>
  </si>
  <si>
    <t>DAV PUBLIC SCHOOL
KALINGA NAGAR</t>
  </si>
  <si>
    <t>DAV Public School, NTPC, Deepsikha, Kaniha,759123,Angul, Odisha(94372-94469) | Distt.-Angul, Pin Code-759148 (Odisha)</t>
  </si>
  <si>
    <t>SIM20311</t>
  </si>
  <si>
    <t>33281005501</t>
  </si>
  <si>
    <t>Naturally purifying the
air</t>
  </si>
  <si>
    <t>Greeny
vedanatham</t>
  </si>
  <si>
    <t>GHS, VEDANATHAM</t>
  </si>
  <si>
    <t>Ghs,Vedanatham - Vedanatham Thoothukkudi (Tamil Nadu)</t>
  </si>
  <si>
    <t>GHS,VEDANATHAM was established in 1937 and it is managed by the Department of Education. It is located in Rural area. It is located in OTTAPIDARAM RURAL block of THOOTHUKKUDI district of Tamil Nadu. The school consists of Grades from 6 to 10.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</si>
  <si>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SIM29004</t>
  </si>
  <si>
    <t>33041000194</t>
  </si>
  <si>
    <t>A^3
sensors[awareness
against abuse]</t>
  </si>
  <si>
    <t>Social Einstein</t>
  </si>
  <si>
    <t>AHSS ST MARY S</t>
  </si>
  <si>
    <t>Established in 1987, St. Mary’s Industrial School in Tenkasi has been a pioneer in providing quality vocational training in tailoring and fashion design. Recognized and accredited by the Tamil Nadu State Government, the institute empowers individuals with practical skills and creative expertise, enabling them to achieve self-reliance and pursue fulfilling careers.</t>
  </si>
  <si>
    <t>SIM19892</t>
  </si>
  <si>
    <t>33160400108</t>
  </si>
  <si>
    <t>Automatic milk
procurement and sale
station</t>
  </si>
  <si>
    <t>MOULANA HS
PERAMBALUR</t>
  </si>
  <si>
    <t>Mou-Hss Perambalur - Perambalur Perambalur (Tamil Nadu)</t>
  </si>
  <si>
    <t>MOU-HSS PERAMBALUR was established in 1938 and it is managed by the Pvt. Aided. It is located in Urban area. It is located in PERAMBALUR block of PERAMBALUR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</si>
  <si>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SIM27944</t>
  </si>
  <si>
    <t>09580216301</t>
  </si>
  <si>
    <t>Bionic arm for disabled</t>
  </si>
  <si>
    <t>KV AFS
GORAKHPUR</t>
  </si>
  <si>
    <t>KENDRIYA VIDYALAYA
AFS GORAKHPUR</t>
  </si>
  <si>
    <t>KENDRIYA VIDYALAYA BHU (F.S) NEAR POST OFFICE BHUCAMPUS, VARANASI, PIN CODE-221005 (UTTAR PRADESH)</t>
  </si>
  <si>
    <t>SIM12982</t>
  </si>
  <si>
    <t>33081701704</t>
  </si>
  <si>
    <t>Railway track obstacle
detector and accident
preventer</t>
  </si>
  <si>
    <t>ICE CUBE</t>
  </si>
  <si>
    <t>GHSPERIYAKADAMPA
TTI</t>
  </si>
  <si>
    <t>SIM75172</t>
  </si>
  <si>
    <t>29240108307</t>
  </si>
  <si>
    <t>Writing and Reading
Aid for Visual
Challengers</t>
  </si>
  <si>
    <t>Quantum
Quest</t>
  </si>
  <si>
    <t>S V S ENGLISH SCHOOL
VIDYAGIRI BANTWAL</t>
  </si>
  <si>
    <t>Secured 1St Place And Selected For Level.</t>
  </si>
  <si>
    <t>SVS ENGLISH MEDIUM HIGH SCHOOL VIDYAGIRI BANTWAL - Ward No-2 District Dakshina Kannada (Karnataka)</t>
  </si>
  <si>
    <t>SIM194808</t>
  </si>
  <si>
    <t>32040501317</t>
  </si>
  <si>
    <t>Disaster Response
Rover</t>
  </si>
  <si>
    <t>Inolabs</t>
  </si>
  <si>
    <t>BHARATIYA VIDYA
BHAVAN SCHOOL
KOZHIKODE</t>
  </si>
  <si>
    <t>SIM102041</t>
  </si>
  <si>
    <t>33070502702</t>
  </si>
  <si>
    <t>Digital wheelchair. We
are making this digital
wheelchair for non-
disabled people</t>
  </si>
  <si>
    <t>Red PPT SIM1</t>
  </si>
  <si>
    <t>GOVERNMENT
HIGHER SECONDARY
SCHOOL
PATHIRAPULIYUR</t>
  </si>
  <si>
    <t>GOVERNMENT HIGHER SECONDARY SCHOOL PATHIRAPULIYUR was established in 1950 and it is managed by the Department of Education. It is located in Rural area. It is located in MAILAM block of VILUPPURAM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</si>
  <si>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SIM37640</t>
  </si>
  <si>
    <t>Backbone support
chair</t>
  </si>
  <si>
    <t>HealthMaster</t>
  </si>
  <si>
    <t>SIM141614</t>
  </si>
  <si>
    <t>36171600602</t>
  </si>
  <si>
    <t>Yarn holder</t>
  </si>
  <si>
    <t>Team A</t>
  </si>
  <si>
    <t>ZPHS BANJARA NAGAR</t>
  </si>
  <si>
    <t>Zphs Banjara Nagar | Medak, Government Of Telangana | India</t>
  </si>
  <si>
    <t>ZPHS BANJARA NAGAR was established in 1953 and it is managed by the Local body. It is located in Rural area. It is located in NARSAPUR block of MEDAK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</si>
  <si>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SIM167453</t>
  </si>
  <si>
    <t>36170200307</t>
  </si>
  <si>
    <t>Magnetic crop
protection cover</t>
  </si>
  <si>
    <t>Super smart</t>
  </si>
  <si>
    <t>TELANGANA MODEL
SCHOOL REGODE</t>
  </si>
  <si>
    <t>Tsms Regode | Medak, Government Of Telangana | India</t>
  </si>
  <si>
    <t>TSMS REGODE was established in 2013 and it is managed by the Department of Education. It is located in Rural area. It is located in REGODE block of MEDAK district of Telangana. The school consists of Grades from 6 to 12. The school is Co-educational and it doesn't have an attached pre-primary section. The school is Model School in nature and is not using school building as a shift-school. English is the medium of instructions in this school. This school is approachable by all weather road. In this school academic session starts in April.</t>
  </si>
  <si>
    <t>SIM190480</t>
  </si>
  <si>
    <t>09090905408</t>
  </si>
  <si>
    <t>Regen bed</t>
  </si>
  <si>
    <t>Wellness
Wizards</t>
  </si>
  <si>
    <t>INDIRAPURAM PUBLIC
SCHOOL
INDIRAPURAM</t>
  </si>
  <si>
    <t>Plot number -EF-7 &amp; 8B, NH-24, Sain Vihar Rd, Dundahera, Ghaziabad, Uttar Pradesh 201009</t>
  </si>
  <si>
    <t>SIM176938</t>
  </si>
  <si>
    <t>28204400807</t>
  </si>
  <si>
    <t>Cooling device for hats
and helmets</t>
  </si>
  <si>
    <t>Jasmine</t>
  </si>
  <si>
    <t>APMDC PUBLIC
SCHOOL</t>
  </si>
  <si>
    <t>SIM222399</t>
  </si>
  <si>
    <t>07010304507</t>
  </si>
  <si>
    <t>Aquasense</t>
  </si>
  <si>
    <t>Water Tracker
System</t>
  </si>
  <si>
    <t>MOUNT ABU PUBLIC
SCHOOL</t>
  </si>
  <si>
    <t>#1 Best School in Rohini, Best IB PYP School in Delhi | , founded in 1998, is a leading educational institution in Delhi, | Block B Pocket 8 Sec 5, Rohini, Delhi - 110085, INDIA</t>
  </si>
  <si>
    <t>SIM00532</t>
  </si>
  <si>
    <t>24191300604</t>
  </si>
  <si>
    <t>Farm protecter</t>
  </si>
  <si>
    <t>ClassyTigers</t>
  </si>
  <si>
    <t>BARODA HIGH
SCHOOL
DANTESHWAR</t>
  </si>
  <si>
    <t>SIM160418</t>
  </si>
  <si>
    <t>06190105405</t>
  </si>
  <si>
    <t>Pop The Braille</t>
  </si>
  <si>
    <t>Dekho Bhai
Dekho</t>
  </si>
  <si>
    <t>DAV PUBLIC SCHOOL
FARIDABAD</t>
  </si>
  <si>
    <t>April 2024- January 2025 Sgfi Sports Level Achievements</t>
  </si>
  <si>
    <t>Sector-14, Faridabad, Haryana-121007</t>
  </si>
  <si>
    <t>SIM09208</t>
  </si>
  <si>
    <t>AI GupShup Goggles</t>
  </si>
  <si>
    <t>AI GUP SHUP
GOGGLES</t>
  </si>
  <si>
    <t>SIM218877</t>
  </si>
  <si>
    <t>Project Rakshak</t>
  </si>
  <si>
    <t>Rakshak</t>
  </si>
  <si>
    <t>SIM203405</t>
  </si>
  <si>
    <t>01060302007</t>
  </si>
  <si>
    <t>Temperature
Monitoring through
Arduino</t>
  </si>
  <si>
    <t>Team Panther</t>
  </si>
  <si>
    <t>OXFORD
PRESENTATION
SCHOOL</t>
  </si>
  <si>
    <t>SIM196069</t>
  </si>
  <si>
    <t>32051200302</t>
  </si>
  <si>
    <t>Mosquito Repellent
Machine</t>
  </si>
  <si>
    <t>Mifara</t>
  </si>
  <si>
    <t>GUPSARIYALLUR</t>
  </si>
  <si>
    <t>Gups Ariyallur - Vallikunnu Malappuram (Kerala)</t>
  </si>
  <si>
    <t>GUPS ARIYALLUR was established in 1910 and it is managed by the Department of Education. It is located in Rural area. It is located in PARAPPANANGADI block of MALAPPURAM district of Kerala. The school consists of Grades from 1 to 7.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</si>
  <si>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SIM80512</t>
  </si>
  <si>
    <t>21241205204</t>
  </si>
  <si>
    <t>Obstacles avoiding
train</t>
  </si>
  <si>
    <t>TEAM A</t>
  </si>
  <si>
    <t>KENDRIYA VIDYALAYA
NO1 BOLANGIR</t>
  </si>
  <si>
    <t>Bhubaneswar –751017 (Odisha)</t>
  </si>
  <si>
    <t>SIM189353</t>
  </si>
  <si>
    <t>34020112889</t>
  </si>
  <si>
    <t>Solar tracking
irrigation system</t>
  </si>
  <si>
    <t>Flora</t>
  </si>
  <si>
    <t>SRI SANKARA
VIDYALAYA HR SEC
SCHOOL</t>
  </si>
  <si>
    <t>No. 1 Sankararkulam, Area, Puducherry, Mahatma Gandhi Road, Mahatma Gandhi Roadmg Road, Pondicherry MG Road, Pondicherry - 605001</t>
  </si>
  <si>
    <t>SIM21116</t>
  </si>
  <si>
    <t>08020131201</t>
  </si>
  <si>
    <t>Gas leakage safety
system</t>
  </si>
  <si>
    <t>mggs air</t>
  </si>
  <si>
    <t>MAHATMA GANDHI
GOVT SCHOOL 17 KSP</t>
  </si>
  <si>
    <t>--Select</t>
  </si>
  <si>
    <t>Schools in Gms 2 Knj Makkasar Cluster, List of Schools in Gms 2 Knj Makkasar Cluster, Hanumangarh District (Rajasthan)</t>
  </si>
  <si>
    <t>SIM106378</t>
  </si>
  <si>
    <t>28060600105</t>
  </si>
  <si>
    <t>Bharatbionic</t>
  </si>
  <si>
    <t>BHARAT
Bionic Hand
Assisted with
Rescue and
Advance
Technology</t>
  </si>
  <si>
    <t>ARMY PUBLIC SCHOOL
BOLARUM</t>
  </si>
  <si>
    <t>School in India, No.1 in Telangana and No.1 in Secunderabad by CFORE</t>
  </si>
  <si>
    <t>SIM159732</t>
  </si>
  <si>
    <t>Vision for the blind</t>
  </si>
  <si>
    <t>Chakshu</t>
  </si>
  <si>
    <t>SIM07128</t>
  </si>
  <si>
    <t>09300800216</t>
  </si>
  <si>
    <t>Drone-based plant
disease detection</t>
  </si>
  <si>
    <t>Team Samraat</t>
  </si>
  <si>
    <t>MAYA DEVI INTER
COLLEGE KANNAUJ</t>
  </si>
  <si>
    <t>Maya Devi Higher Secondary School - Kannauj Kannauj (Uttar Pradesh)</t>
  </si>
  <si>
    <t>MAYA DEVI HIGHER SECONDARY SCHOOL was established in 1998 and it is managed by the Pvt. Unaided. It is located in Rural area. It is located in KANNAUJ CITY block of KANNAUJ district of Uttar Pradesh. The school consists of Grades from 9 to 12. The school is Co-educational and it doesn't have an attached pre-primary section. The school is Ashram (Govt.) in nature and is not using school building as a shift-school. Hindi is the medium of instructions in this school. This school is approachable by all weather road. In this school academic session starts in April.</t>
  </si>
  <si>
    <t>SIM161933</t>
  </si>
  <si>
    <t>09020203106</t>
  </si>
  <si>
    <t>Farmer current
protector</t>
  </si>
  <si>
    <t>Kanya</t>
  </si>
  <si>
    <t>KKIC KAZIKHERA
JAGAHERI
MUZAFFARNAGAR</t>
  </si>
  <si>
    <t>About</t>
  </si>
  <si>
    <t>More than 40% of the region’s population is engaged in agriculture. According to Economic Survey Muzaffarnagar has the highest agricultural GDP in Uttar Pradesh, as well as UP’s largest granary. Despite its economic strength, the city has been absent from the map of the foreign and modern business establishments.</t>
  </si>
  <si>
    <t>SIM182477</t>
  </si>
  <si>
    <t>05080100404</t>
  </si>
  <si>
    <t>Alarm system for
protection of crops
from animals in rural
areas.</t>
  </si>
  <si>
    <t>Baghnath Girls</t>
  </si>
  <si>
    <t>PM SHRI S S S S L V G G
I C BAGESHWAR</t>
  </si>
  <si>
    <t>PARTICIPATED IN 38TH NATIONAL GAMES(UTTARAKHAND) IN UTTARAKHAND WOMEN FOOTBALL TEAM</t>
  </si>
  <si>
    <t>SIM160088</t>
  </si>
  <si>
    <t>19170107712</t>
  </si>
  <si>
    <t>Algae as biofuel</t>
  </si>
  <si>
    <t>Algae as fuel</t>
  </si>
  <si>
    <t>Kendriya Vidyalaya Sangathan, Regional Office Kolkata came into existence in 1980. One of the 25 regions of Kendriya Vidyalaya Sangathan, Kolkata Region has jurisdiction over 64 KVs located in West Bengal &amp; Sikkim; 62 in West Bengal &amp; 2 in Sikkim. There are 31 Civil Sector KVs, 23 Defence Sector KVs, 06 Project Sector KVs, and 02 IHL Sector KVs. catering to the educational requirements of 73,373 students as on 30.01.2024.</t>
  </si>
  <si>
    <t>SIM187687</t>
  </si>
  <si>
    <t>04011300106</t>
  </si>
  <si>
    <t>The pothole cleaning
robot</t>
  </si>
  <si>
    <t>Team F</t>
  </si>
  <si>
    <t>MOTI RAM ARYA
SENIOR SECONDARY
MODEL SCHOOL
CHANDIGARH</t>
  </si>
  <si>
    <t>Our School Band Bagged First Position At Level</t>
  </si>
  <si>
    <t>M.R.A. Senior Secondary Model School Sector 27-A Chandigarh | M.R.A Senior Secondary Model School, Sector 27 A, Chandigarh-160027</t>
  </si>
  <si>
    <t>SIM79680</t>
  </si>
  <si>
    <t>07070305701</t>
  </si>
  <si>
    <t>Medico Bot</t>
  </si>
  <si>
    <t>DAV CENTENARY
PUBLIC SCHOOL</t>
  </si>
  <si>
    <t>Inter Zonal Activities (Level)</t>
  </si>
  <si>
    <t>The school was set up on April 13, 1986 by Sh. Darbari Lal Ji. It was upgraded to class X in 1993 and to class XII in 2002. This school happens to be the first school in Delhi to be fully computerized where the whole faculty is trained in ICT. We have the most modern, well-equipped, well-furnished and magnificent Laboratories. The school is imparting quality education using information. | The school was set up on April 13, 1986 by Sh. Darbari Lal Ji. It was upgraded to class X in 1993 and to class XII in 2002. This school happens to be the first school in Delhi to be fully computerized where the whole faculty is trained in ICT. We have the most modern, well-equipped, well-furnished and magnificent Laboratories. The school is imparting quality education using information technology at primary and pre-</t>
  </si>
  <si>
    <t>SIM222677</t>
  </si>
  <si>
    <t>30010602012</t>
  </si>
  <si>
    <t>Auto aqua tank cleaner</t>
  </si>
  <si>
    <t>INNOVATORS
UNITED</t>
  </si>
  <si>
    <t>SES HIGHER
SECONDARY SCHOOL
USGAON GOA</t>
  </si>
  <si>
    <t>Goa</t>
  </si>
  <si>
    <t>Sarvodaya Education Societys Hr Sec - Usgao North Goa (Goa)</t>
  </si>
  <si>
    <t>Late Shri. Sakharam Usgaonkar donated a plot of 3,000 sqmt to the society in 1972. Thereafter, the construction of the building was completed in 1974. It was inaugurated at the hands of the then CM of Goa Late Smt. Shashikala Kakodkar in the presence of the then Minister for Planning &amp; Development Late Shri. Atchut K.S. Usgaonkar.</t>
  </si>
  <si>
    <t>SIM203607</t>
  </si>
  <si>
    <t>Vyapar Setu</t>
  </si>
  <si>
    <t>VYAPARI</t>
  </si>
  <si>
    <t>SIM130253</t>
  </si>
  <si>
    <t>01060303702</t>
  </si>
  <si>
    <t>Therapist Bot</t>
  </si>
  <si>
    <t>TECH ALLURE</t>
  </si>
  <si>
    <t>RADIANT PUBLIC
SCHOOL BATANGOO</t>
  </si>
  <si>
    <t>Radiant Public School Batangoo - Naibasti  A Anantnag (Jammu And Kashmir)</t>
  </si>
  <si>
    <t>RADIANT PUBLIC SCHOOL BATANGOO was established in 2000 and it is managed by the Pvt. Unaided. It is located in Urban area. It is located in ANANTNAG block of ANANTNAG district of Jammu and Kashmir. The school consists of Grades from 5 to 10. The school is Co-educational and it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</si>
  <si>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SIM03838</t>
  </si>
  <si>
    <t>29280601823</t>
  </si>
  <si>
    <t>Life Light</t>
  </si>
  <si>
    <t>Intellectual
Innovators</t>
  </si>
  <si>
    <t>KENDRIYA VIDYALAYA
MEG AND CENTRE</t>
  </si>
  <si>
    <t>Kendriya Vidyalaya Channapatna, Ramanagara 562161</t>
  </si>
  <si>
    <t>Miss Manaswini Dutta of class IX bagged 3rd prize in a Drawing and painting competition as a part of the pre-event of KARNAPEX 2024 organized by Department of Posts, Karnataka.</t>
  </si>
  <si>
    <t>SIM187247</t>
  </si>
  <si>
    <t>33290203822</t>
  </si>
  <si>
    <t>RRR -river rescue and
restoration</t>
  </si>
  <si>
    <t>ST MARYS HR SEC
SCHOOL
VICKRAMASINGAPURA
M</t>
  </si>
  <si>
    <t>is an educational institution established in 1944 by Rev.Father Caussanal. and run by the brothers of sacred heart who also run various other schools in Tamil Nadu</t>
  </si>
  <si>
    <t>SIM106719</t>
  </si>
  <si>
    <t>33311700403</t>
  </si>
  <si>
    <t>Hills area accident
prevent system</t>
  </si>
  <si>
    <t>Diya</t>
  </si>
  <si>
    <t>GHSS ANCHETTY</t>
  </si>
  <si>
    <t>Ghss Anchetty - Anchetty Krishanagiri (Tamil Nadu)</t>
  </si>
  <si>
    <t>GHSS ANCHETTY was established in 1968 and it is managed by the Department of Education. It is located in Rural area. It is located in THALLY block of KRISHANAGIRI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</si>
  <si>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SIM00078</t>
  </si>
  <si>
    <t>Water fetcher</t>
  </si>
  <si>
    <t>TeamB</t>
  </si>
  <si>
    <t>SIM223731</t>
  </si>
  <si>
    <t>36210890510</t>
  </si>
  <si>
    <t>Diatomaceous earth: a
natural ally</t>
  </si>
  <si>
    <t>BSRKV18</t>
  </si>
  <si>
    <t>BHAVANS SRI
RAMAKRISHNA
VIDYALAYA</t>
  </si>
  <si>
    <t>Bhavan's Sri Ramakrishna Vidyalaya, Sainikpuri, celebrated its 45th Annual Day on Thursday. Swati Lakra, IPS, Inspector General of Police, Law and Order &amp; I/C Women Safety, Telangana was the chief guest.</t>
  </si>
  <si>
    <t>SIM32663</t>
  </si>
  <si>
    <t>05050420913</t>
  </si>
  <si>
    <t>Agri smart rain
protector</t>
  </si>
  <si>
    <t>Galaxy Fri</t>
  </si>
  <si>
    <t>Kendriya Vidyalaya Augustyamuni, Rudraprayag, Uttrakhand -246421</t>
  </si>
  <si>
    <t>PM SHRI Kendriya Vidyalaya No1 Hathibarkala, Salawala, Dehradun (Uttarakhand)</t>
  </si>
  <si>
    <t>SIM136615</t>
  </si>
  <si>
    <t>05061201803</t>
  </si>
  <si>
    <t>Farmer helping device</t>
  </si>
  <si>
    <t>Buddy
Innovator</t>
  </si>
  <si>
    <t>KENDRIYA VIDYALAYA
LANSDOWNE</t>
  </si>
  <si>
    <t>Post Office Bharkatia Pithoragarh Pincode 262520</t>
  </si>
  <si>
    <t>SIM176500</t>
  </si>
  <si>
    <t>Polyspires: plastic
metamorphosis</t>
  </si>
  <si>
    <t>PolySpires</t>
  </si>
  <si>
    <t>SIM01586</t>
  </si>
  <si>
    <t>06191604314</t>
  </si>
  <si>
    <t>Speakease</t>
  </si>
  <si>
    <t>SpeakEase</t>
  </si>
  <si>
    <t>DELHI PUBLIC
SCHOOL GREATER
FARIDABAD</t>
  </si>
  <si>
    <t>3Rd Position In Faridabad</t>
  </si>
  <si>
    <t>Sector-81, Faridabad (Haryana)-121004 | Sector-81, Greater Faridabad, (Haryana)-121004</t>
  </si>
  <si>
    <t>SIM96532</t>
  </si>
  <si>
    <t>Trainmate</t>
  </si>
  <si>
    <t>Tech Team</t>
  </si>
  <si>
    <t>SIM180074</t>
  </si>
  <si>
    <t>29260704801</t>
  </si>
  <si>
    <t>Biodegradable Sapling
Pots</t>
  </si>
  <si>
    <t>GHSNIZAMIYA</t>
  </si>
  <si>
    <t>S</t>
  </si>
  <si>
    <t>ಜನಸೇವಕ ಕರ್ನಾಟಕ ಸರ್ಕಾರದ ಯೋಜನೆಯಾಗಿದ್ದು, ರಾಜ್ಯದ ನಾಗರಿಕರ ಮನೆ ಬಾಗಿಲಿಗೆ ಸರ್ಕಾರದ ಸೇವೆಗಳನ್ನು ತಲುಪಿಸಿ ಅವರ ದೈನಂದಿನ ಜೀವನವನ್ನು ಸುಗಮಗೊಳಿಸುವ ಉದ್ದೇಶದಿಂದ ಈ ಯೋಜನೆಯನ್ನು ಪ್ರಾರಂಭಿಸಲಾಗಿದೆ. ನಾಗರಿಕರು ತಮ್ಮ ಅನುಕೂಲಕರ ದಿನ ಹಾಗೂ ಸಮಯದ ಆಧಾರದಲ್ಲಿ 8AM ರಿಂದ 8PM ನಡುವೆ ಎಲ್ಲಾ ದಿನಗಳಲ್ಲಿ ಸ್ಲಾಟ್ ಬುಕ್ ಮಾಡಬಹುದು. ಹೆಚ್ಚಿನ ಮಾಹಿತಿ ಹಾಗೂ ಸೇವೆಗಳಿಗಾಗಿ https://www.janasevaka.karnataka.gov.in/index.html ಜಾಲತಾಣಕ್ಕೆ ಭೇಟಿ ನೀಡಿ.</t>
  </si>
  <si>
    <t>SIM158481</t>
  </si>
  <si>
    <t>32141100102</t>
  </si>
  <si>
    <t>Egg Genesis</t>
  </si>
  <si>
    <t>Team8</t>
  </si>
  <si>
    <t>GHSS
KAMALESWARAM</t>
  </si>
  <si>
    <t>Ghss, Kamaleswaram  - Ambalathara Thiruvananthapuram (Kerala)</t>
  </si>
  <si>
    <t>GHSS, KAMALESWARAM was established in 1908 and it is managed by the Department of Education. It is located in Urban area. It is located in TRIVANDRUM SOUTH block of THIRUVANANTHAPURAM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</si>
  <si>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SIM144172</t>
  </si>
  <si>
    <t>32131200505</t>
  </si>
  <si>
    <t>Semi Automated Gas
Stove</t>
  </si>
  <si>
    <t>SOCIAL
ENGINEERS</t>
  </si>
  <si>
    <t>MIMUPS CHENKULAM</t>
  </si>
  <si>
    <t>Mim Ups Chenkulam Upper Primary School (MUCUPS) located at Kollam Veliyam Ghs Pooyappally Pooyappally is one of the popular schools in India. The School has been rated by 9 people on iCBSE. The Mim Ups Chenkulam Upper Primary School has been viewed 84 times by the visitors on iCBSE. This School is counted among the top-rated Schools in Kerala with an excellent academic track record.</t>
  </si>
  <si>
    <t>SIM134724</t>
  </si>
  <si>
    <t>32140600404</t>
  </si>
  <si>
    <t>A Suitable
Replacement to Soil for
Terrace Gardens</t>
  </si>
  <si>
    <t>HS
KARAKULAM
7</t>
  </si>
  <si>
    <t>GOVT VHSS
KARAKULAM</t>
  </si>
  <si>
    <t>Govt. Vhss Karakulam - Karakulam Thiruvananthapuram (Kerala)</t>
  </si>
  <si>
    <t>GOVT. VHSS KARAKULAM was established in 1974 and it is managed by the Department of Education. It is located in Rural area. It is located in NEDUMANGADU block of THIRUVANANTHAPURAM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</si>
  <si>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SIM174231</t>
  </si>
  <si>
    <t>23320302707</t>
  </si>
  <si>
    <t>Smart Cloth Stand</t>
  </si>
  <si>
    <t>Byte Coders</t>
  </si>
  <si>
    <t>SIM96628</t>
  </si>
  <si>
    <t>33060405901</t>
  </si>
  <si>
    <t>A tree that grows when
explodes</t>
  </si>
  <si>
    <t>Team09</t>
  </si>
  <si>
    <t>GHSS BOYS
PERNAMALLUR</t>
  </si>
  <si>
    <t>Ghss-Pernamallur - Pernamallur Tiruvannamalai (Tamil Nadu)</t>
  </si>
  <si>
    <t>GHSS-PERNAMALLUR was established in 1950 and it is managed by the Department of Education. It is located in Rural area. It is located in PERNAMALLUR block of TIRUVANNAMALAI district of Tamil Nadu. The school consists of Grades from 6 to 12. The school is Boys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</si>
  <si>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SIM23856</t>
  </si>
  <si>
    <t>33110101711</t>
  </si>
  <si>
    <t>Home purified clean
water</t>
  </si>
  <si>
    <t>Albert einstein</t>
  </si>
  <si>
    <t>GOVERNMENT
HIGHER SECONDARY
SCHOOL SHOLUR</t>
  </si>
  <si>
    <t>Government Higher Secondary School Sholur - Sholur The Nilgiris (Tamil Nadu)</t>
  </si>
  <si>
    <t>GOVERNMENT HIGHER SECONDARY SCHOOL SHOLUR was established in 1961 and it is managed by the Department of Education. It is located in Rural area. It is located in UDHAGAMANDALAM block of THE NILGIRIS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</si>
  <si>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SIM123906</t>
  </si>
  <si>
    <t>36101001603</t>
  </si>
  <si>
    <t>Automatic seeding
machine</t>
  </si>
  <si>
    <t>A team</t>
  </si>
  <si>
    <t>ZPHS
MUNIGALAVEEDU</t>
  </si>
  <si>
    <t>Zphs Munigalaveedu - Munugalvedu Warangal (Telangana)</t>
  </si>
  <si>
    <t>ZPHS MUNIGALAVEEDU was established in 1958 and it is managed by the Local body. It is located in Rural area. It is located in NELLIKUDUR block of WARANGAL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</si>
  <si>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SIM126369</t>
  </si>
  <si>
    <t>36120800117</t>
  </si>
  <si>
    <t>Smart electric pole</t>
  </si>
  <si>
    <t>Ramanujan</t>
  </si>
  <si>
    <t>GGHS LASHKAR
BAZAR</t>
  </si>
  <si>
    <t>Ghs (G) L Bazar - Hanamkonda-3 Warangal (Telangana)</t>
  </si>
  <si>
    <t>GHS (G) L BAZAR - Hanamkonda-3 District Warangal (Telangana)</t>
  </si>
  <si>
    <t>SIM104896</t>
  </si>
  <si>
    <t>28204200715</t>
  </si>
  <si>
    <t>Automatic sun shade
pad for nursery
saplings</t>
  </si>
  <si>
    <t>Creative Minds</t>
  </si>
  <si>
    <t>ZILLAPARISAD HIGH
SCHOOL CHITVEL
BAGHTHAL</t>
  </si>
  <si>
    <t>Zphs Chitvel - Chitvel Kadapa (Andhra Pradesh)</t>
  </si>
  <si>
    <t>ZPHS CHITVEL was established in 1956 and it is managed by the Local body. It is located in Rural area. It is located in CHITVEL block of KADAPA district of ANDHRA PRADESH.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</si>
  <si>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SIM111727</t>
  </si>
  <si>
    <t>28163701402</t>
  </si>
  <si>
    <t>Electronic fruit
harvester</t>
  </si>
  <si>
    <t>A Satish Babu</t>
  </si>
  <si>
    <t>ZPHS TAPASIPUDI</t>
  </si>
  <si>
    <t>Zphs Tavisipudi (28163701402) | Krishna , Government Of Andhra Pradesh | India</t>
  </si>
  <si>
    <t>ZPHS TAVISIPUDI (28163701402), Krishna District, Government of Andhra Pradesh, India | The Collectorate is divided into 8 sections as per the administrative reforms taken up by the Government of Andhra Pradesh. An alphabet letter is given to each section for easy reference. | The Collectorate is divided into 4 sections as per the Administrative Reforms taken up by the Government of Andhra Pradesh. | Demography - 2011, Krishna District, Government of Andhra Pradesh, India</t>
  </si>
  <si>
    <t>SIM209184</t>
  </si>
  <si>
    <t>28133090381</t>
  </si>
  <si>
    <t>Automatic welding
helmet</t>
  </si>
  <si>
    <t>SUPER
SCIENTISTS</t>
  </si>
  <si>
    <t>VIGNAN STEEL CITY
PUBLIC SCHOOL</t>
  </si>
  <si>
    <t>Information</t>
  </si>
  <si>
    <t>Dr.L.Rathaiah, the educationist, started Vignan Tutorials in 1982 and with the intiation of Vignan High school in 1983, a new era of education started in Andhra Pradesh. From then onwards, Vignan started spreading to many Junior colleges, Degree colleges, PG colleges, Engineering colleges, Pharmacy Colleges so much so that today Vignan has became the biggest Hub of educational activity in AP and Telangana setting benchmarks which other institutions can only dream of.</t>
  </si>
  <si>
    <t>SIM166797</t>
  </si>
  <si>
    <t>06180101925</t>
  </si>
  <si>
    <t>Pothole Detector And
Filler</t>
  </si>
  <si>
    <t>PDF Systems</t>
  </si>
  <si>
    <t>BLUE BELLS PUBLIC
SCHOOL</t>
  </si>
  <si>
    <t>Sector -4, Urban Estate, Gurgaon -122001, Haryana, INDIA</t>
  </si>
  <si>
    <t>SIM182241</t>
  </si>
  <si>
    <t>06010103902</t>
  </si>
  <si>
    <t>Sentence Correcter</t>
  </si>
  <si>
    <t>TEAM 2</t>
  </si>
  <si>
    <t>SAINT SOLDIERS
DIVINE PUBLIC
SCHOOL PANCHKULA</t>
  </si>
  <si>
    <t>Panchkula</t>
  </si>
  <si>
    <t>Sector 16,Panchkula, Haryana</t>
  </si>
  <si>
    <t>SIM04284</t>
  </si>
  <si>
    <t>01140106906</t>
  </si>
  <si>
    <t>Smart Shopping Cart</t>
  </si>
  <si>
    <t>Bhumika team</t>
  </si>
  <si>
    <t>SPRING DALES
ENGLISH SCHOOL</t>
  </si>
  <si>
    <t>SIM143024</t>
  </si>
  <si>
    <t>01061601403</t>
  </si>
  <si>
    <t>Smart School Bag with
Safety Features</t>
  </si>
  <si>
    <t>Harpora
draway 6th</t>
  </si>
  <si>
    <t>MIDDLE SCHOOL
HARPORA DRAWAY</t>
  </si>
  <si>
    <t>Ps Harpora Draway - Draway Anantnag (Jammu And Kashmir)</t>
  </si>
  <si>
    <t>PS HARPORA DRAWAY was established in 2008 and it is managed by the Department of Education. It is located in Rural area. It is located in VAILOO block of ANANTNAG district of Jammu and Kashmir. The school consists of Grades from 1 to 8. The school is Co-educational and it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</si>
  <si>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SIM224456</t>
  </si>
  <si>
    <t>01140503420</t>
  </si>
  <si>
    <t>Fruit Plucker</t>
  </si>
  <si>
    <t>VIIB1</t>
  </si>
  <si>
    <t>PM SHRI KENDRIYA
VIDYALAYA KATHUA</t>
  </si>
  <si>
    <t>SIM221205</t>
  </si>
  <si>
    <t>32060800607</t>
  </si>
  <si>
    <t>Odourless Sanitary Pad
Disposer</t>
  </si>
  <si>
    <t>TRK Geeks</t>
  </si>
  <si>
    <t>TRK HSS
VANIYAMKULAM</t>
  </si>
  <si>
    <t>Trkhss Vaniyamkulam - Vaniyamkulam1 Palakkad (Kerala)</t>
  </si>
  <si>
    <t>TRKHSS VANIYAMKULAM - Vaniyamkulam1 District Palakkad (Kerala)</t>
  </si>
  <si>
    <t>SIM169293</t>
  </si>
  <si>
    <t>32141100310</t>
  </si>
  <si>
    <t>Drishti- Drug
Recognition and
Identification Straw for
Holistic Tamper-Proof
Intervention</t>
  </si>
  <si>
    <t>Orcas</t>
  </si>
  <si>
    <t>GOVT GIRLS HSS
COTTONHILL</t>
  </si>
  <si>
    <t>School In Thiruvananthapuram , Kerala, India</t>
  </si>
  <si>
    <t>In 1997, the Kerala Government decided to delink pre-degree courses from universities and introduced two years HSS course (Plus two course) in selected high schools. The school was recognized as a "school of excellence" making it a role model for other schools.</t>
  </si>
  <si>
    <t>SIM219810</t>
  </si>
  <si>
    <t>27091507402</t>
  </si>
  <si>
    <t>Safety Sandal</t>
  </si>
  <si>
    <t>NV SHINING
STAR</t>
  </si>
  <si>
    <t>BABA NANAK SINDHI
HINDI HIGH SCHOOL
AND JUNIOR COLLEGE</t>
  </si>
  <si>
    <t>Baba Nanak Sindhi Hindi Mdy Jr - Nawabpura Nagpur (Maharashtra)</t>
  </si>
  <si>
    <t>BABA NANAK SINDHI HINDI MDY JR was established in 1971 and it is managed by the Pvt. Aided. It is located in Urban area. It is located in URC 2 block of NAGPUR district of Maharashtra. The school consists of Grades from 5 to 12. The school is Co-educational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</si>
  <si>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SIM186759</t>
  </si>
  <si>
    <t>27311026405</t>
  </si>
  <si>
    <t>Automatic Sanitary
Pad Machine</t>
  </si>
  <si>
    <t>Researchers</t>
  </si>
  <si>
    <t>BHIMABAI AMBEDKAR
KANYA VIDYAMANDIR</t>
  </si>
  <si>
    <t>Bhimabai Ambedakar Kanya Schoo - Satara Ward No 6 Satara (Maharashtra)</t>
  </si>
  <si>
    <t>BHIMABAI AMBEDAKAR KANYA SCHOO - Satara Ward No 6 District Satara (Maharashtra)</t>
  </si>
  <si>
    <t>SIM197656</t>
  </si>
  <si>
    <t>21120406482</t>
  </si>
  <si>
    <t>Neuron boots</t>
  </si>
  <si>
    <t>NXT GEN
INNOVATORS</t>
  </si>
  <si>
    <t>SAI INTERNATIONAL
RESIDENTIAL SCHOOL</t>
  </si>
  <si>
    <t>Plot - 5A, Chandrasekharpur, Infocity Road, Bhubaneswar - 751024, Odisha, INDIA</t>
  </si>
  <si>
    <t>SIM01980</t>
  </si>
  <si>
    <t>03090508309</t>
  </si>
  <si>
    <t>Spectacles prevent
accident</t>
  </si>
  <si>
    <t>Tech Spark</t>
  </si>
  <si>
    <t>BCM SCHOOL BASANT
AVENUE DUGRI
LUDHIANA</t>
  </si>
  <si>
    <t>SIM192999</t>
  </si>
  <si>
    <t>03221005708</t>
  </si>
  <si>
    <t>The great carbon shift</t>
  </si>
  <si>
    <t>TEAM
MADHOPUR</t>
  </si>
  <si>
    <t>ARMY PUBLIC SCHOOL
MADHOPUR</t>
  </si>
  <si>
    <t>Army School Madhopur Cantt - Madhopur Cantt Pathankot (Punjab)</t>
  </si>
  <si>
    <t>ARMY SCHOOL MADHOPUR CANTT was established in 1993 and it is managed by the Central Govt.. It is located in Rural area. It is located in SUJANPUR block of PATHANKOT district of Punjab. The school consists of Grades from 1 to 10. The school is Co-educational and it doesn't have an attached pre-primary section. The school is N/A in nature and is not using school building as a shift-school. English is the medium of instructions in this school. This school is approachable by all weather road. In this school academic session starts in April.</t>
  </si>
  <si>
    <t>SIM04120</t>
  </si>
  <si>
    <t>09670909806</t>
  </si>
  <si>
    <t>Shakti- technology that
cares</t>
  </si>
  <si>
    <t>Designovation</t>
  </si>
  <si>
    <t>SUNBEAM SCHOOL
VARUN</t>
  </si>
  <si>
    <t>SIM202391</t>
  </si>
  <si>
    <t>19080105605</t>
  </si>
  <si>
    <t>Dynamic distance
based highway toll
taxing system</t>
  </si>
  <si>
    <t>ASTRALIS</t>
  </si>
  <si>
    <t>KV BOLPUR</t>
  </si>
  <si>
    <t>Santiniketan, Nestled In The Birbhum Of West Bengal, India, Is A Unique Cultural ...</t>
  </si>
  <si>
    <t>! People grow paddy, wheat, and jute on small farms—over 38% are less than 1 acre. About 51.57% of workers are farm labourers, the highest in West Bengal. The red soil is tough, but farmers use smart ways like double cropping to grow more.</t>
  </si>
  <si>
    <t>SIM187630</t>
  </si>
  <si>
    <t>22110437302</t>
  </si>
  <si>
    <t>QROB(quick response
robot ) -agni rakshak</t>
  </si>
  <si>
    <t>The Robo
Revolutions</t>
  </si>
  <si>
    <t>PM SHRI PT R D
TIWARI GEM SCHOOL</t>
  </si>
  <si>
    <t>© 2020 Content owned, updated and maintained by the Department of School Education, Raipur Chhattisgarh.</t>
  </si>
  <si>
    <t>SIM175690</t>
  </si>
  <si>
    <t>07040322806</t>
  </si>
  <si>
    <t>Ucled Security
Solutions</t>
  </si>
  <si>
    <t>Delta electron</t>
  </si>
  <si>
    <t>MOTHERS GLOBAL
SCHOOL</t>
  </si>
  <si>
    <t>SIM194864</t>
  </si>
  <si>
    <t>radar-proof drones</t>
  </si>
  <si>
    <t>AEROSONIC</t>
  </si>
  <si>
    <t>SIM107891</t>
  </si>
  <si>
    <t>01150902501</t>
  </si>
  <si>
    <t>Smart Curve or
Intelligent Curve
Warning System</t>
  </si>
  <si>
    <t>SHADAB
WARRIOR 7</t>
  </si>
  <si>
    <t>HS SHADAB KAREWA</t>
  </si>
  <si>
    <t>High School Shadab Karewa - Manloo Shopian (Jammu And Kashmir)</t>
  </si>
  <si>
    <t>HIGH SCHOOL SHADAB KAREWA was established in 1960 and it is managed by the Department of Education. It is located in Rural area. It is located in SHOPIAN block of SHOPIAN district of Jammu and Kashmir. The school consists of Grades from 3 to 10.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</si>
  <si>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SIM171227</t>
  </si>
  <si>
    <t>29280706406</t>
  </si>
  <si>
    <t>Smart Street Lighting
System Using Ldr and
LED Technology</t>
  </si>
  <si>
    <t>TECH
HACKERS</t>
  </si>
  <si>
    <t>NEW BLOSSOMS
EDUCATION SOCIETY</t>
  </si>
  <si>
    <t>SIM148596</t>
  </si>
  <si>
    <t>29240101004</t>
  </si>
  <si>
    <t>Uraflush: A
Sustainable, Electricity-
Free Flushing System
With Efficient Urine
Separation and Water
Recycling</t>
  </si>
  <si>
    <t>PHOENIXZ</t>
  </si>
  <si>
    <t>Pm Shri School, Jawahar Navodaya Vidyalaya, Bangalore Urban</t>
  </si>
  <si>
    <t>Jawahar Navodaya Vidyalaya, Bagalur Village, Bangalore Urban District, Pin No. 562149, KARNATAKA STATE, INDIA.</t>
  </si>
  <si>
    <t>SIM171571</t>
  </si>
  <si>
    <t>32140400213</t>
  </si>
  <si>
    <t>Rfi Based Healthcare
Protection</t>
  </si>
  <si>
    <t>Al CODERS</t>
  </si>
  <si>
    <t>VISWADEEPTHI
ENGLISH MEDIUM
SCHOOL</t>
  </si>
  <si>
    <t>SIM168531</t>
  </si>
  <si>
    <t>32030201406</t>
  </si>
  <si>
    <t>Indore Vertical
Farming</t>
  </si>
  <si>
    <t>UP
INNOVATION</t>
  </si>
  <si>
    <t>GHSS MEENANGADI</t>
  </si>
  <si>
    <t>Ghss Meenangadi - Purakkadi Wayanad (Kerala)</t>
  </si>
  <si>
    <t>GHSS MEENANGADI was established in 1958 and it is managed by the Department of Education. It is located in Rural area. It is located in SULTHAN BATHERY block of WAYANAD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</si>
  <si>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SIM197371</t>
  </si>
  <si>
    <t>23320400633</t>
  </si>
  <si>
    <t>Neat Nest</t>
  </si>
  <si>
    <t>NEAT NEST</t>
  </si>
  <si>
    <t>ST JOSEPHS CONVENT
SR SEC SCHOOL IDGAH</t>
  </si>
  <si>
    <t>1956 establishments in Madhya Pradesh</t>
  </si>
  <si>
    <t>SIM137258</t>
  </si>
  <si>
    <t>23350314307</t>
  </si>
  <si>
    <t>Adjustable Pyau</t>
  </si>
  <si>
    <t>SIM GHSS
JEEN</t>
  </si>
  <si>
    <t>GHSS JEEN BETUL</t>
  </si>
  <si>
    <t>Govt Hss Jeen - Jeen Betul (Madhya Pradesh)</t>
  </si>
  <si>
    <t>GOVT HSS JEEN was established in 1983 and it is managed by the Department of Education. It is located in Rural area. It is located in BETUL block of BETUL district of Madhya Pradesh. The school consists of Grades from 9 to 12. The school is Co-educational and it doesn't have an attached pre-primary section. The school is Non-Ashram type (Govt.) in nature and is not using school building as a shift-school. Hindi is the medium of instructions in this school. This school is approachable by all weather road. In this school academic session starts in April.</t>
  </si>
  <si>
    <t>SIM50435</t>
  </si>
  <si>
    <t>27150300115</t>
  </si>
  <si>
    <t>Econest: Cultivating
Green Communities</t>
  </si>
  <si>
    <t>team titan</t>
  </si>
  <si>
    <t>PM SHRI KENDRIYA
VIDYALAYA CRPF
MUDKHED</t>
  </si>
  <si>
    <t>Kendriya Vidyalaya, Crpf, Near Gate No. 3, Umri Road, Mudkhed, Nanded-431806.(Ms)</t>
  </si>
  <si>
    <t>91 CRPF units(including 10 CoBRA) are deployed in LWE theatre. Since the deployment of CRPF in LWE affected states, CRPF has shown unmatched professionalism and specialization in jungle warfare tactics resulting in uprooting of Maoism from Jharkhand, Bihar, West Bengal and Uttar Pradesh. Most importantly, CRPF has penetrated the strong holds of Maoism in Chhattisgarh by establishing several FOBs, where force is ready for final assault. In Andhra Pradesh, Telangana, Odisha and Maharashtra, Maoist cadres are struggling to show their presence. The CRPF successfully neutralized the top Maoist leader Kishanji in 2011 and conducted major operations in so-called liberated Naxal areas like Saranda in 2011, Maad in 2012, the Cut-off area in 2012, Burha Pahad in 2012, and Silger &amp; Pedia in 2013.</t>
  </si>
  <si>
    <t>SIM08033</t>
  </si>
  <si>
    <t>08122605737</t>
  </si>
  <si>
    <t>Cyphus</t>
  </si>
  <si>
    <t>Aimers</t>
  </si>
  <si>
    <t>SUBODH PUBLIC
SCHOOL RAMBAGH</t>
  </si>
  <si>
    <t>Social Welfare Officer Social Welfare Department Of Up Government</t>
  </si>
  <si>
    <t>Bhawani Singh Marg, Rambagh Crossing, Jaipur - 302015, Rajasthan</t>
  </si>
  <si>
    <t>SIM189634</t>
  </si>
  <si>
    <t>11020300101</t>
  </si>
  <si>
    <t>Easycle( bicycle using
gear motor)</t>
  </si>
  <si>
    <t>Exhibitors</t>
  </si>
  <si>
    <t>MANGALBAREY SSS</t>
  </si>
  <si>
    <t>Sikkim</t>
  </si>
  <si>
    <t>Mangalbaria Government Senior Secondary School | Website Of Soreng , Govt Of Sikkim | India</t>
  </si>
  <si>
    <t>MANGALBARIA SSS was established in 1940 and it is managed by the Department of Education. It is located in Rural area. It is located in KALUK block of WEST SIKKIM district of Sikkim. The school consists of Grades from 1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</si>
  <si>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SIM214365</t>
  </si>
  <si>
    <t>33081405212</t>
  </si>
  <si>
    <t>Automatic toilet
cleaning robot</t>
  </si>
  <si>
    <t>Royal Parkians
7</t>
  </si>
  <si>
    <t>ROYAL PARK SCHOOL</t>
  </si>
  <si>
    <t>NH:68, Kumaragiri, South Ammapet, Salem, Tamil Nadu-636015</t>
  </si>
  <si>
    <t>SIM226678</t>
  </si>
  <si>
    <t>09100311108</t>
  </si>
  <si>
    <t>Compact dac system</t>
  </si>
  <si>
    <t>Team
Incredibles</t>
  </si>
  <si>
    <t>LSM PUBLIC SCHOOL</t>
  </si>
  <si>
    <t>SIM03019</t>
  </si>
  <si>
    <t>07090318403</t>
  </si>
  <si>
    <t>Safety Buddy</t>
  </si>
  <si>
    <t>Innovators21s
t</t>
  </si>
  <si>
    <t>BIRLA VIDYA NIKETAN</t>
  </si>
  <si>
    <t>Delhi Green School Award 2022-23 by Directorate of Education, Govt of NCT of Delhi.</t>
  </si>
  <si>
    <t>SIM184227</t>
  </si>
  <si>
    <t>24191300308</t>
  </si>
  <si>
    <t>Innovative brigade</t>
  </si>
  <si>
    <t>Innovative
Brigade</t>
  </si>
  <si>
    <t>NEW ERA SENIOR
SECONDARY SCHOOL</t>
  </si>
  <si>
    <t>NESSS congratulates Pihu Bhanvadia (FS5) of Braven Academy for her outstanding performance at the UTT 5th Gujarat State Table Tennis Tournament 2025 held at Sama Sports Complex.</t>
  </si>
  <si>
    <t>SIM206521</t>
  </si>
  <si>
    <t>06180106804</t>
  </si>
  <si>
    <t>Cleanpath: The
Ultimate Rover Cleaner</t>
  </si>
  <si>
    <t>THE CLEAN
FLEET</t>
  </si>
  <si>
    <t>LOTUS VALLEY
INTERNATIONAL
SCHOOL GURGAO</t>
  </si>
  <si>
    <t>- Ranked #2 in Haryana</t>
  </si>
  <si>
    <t>SIM144086</t>
  </si>
  <si>
    <t>20130320140</t>
  </si>
  <si>
    <t>Quantum Ride</t>
  </si>
  <si>
    <t>Cosmic
Codebreakers</t>
  </si>
  <si>
    <t>KENDRIYA VIDYALAYA
NO I BOKARO STEEL
CITY</t>
  </si>
  <si>
    <t>Website of Kendriya Vidyalaya No. 1, Bokaro, Jharkhand, National Portal of India</t>
  </si>
  <si>
    <t>SIM90433</t>
  </si>
  <si>
    <t>Conical Catch</t>
  </si>
  <si>
    <t>Contastic Crew</t>
  </si>
  <si>
    <t>SIM19241</t>
  </si>
  <si>
    <t>29200301037</t>
  </si>
  <si>
    <t>Hoverbite</t>
  </si>
  <si>
    <t>Hydropower</t>
  </si>
  <si>
    <t>GEAR INNOVATIVE
INTERNATIONAL
SCHOOL</t>
  </si>
  <si>
    <t>SIM07055</t>
  </si>
  <si>
    <t>32130601202</t>
  </si>
  <si>
    <t>Automatic Washroom
Cleaner (Awc)</t>
  </si>
  <si>
    <t>Clean Coders</t>
  </si>
  <si>
    <t>LAKEFORD SCHOOL</t>
  </si>
  <si>
    <t>Lake Ford School | Kollam, Government Of Kerala | India</t>
  </si>
  <si>
    <t>Kollam- 51 km away – Thiruvananthapuram International Airport (TRV), Thiruvananthapuram, Kerala | Civil Station, Kollam – 691013, Kerala.</t>
  </si>
  <si>
    <t>SIM222682</t>
  </si>
  <si>
    <t>23210104003</t>
  </si>
  <si>
    <t>Smart Plant Health
Monitoring System
(Iot)</t>
  </si>
  <si>
    <t>The
Technovators</t>
  </si>
  <si>
    <t>STANFORD
INTERNATIONAL
SCHOOL UJJAIN</t>
  </si>
  <si>
    <t>The Stanford Girls International School, founded in 2006 is India’s top co-educational international school located in Ujjain, Madhya Pradesh (M.P.). It pledged to initiate and blossom a scheme of integrated education in line with students’ contemporary requirements and needs.</t>
  </si>
  <si>
    <t>SIM55668</t>
  </si>
  <si>
    <t>Specavision: unveiling
new horizons for the
visually challenged</t>
  </si>
  <si>
    <t>Abhinav and
team</t>
  </si>
  <si>
    <t>SIM210332</t>
  </si>
  <si>
    <t>10201013002</t>
  </si>
  <si>
    <t>Pedal power charge</t>
  </si>
  <si>
    <t>Innovation</t>
  </si>
  <si>
    <t>RAMKRISHNA
CHILDRENS ACADEMY</t>
  </si>
  <si>
    <t>Copyright © 2024 R. C. Academy, Begusarai Bihar.</t>
  </si>
  <si>
    <t>SIM195503</t>
  </si>
  <si>
    <t>07040321903</t>
  </si>
  <si>
    <t>Agnishamak</t>
  </si>
  <si>
    <t>AGNISHAMAK</t>
  </si>
  <si>
    <t>BAL BHAVAN PUBLIC
SCHOOL</t>
  </si>
  <si>
    <t>Celebrating the 50 years of its establishment school got its first stone of establishment placed in the year 1967, on 7 th August, in Nehru Street, Gandhi Nagar, Delhi. | Celebrating the 50 years of its establishment school got its first stone of establishment placed in the year 1967, on 7th August, in Nehru Street, Gandhi Nagar, Delhi. It is an established dream of late Sh. G. C. Lagan, the Founder Chairman, who was a true mason of ideas. With the passing years school has bloomed its branches amongst the alleys of Delhi, NCR region, where it not just secured dignified glories but is also attaining the pinnacle heights of success. Today school has its five established branches under the alliance of Lagan Kala Upvan (a regd. Society). The building of the school had been duly appreciated by Urban Art Commission for its well laid plan.</t>
  </si>
  <si>
    <t>SIM229406</t>
  </si>
  <si>
    <t>06191602105</t>
  </si>
  <si>
    <t>Aqua Air</t>
  </si>
  <si>
    <t>AQUA AIR</t>
  </si>
  <si>
    <t>MODERN DELHI
PUBLIC SCHOOL
FARIDABAD</t>
  </si>
  <si>
    <t>Delhi Public School Sector 19, Mathura Road Faridabad, Haryana | Delhi Public School Sector 19, Faridabad, Haryana</t>
  </si>
  <si>
    <t>SIM197907</t>
  </si>
  <si>
    <t>01022202215</t>
  </si>
  <si>
    <t>Electronic Scarecrow</t>
  </si>
  <si>
    <t>Sigma Team</t>
  </si>
  <si>
    <t>GOVT BOYS HIGHER
SECONDARY SCHOOL
WAGOORA</t>
  </si>
  <si>
    <t>Boys H S S Wagoora - Wagoora Baramula (Jammu And Kashmir)</t>
  </si>
  <si>
    <t>BOYS H S S WAGOORA was established in 1942 and it is managed by the Department of Education. It is located in Rural area. It is located in WAGOORA block of BARAMULA district of Jammu and Kashmir. The school consists of Grades from 9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</si>
  <si>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SIM182264</t>
  </si>
  <si>
    <t>32141100811</t>
  </si>
  <si>
    <t>Temptrak</t>
  </si>
  <si>
    <t>IDEA SQUAD</t>
  </si>
  <si>
    <t>PM SHRI KENDRIYA
VIDYALAYA PANGODE
TVM</t>
  </si>
  <si>
    <t>Schools In Thiruvananthapuram</t>
  </si>
  <si>
    <t>1980 establishments in Kerala</t>
  </si>
  <si>
    <t>SIM194395</t>
  </si>
  <si>
    <t>Arora</t>
  </si>
  <si>
    <t>CARDIAC
VISION</t>
  </si>
  <si>
    <t>SIM39532</t>
  </si>
  <si>
    <t>Pure lanes</t>
  </si>
  <si>
    <t>Unity
Innovators</t>
  </si>
  <si>
    <t>SIM03491</t>
  </si>
  <si>
    <t>28211890455</t>
  </si>
  <si>
    <t>Autonomous grass-
cutting robot for safe
and efficient lawn
maintenance</t>
  </si>
  <si>
    <t>THE SUPER
STARS</t>
  </si>
  <si>
    <t>RAVINDRA
VIDYANIKETAN</t>
  </si>
  <si>
    <t>Ravindra Vidya Niketan - Kallur Kurnool (Andhra Pradesh)</t>
  </si>
  <si>
    <t>RAVINDRA VIDYA NIKETAN was established in 1984 and it is managed by the Pvt. Unaided. It is located in Urban area. It is located in KALLUR block of KURNOOL district of ANDHRA PRADESH. The school consists of Grades from 6 to 10.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</si>
  <si>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SIM201127</t>
  </si>
  <si>
    <t>07010302208</t>
  </si>
  <si>
    <t>Alcohol detection and
engine control system</t>
  </si>
  <si>
    <t>Drive Lifeline</t>
  </si>
  <si>
    <t>VIKAS BHARATI
PUBLIC SCHOOL</t>
  </si>
  <si>
    <t>Sector 24, Rohini, New Delhi | Sector 24, Rohini, Delhi</t>
  </si>
  <si>
    <t>SIM34300</t>
  </si>
  <si>
    <t>I-Spy</t>
  </si>
  <si>
    <t>The dynamics
duo</t>
  </si>
  <si>
    <t>SIM178594</t>
  </si>
  <si>
    <t>29130113206</t>
  </si>
  <si>
    <t>Painting Is Easy Know</t>
  </si>
  <si>
    <t>Jai shreeraam</t>
  </si>
  <si>
    <t>GOVT PU COLLEGE
HIGH SCHOOL
TURUVANURU</t>
  </si>
  <si>
    <t>Child Protection Units Address And Officers List</t>
  </si>
  <si>
    <t>2)permission can be obtained from the Centre for e-governance by requesting to this email. pd.webportal@karnataka.gov.in | 2)ಈ ಇಮೇಲ್‌ಗೆ ವಿನಂತಿಸುವ ಮೂಲಕ ಇ-ಆಡಳಿತಕ್ಕಾಗಿ ಕೇಂದ್ರದಿಂದ ಅನುಮತಿಯನ್ನು ಪಡೆಯಬಹುದು. pd.webportal@karnataka.gov.in</t>
  </si>
  <si>
    <t>SIM159914</t>
  </si>
  <si>
    <t>32130500402</t>
  </si>
  <si>
    <t>mangrove sea wall</t>
  </si>
  <si>
    <t>Green
Warriors</t>
  </si>
  <si>
    <t>GFHSSKUZHITHURA</t>
  </si>
  <si>
    <t>Gfhss Kuzhithura - Alappad Kollam (Kerala)</t>
  </si>
  <si>
    <t>GFHSS KUZHITHURA was established in 1918 and it is managed by the Department of Education. It is located in Rural area. It is located in KARUNAGAPPALLY block of KOLLAM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</si>
  <si>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SIM166123</t>
  </si>
  <si>
    <t>32110400201</t>
  </si>
  <si>
    <t>Smart Security Camera
and Smart Lock Gate
System</t>
  </si>
  <si>
    <t>FutureMinds</t>
  </si>
  <si>
    <t>GOVT HIGH SCHOOL
MANNANCHERRY</t>
  </si>
  <si>
    <t>Mannancherry Govt Hs - Mannanchery Alappuzha (Kerala)</t>
  </si>
  <si>
    <t>MANNANCHERRY GOVT HS was established in 1905 and it is managed by the Department of Education. It is located in Rural area. It is located in CHERTHALA block of ALAPPUZHA district of Kerala. The school consists of Grades from 1 to 10.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</si>
  <si>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SIM166870</t>
  </si>
  <si>
    <t>32061200117</t>
  </si>
  <si>
    <t>Inbuilt Elevated Mouse
Pad</t>
  </si>
  <si>
    <t>Slickers</t>
  </si>
  <si>
    <t>GHSS GANESHGIRI
SHORNUR</t>
  </si>
  <si>
    <t>Hse | Vhse | Courses And School List In Palakkad</t>
  </si>
  <si>
    <t>SIM207353</t>
  </si>
  <si>
    <t>27340113504</t>
  </si>
  <si>
    <t>Multipurpose
Techniques in Farming</t>
  </si>
  <si>
    <t>robotics</t>
  </si>
  <si>
    <t>NEW ENGLISH
SCHOOL FOR GIRLS
MALKAPUR</t>
  </si>
  <si>
    <t>New English Sch.For Girls - Malkapur  Kolhapur (Maharashtra)</t>
  </si>
  <si>
    <t>NEW ENGLISH SCH.FOR GIRLS was established in 1967 and it is managed by the Pvt. Aided. It is located in Urban area. It is located in SHAHUWADI block of KOLHAPUR district of Maharashtra. The school consists of Grades from 5 to 10. The school is Girls and it doesn't have an attached pre-primary section. The school is N/A in nature and is not using school building as a shift-school. Marathi is the medium of instructions in this school. This school is approachable by all weather road. In this school academic session starts in April.</t>
  </si>
  <si>
    <t>SIM213979</t>
  </si>
  <si>
    <t>Reminder medical aid</t>
  </si>
  <si>
    <t>TEAM TECH
HERD</t>
  </si>
  <si>
    <t>SIM161950</t>
  </si>
  <si>
    <t>09100109115</t>
  </si>
  <si>
    <t>Cleanrest: empowering
communities for
cleaner public
restrooms</t>
  </si>
  <si>
    <t>Girlspower</t>
  </si>
  <si>
    <t>BAL BHARATI PUBLIC
SCHOOL NOIDA</t>
  </si>
  <si>
    <t>SIM20561</t>
  </si>
  <si>
    <t>Cylinder load lifter</t>
  </si>
  <si>
    <t>ASP Maker</t>
  </si>
  <si>
    <t>SIM186875</t>
  </si>
  <si>
    <t>04010500301</t>
  </si>
  <si>
    <t>Water supply Wastage
management device</t>
  </si>
  <si>
    <t>WATER
MANAGEMEN
T SYSTEM</t>
  </si>
  <si>
    <t>GOVT HIGH SCHOOL
DADU MAJRA
CHANDIGARH</t>
  </si>
  <si>
    <t>G.H.S Dadu Majara - Dadumajra Colony Chandigarh (Chandigarh)</t>
  </si>
  <si>
    <t>Sector 38 West, Daddu Majra Colony, Daddu Majra Colony Road, Dadu Majra Colony, Chandigarh - 160014</t>
  </si>
  <si>
    <t>SIM105339</t>
  </si>
  <si>
    <t>32110400101</t>
  </si>
  <si>
    <t>Automated Leaf Health
Analizer</t>
  </si>
  <si>
    <t>HOLYRJB</t>
  </si>
  <si>
    <t>HOLY FAMILY HSS
KATTOOR ALAPPUZHA</t>
  </si>
  <si>
    <t>Kattoor Holy Family Hss - Kalavoor Alappuzha (Kerala)</t>
  </si>
  <si>
    <t>KATTOOR HOLY FAMILY HSS was established in 1920 and it is managed by the Pvt. Aided. It is located in Rural area. It is located in CHERTHALA block of ALAPPUZHA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</si>
  <si>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SIM220018</t>
  </si>
  <si>
    <t>27250208317</t>
  </si>
  <si>
    <t>Elephant Accident
Prevention On Railway
Tracks.</t>
  </si>
  <si>
    <t>Ignited Minds</t>
  </si>
  <si>
    <t>SHARDABAI PAWAR
ENGLISH MEDIUM
SCHOOL</t>
  </si>
  <si>
    <t>Pune Education Association’S</t>
  </si>
  <si>
    <t>He approached Christian Missionary Lurtheron World relief U.S.A., Christian Aid London and Teredes Home, Germany for financial assistance towards bank guarantee for the farmers. The Central Bank of India issued loans to the farmers for digging wells against the guarantee of the Trust and it increased number of wells in this region. Mr.Sharad Pawar persuaded Kirloskar Oil Engines Company to donate oil engines to the farmers. Kirloskar Oil Company had given sixty engines in the beginning to the farmers at half the price. The work started picking up in the region and the Trust constructed nearly 289 percolation tanks in these forty three villages. The scenario in the villages started changing. Mr.Sharad Pawar got elected as an MLA from Baramati constituency in 1967 for the first time. He became Minister of State for Agriculture and food Supplies in 1972 in the government of Maharashtra. | Shardanagar, (Malegaon Col.) Post Box No.- 35, Tal. Baramati. Dist. Pune-413 115 Maharashtra, India.</t>
  </si>
  <si>
    <t>SIM108028</t>
  </si>
  <si>
    <t>33300500715</t>
  </si>
  <si>
    <t>Edible organic bowl</t>
  </si>
  <si>
    <t>Lilly</t>
  </si>
  <si>
    <t>INFANT JESUS GIRLS
HIGH SCHOOL -
MULAGUMOODU</t>
  </si>
  <si>
    <t>Infant Jesus H S,Mulagumoodu - Thiruvithancode Kanniyakumari (Tamil Nadu)</t>
  </si>
  <si>
    <t>INFANT JESUS H S,MULAGUMOODU was established in 1929 and it is managed by the Pvt. Aided. It is located in Urban area. It is located in THUCKALAY block of KANNIYAKUMARI district of Tamil Nadu. The school consists of Grades from 6 to 10. The school is Girls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</si>
  <si>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SIM193472</t>
  </si>
  <si>
    <t>33271104802</t>
  </si>
  <si>
    <t>Taunami waves
detector</t>
  </si>
  <si>
    <t>RAKSHAN
EARTH AND
SPACE TECH 2</t>
  </si>
  <si>
    <t>NATIONAL ACADEMY
MONTESSORI MATRIC
HIGHER SECONDARY
SCHOOL
RAMANATHAPURAM</t>
  </si>
  <si>
    <t>Ours Is The Only School In The To Get Permanent Affiliation From Cisce, New Delhi</t>
  </si>
  <si>
    <t>NATIONAL ACADEMY MATRIC. HSS, was established in 1994 and it is managed by the Pvt. Unaided. It is located in Rural area. It is located in MANDAPAM block of RAMANATHAPURAM district of Tamil Nadu. The school consists of Grades from 1 to 12. The school is Co-educational and it have an attached pre-primary section. The school is N/A in nature and is not using school building as a shift-school. English is the medium of instructions in this school. This school is approachable by all weather road. In this school academic session starts in April.</t>
  </si>
  <si>
    <t>SIM82449</t>
  </si>
  <si>
    <t>33180104954</t>
  </si>
  <si>
    <t>Novel Wind Farm</t>
  </si>
  <si>
    <t>NEITHAL</t>
  </si>
  <si>
    <t>GOVERNMENT
HIGHER SECONDARY
SCHOOL -
MANJAKUPPAM</t>
  </si>
  <si>
    <t>Cuddalore</t>
  </si>
  <si>
    <t>The total Geographical area of the district is 3678 Square kilometer with coastal line of 68 Kilometer stretching from Puducherry Union Territory in the North to the mouth of the River Coleroon in the South. The Geomorphology of the Cuddalore Coastal Stretch includes the coastal plain with an average width of 6 km. Its coastal landforms include strandlines, raised beaches, sand dunes, mangrove swamps and tidal flats with predominantly sandy beaches on the northern side and mangrove swamps to the south. The coastal towns of Cuddalore in the North and Porto Novo (Parangipettai) in the South are the most densely populated areas along this region. The district of Cuddalore has some small deposits of lignite that helps the small factories that run in the area.. The district is also one of the most robust fishing areas in the state of Tamil Nadu, and home to a large number of fisher population. The district has the links to the first century settlers in this region. The district also has some tourist attraction for the local people of Tamil Nadu and for people from all over India. | Chidambaram which Sprawls over an area of 5 sq km is a small town situated in the east central part of Tamil Nadu at a distamce of 250 kms away from the state capital Chennai.It is a very famous pilgirim centre for the worshippers of Lord Shiva.The Tourist office Chidambaram was established in the year of 1983 . It is located at Railway Feeder Road Chidambaram very near to Railway Station and Bus stand. At present, the Tourist office is manned by the Tourist officer along with one Assistant Tourist officer, one Junior Assistant ,one Typist and Two Office Assistant. The Tourist officers have large areas under their jurisdiction . The main role of the tourist office is to promote the Tourism activities such as information about Tamil Nadu Tourist Places and give free District wise Tourism folders to the tourist(both Domestic and Foreigners).To create basic amenities of tourist in tourist places for Developing state funded scheme and Govt of India scheme in our district.The Department of Tourism celebrate Pongal Vizha month of January and World Tourism Day month of September in every year.We organized Tourist Cultural Festival , Swatch Bakhawada -Awarness Cleaning campaign in Tourist places and One day Awareness Tour for School Childrens for the importance of Tourist place.</t>
  </si>
  <si>
    <t>SIM191995</t>
  </si>
  <si>
    <t>09350808904</t>
  </si>
  <si>
    <t>Fodder Cutting
Machine</t>
  </si>
  <si>
    <t>C v Raman</t>
  </si>
  <si>
    <t>SRI MAHATMA
GANDHI INTER
COLLEGE KUDARI</t>
  </si>
  <si>
    <t>Station Road, Jalaun, U.P. – 285001</t>
  </si>
  <si>
    <t>SIM175926</t>
  </si>
  <si>
    <t>09090907802</t>
  </si>
  <si>
    <t>Digital incubator using
arduino-increase rural
entrepreneurship</t>
  </si>
  <si>
    <t>ThinkStorm</t>
  </si>
  <si>
    <t>BAL BHARATI PUBLIC
SCHOOL</t>
  </si>
  <si>
    <t>SIM228398</t>
  </si>
  <si>
    <t>05130104604</t>
  </si>
  <si>
    <t>Securabag</t>
  </si>
  <si>
    <t>MADIHA</t>
  </si>
  <si>
    <t>GOVERNMENT INTER
COLLEGE KASAMPUR</t>
  </si>
  <si>
    <t>Govt Inter College Kasampur - Kasampur Hardwar (Uttarakhand)</t>
  </si>
  <si>
    <t>GOVT INTER COLLEGE KASAMPUR was established in 2014 and it is managed by the Department of Education. It is located in Rural area. It is located in BAHADARABAD block of HARDWAR district of Uttarakhand. The school consists of Grades from 9 to 10. The school is Co-educational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</si>
  <si>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SIM134112</t>
  </si>
  <si>
    <t>28212000521</t>
  </si>
  <si>
    <t>Insect solar trap
project</t>
  </si>
  <si>
    <t>Ansar</t>
  </si>
  <si>
    <t>A P MODEL SCHOOL
GONEGANDLA</t>
  </si>
  <si>
    <t>A.P. Model School, Gonegandla - Gonegandla Kurnool (Andhra Pradesh)</t>
  </si>
  <si>
    <t>A.P. MODEL SCHOOL, GONEGANDLA was established in 2013 and it is managed by the Department of Education. It is located in Rural area. It is located in GONEGANDLA block of KURNOOL district of ANDHRA PRADESH. The school consists of Grades from 6 to 12. The school is Co-educational and it doesn't have an attached pre-primary section. The school is Model School in nature and is not using school building as a shift-school. English is the medium of instructions in this school. This school is approachable by all weather road. In this school academic session starts in April.</t>
  </si>
  <si>
    <t>SIM175566</t>
  </si>
  <si>
    <t>22110429309</t>
  </si>
  <si>
    <t>Condenseaqua</t>
  </si>
  <si>
    <t>Drop by Drop</t>
  </si>
  <si>
    <t>BHARATIYA VIDYA
BHAVANS RK SARDA
VIDYA MANDIR
RAIPUR</t>
  </si>
  <si>
    <t>A glittering ceremony peppered with crème-de-la-crème of Chhattisgarh marked the Inaugural Function of Bharatiya Vidya Bhavan's R.K.Sarda Vidya Mandir, Raipur, held on 11th April 2010. The school marks the fulfillment of a long cherished dream of the Chairman of Bhavan's Raipur Kendra, Shri Kamal Sarda. The school is inspired by his father, Shri R.K.Sarda, an eminent educational visionary of the state. The occasion was graced by His Excellency The Governor of Chhattisgarh, Shri ShekharDutt as Chief Guest, Honourable Dr. Raman Singh, Chief Minister of Chhattisgarh, as the Guest of Honour, Shri Brij Mohan Agrawal, Education Minister, Shri Rajesh Munot, PWD Minister, Shri RavindraChoubey, Leader of Opposition, current Chairman of Bhavan's Raipur Kendra, Shri Kamal Sarda, Past Chairman Shri LalitSurjan, Hon. Secretary of Bhavan's Raipur Kendra Shri O.P.Singhania and other notable dignitaries. The function was presided over by Justice Shri B.N.Srikrishna, International Vice-President and Trustee of Bharatiya Vidya Bhavan.</t>
  </si>
  <si>
    <t>SIM172905</t>
  </si>
  <si>
    <t>Safe stride</t>
  </si>
  <si>
    <t>Safe Stride</t>
  </si>
  <si>
    <t>SIM226850</t>
  </si>
  <si>
    <t>07090318405</t>
  </si>
  <si>
    <t>Eucal-wear</t>
  </si>
  <si>
    <t>EUCAL WEAR</t>
  </si>
  <si>
    <t>AMITY ,SAKET made it top 8 best innovators from approximately 50,000 students from 2700 schools across the country.Amity ,Saket was the only selected team from DELHI accompanied by teams from Kerala, Tamil Nadu,Pune Chattisgarh etc. To recognize those who have performed exceedingly well in the ATL Marathon 2018 by AIM NITI AAYOG,top 8 innovators from all over INDIA were invited on 14th November at the Rashhtrapati Bhawan to be addressed and appreciated by THE PRESIDENT OF INDIA,SIR.RAMNATH KOVIND.</t>
  </si>
  <si>
    <t>SIM196127</t>
  </si>
  <si>
    <t>30020200607</t>
  </si>
  <si>
    <t>Generating electricity
from wind to slum area</t>
  </si>
  <si>
    <t>Sanvi saini</t>
  </si>
  <si>
    <t>PM SHRI KV NO 2
VASCO</t>
  </si>
  <si>
    <t>PM SHRI Kendriya Vidyalaya No.2 Vasco da Gama, Goa</t>
  </si>
  <si>
    <t>SIM219026</t>
  </si>
  <si>
    <t>24091501388</t>
  </si>
  <si>
    <t>Manufacturing Paper
from Weed .</t>
  </si>
  <si>
    <t>Paper from
Weeds</t>
  </si>
  <si>
    <t>KG DHOLAKIYA</t>
  </si>
  <si>
    <t>We are a complete Pre – K to 12 co education school imparting education through CBSE as well as State Board curricula in regional (Gujarati) as well as English medium. We offer stream choice in Science, commerce and Arts. We also provides coaching for competitive exams like ‘JEE and NEET through our comprehensive School Integrated Program right from class 8. With more than 7 branches in Rajkot and Gondal, the school caters more than 18000 students every year and is renowned for its results in Board exams as well as competitive exams. | Dholakiya Schools embarked on its academic journey in 1971 and has a legacy of almost 54 years in pursuit of excellence with 7 branches catering more than 18000 students every year. The institution is a complete pre- k to 12 school offering CBSE and state Board curriculum in English as well as regional language. It visualizes excellence in Education, Culture and leadership. The School values the virtue of self reliance, innovation and creativity and strives to encourage the students to nurture these attributes. The school adopts child centric teaching Pedagogy which emphasis on holistic development of the students. Dholakiya school is leading at international platform in the field of Research and technology and has bagged a world record in the field of commerce and entrepreneurship. It is one of the best result producing schools in Gujarat. Dholakiya schools has a glorious alumina comprising of IAS officers, IPS officers, Doctors, Engineers, CA, CS, and many other noble professionals.</t>
  </si>
  <si>
    <t>SIM226874</t>
  </si>
  <si>
    <t>24091501210</t>
  </si>
  <si>
    <t>Smart Posture Chair:
An Arduino-Based
Intelligent Seating
System For Improved
Posture And Reduced
Back Pain Risk</t>
  </si>
  <si>
    <t>SHREE GK
DHOLAKIYA
SCHOOL</t>
  </si>
  <si>
    <t>SHREE G K
DHOLAKIYA HIGH
SCHOOL</t>
  </si>
  <si>
    <t>Shree K. G. Dholakiya School - Ward No.13 Rajkot (Gujrat)</t>
  </si>
  <si>
    <t>SIM189510</t>
  </si>
  <si>
    <t>Eye Controlled
Wheelchair</t>
  </si>
  <si>
    <t>SIM164201</t>
  </si>
  <si>
    <t>Design and
Implementation of a
Radar System Using
Arduino Uno</t>
  </si>
  <si>
    <t>Budding
engineers</t>
  </si>
  <si>
    <t>SIM198315</t>
  </si>
  <si>
    <t>Rural Water Filter</t>
  </si>
  <si>
    <t>RURALWATER
FILTER</t>
  </si>
  <si>
    <t>SIM188750</t>
  </si>
  <si>
    <t>Enviroguard: The Art
of Eco-Luxury</t>
  </si>
  <si>
    <t>EnviroGuard</t>
  </si>
  <si>
    <t>SIM13420</t>
  </si>
  <si>
    <t>27190502003</t>
  </si>
  <si>
    <t>Blinkey</t>
  </si>
  <si>
    <t>DIGITAL
INNOVATORS</t>
  </si>
  <si>
    <t>SHRI SARSWATI
BHUWAN HIGH
SCHOOL BIDKIN</t>
  </si>
  <si>
    <t>Established in 1915, with just 25 students, this educational institution has now significantly expanded, with approximately 20,000 students receiving education across its 10 secondary schools, 2 primary schools, 2 senior colleges, 1 CBSE school, and 2 hostels. Thousands of our alumni are in forefront in all walks of life in India and abroad. Saraswati Bhuvan Education Society has immensely contributed not only to education but also to uplift the public life of this region. Motivated by the patriotic fervour many of its founding fathers had fought for the freedom of Hyderabad State from the yoke of Nizam regime. Post independence the fulcrum of socio-political-development movements of this region had been SB Education Society. SB, the centennial institution, is still one of the few institutions in the State whose members have made a mark in their respective fields and uphold the value education and social commitment. The glorious traditions and the best practices of the years are still continued by adapting new trends with the changing times thereby making educational development changes. Shri Saraswati Bhuwan Education Society was awarded the first ‘Ideal Educational Institution – State Award for Meritorious Public Service in the Educational and Social Sector’ in 2000 by the Government of Maharashtra. Our educational institution holds a prestigious position not just in Marathwada but across Maharashtra.</t>
  </si>
  <si>
    <t>SIM15039</t>
  </si>
  <si>
    <t>03180215003</t>
  </si>
  <si>
    <t>Soot capture chamber</t>
  </si>
  <si>
    <t>SWS Team 1</t>
  </si>
  <si>
    <t>SMART WONDERS
SCHOOL</t>
  </si>
  <si>
    <t>SIM223892</t>
  </si>
  <si>
    <t>08050415101</t>
  </si>
  <si>
    <t>Face guard watch</t>
  </si>
  <si>
    <t>TechHealth
Phoenix</t>
  </si>
  <si>
    <t>BIRLA SHISHU VIHAR</t>
  </si>
  <si>
    <t>SIM120330</t>
  </si>
  <si>
    <t>28163101905</t>
  </si>
  <si>
    <t>Pollution of pond
water</t>
  </si>
  <si>
    <t>Thomson</t>
  </si>
  <si>
    <t>ZPHS LANKAPALLI</t>
  </si>
  <si>
    <t>Zphs Lankapalli (28163101905) | Krishna , Government Of Andhra Pradesh | India</t>
  </si>
  <si>
    <t>ZPHS LANKAPALLI (28163101905), Krishna District, Government of Andhra Pradesh, India | The Collectorate is divided into 8 sections as per the administrative reforms taken up by the Government of Andhra Pradesh. An alphabet letter is given to each section for easy reference. | The Collectorate is divided into 4 sections as per the Administrative Reforms taken up by the Government of Andhra Pradesh. | Demography - 2011, Krishna District, Government of Andhra Pradesh, India</t>
  </si>
  <si>
    <t>SIM195505</t>
  </si>
  <si>
    <t>07010307101</t>
  </si>
  <si>
    <t>Sustena respo</t>
  </si>
  <si>
    <t>Trailblazer</t>
  </si>
  <si>
    <t>MAHAVIR SENIOR
MODEL SCHOOL</t>
  </si>
  <si>
    <t>SIM229416</t>
  </si>
  <si>
    <t>Jal Shodhak</t>
  </si>
  <si>
    <t>Aqua Tinker</t>
  </si>
  <si>
    <t>SIM95705</t>
  </si>
  <si>
    <t>06180106004</t>
  </si>
  <si>
    <t>Aeroinnovians</t>
  </si>
  <si>
    <t>AERO
INNOVIANS</t>
  </si>
  <si>
    <t>PRESIDIUM SCHOOL
GURGAON</t>
  </si>
  <si>
    <t>J – Block, HS-1, Block J, Mayfield Garden, Sector 51, Gurgaon, Haryana 122001</t>
  </si>
  <si>
    <t>SIM57436</t>
  </si>
  <si>
    <t>Saathee</t>
  </si>
  <si>
    <t>SIM155049</t>
  </si>
  <si>
    <t>32061300407</t>
  </si>
  <si>
    <t>Ang Smart Waste
Recycle System</t>
  </si>
  <si>
    <t>ANG group</t>
  </si>
  <si>
    <t>HSS PERINGODE</t>
  </si>
  <si>
    <t>Hs Peringode - Nagalassery Palakkad (Kerala)</t>
  </si>
  <si>
    <t>HS PERINGODE was established in 1912 and it is managed by the Pvt. Aided. It is located in Rural area. It is located in THRITHALA block of PALAKKAD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</si>
  <si>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SIM216771</t>
  </si>
  <si>
    <t>Wasudha- Warning
and Alert System</t>
  </si>
  <si>
    <t>WASUDHA</t>
  </si>
  <si>
    <t>PM SHRII KENDRIYA
VIDYALAYA
OTTAPALAM</t>
  </si>
  <si>
    <t>SIM54442</t>
  </si>
  <si>
    <t>33081101306</t>
  </si>
  <si>
    <t>CAFI (carbon air filter
red ink)</t>
  </si>
  <si>
    <t>HONDA</t>
  </si>
  <si>
    <t>GBHSS
JALAKANDAPURAM</t>
  </si>
  <si>
    <t>Gbhss Jalakandapuram - Jalakandapuram(Town) Salem (Tamil Nadu)</t>
  </si>
  <si>
    <t>GBHSS JALAKANDAPURAM was established in 1952 and it is managed by the Department of Education. It is located in Urban area. It is located in NANGAVALLI block of SALEM district of Tamil Nadu. The school consists of Grades from 6 to 12. The school is Boys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</si>
  <si>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SIM216601</t>
  </si>
  <si>
    <t>Wire cut alert system</t>
  </si>
  <si>
    <t>SMART
GUARD</t>
  </si>
  <si>
    <t>SIM126818</t>
  </si>
  <si>
    <t>36220290599</t>
  </si>
  <si>
    <t>Emergency lipstick</t>
  </si>
  <si>
    <t>Spidersearch</t>
  </si>
  <si>
    <t>PM SHRI KENDRIYA
VIDYALAYA BOLARUM</t>
  </si>
  <si>
    <t>SIM183448</t>
  </si>
  <si>
    <t>16061601505</t>
  </si>
  <si>
    <t>Low cost medical
support system</t>
  </si>
  <si>
    <t>JNV KHOWAI
SCIENCE
INNOVATION</t>
  </si>
  <si>
    <t>JNV KHOWAI</t>
  </si>
  <si>
    <t>Ms.Chandni Chandran , Ias, Dm &amp; Collector, Khowai Office Tilla,</t>
  </si>
  <si>
    <t>1988 establishments in Tripura</t>
  </si>
  <si>
    <t>SIM204316</t>
  </si>
  <si>
    <t>09090905017</t>
  </si>
  <si>
    <t>The intellispan bridge</t>
  </si>
  <si>
    <t>Futuristic
Developes</t>
  </si>
  <si>
    <t>SETH ANANDRAM
JAIPURIA PUBLIC
SCHOOL</t>
  </si>
  <si>
    <t>Leaders In Sports &amp; Games International, National, State And Level</t>
  </si>
  <si>
    <t>SIM103983</t>
  </si>
  <si>
    <t>28163000805</t>
  </si>
  <si>
    <t>Eco friendly plant
pot(nutritious plant
pot)</t>
  </si>
  <si>
    <t>Swaminathan
team</t>
  </si>
  <si>
    <t>SLSVVSOHS
PEDAMUTTEVI</t>
  </si>
  <si>
    <t>SIM115759</t>
  </si>
  <si>
    <t>28140701105</t>
  </si>
  <si>
    <t>E pusthak online notes
resourced from
children</t>
  </si>
  <si>
    <t>TEACHER</t>
  </si>
  <si>
    <t>ZILLA PRAJA
PARISHAD HIGH
SCHOOL A
KOTHAPALLI</t>
  </si>
  <si>
    <t>East Godavari</t>
  </si>
  <si>
    <t>River Godavari starts as a trickle at Nasik in Maharashtra. If flows through the States of Marashtra and Andhra Pradesh Pradesh and becomes mighty and majestic at Rajahmundry. It is the largest river in South India. Godavari, with its several Tributaries, occupies 1/10th of the country. Its total length is 1450KMs. In Andhra Pradesh, it flows to an extent of 927 kms.</t>
  </si>
  <si>
    <t>SIM10578</t>
  </si>
  <si>
    <t>07090917001</t>
  </si>
  <si>
    <t>Gasshield pro</t>
  </si>
  <si>
    <t>Peak
Performers</t>
  </si>
  <si>
    <t>PM SHRI KENDRIYA
VIDYALAYA AFS
ARJANGARH</t>
  </si>
  <si>
    <t>South Delhi</t>
  </si>
  <si>
    <t>https://no1delhicantt.kvs.ac.in/ | ac1@kvsrodelhi.in</t>
  </si>
  <si>
    <t>SIM48049</t>
  </si>
  <si>
    <t>29160100408</t>
  </si>
  <si>
    <t>Military Rover</t>
  </si>
  <si>
    <t>ABV BOYS</t>
  </si>
  <si>
    <t>AMRATHA BHARATHI
VIDYALAYA HEBRI</t>
  </si>
  <si>
    <t>Amratha Bharathi Vidyalaya Hps Hebri - Hebri Udupi (Karnataka)</t>
  </si>
  <si>
    <t>We are a registered Public Charitable Trust comprising 12 Trustees and mainly operating in the educational field since 2006. We are a service oriented organisation and affiliated to Vidya Bharathi, an educational wing of Sangh Parivar. Our institutions are situated at Hebri, Udupi District, Karnataka.</t>
  </si>
  <si>
    <t>SIM139052</t>
  </si>
  <si>
    <t>29060609419</t>
  </si>
  <si>
    <t>Qrlearn</t>
  </si>
  <si>
    <t>QR learn app</t>
  </si>
  <si>
    <t>GOVERNMENT GIRLS
HIGH SCHOOL
KAVITAL</t>
  </si>
  <si>
    <t>Pre-University Education | Raichur Website | India</t>
  </si>
  <si>
    <t>UAS Campus, Lingasugur Road, Raichur-584104, Karnataka State</t>
  </si>
  <si>
    <t>SIM224127</t>
  </si>
  <si>
    <t>32130700302</t>
  </si>
  <si>
    <t>Rescue Ready:
Empowering Safety
Through Smart
Technology</t>
  </si>
  <si>
    <t>Science 2</t>
  </si>
  <si>
    <t>ST MARYS HSS
KIZHAKKEKARA</t>
  </si>
  <si>
    <t>St.Mary'S Hs Kizhakkekara - Kottarakara Kollam (Kerala)</t>
  </si>
  <si>
    <t>ST.MARY'S HS KIZHAKKEKARA was established in 1955 and it is managed by the Pvt. Aided. It is located in Urban area. It is located in KOTTARAKARA block of KOLLAM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</si>
  <si>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SIM194195</t>
  </si>
  <si>
    <t>32140600610</t>
  </si>
  <si>
    <t>Biosphere Monitor</t>
  </si>
  <si>
    <t>BioSphere
Monitor</t>
  </si>
  <si>
    <t>KAIRALI VIDYA
BHAVAN
THIRUVANANTHAPUR
AM</t>
  </si>
  <si>
    <t>J228+93M, Nettirachira, SH3, Nettirachira, Nedumangad, Kerala 695541, 695541</t>
  </si>
  <si>
    <t>SIM220481</t>
  </si>
  <si>
    <t>32051400308</t>
  </si>
  <si>
    <t>Electricity through
Exercise</t>
  </si>
  <si>
    <t>THE
INNOV8TORS</t>
  </si>
  <si>
    <t>AUPS MANNAZHI</t>
  </si>
  <si>
    <t>Aups Mannazhi - Ponmala Malappuram (Kerala)</t>
  </si>
  <si>
    <t>AUPS MANNAZHI was established in 1925 and it is managed by the Pvt. Aided. It is located in Rural area. It is located in MALAPPURAM block of MALAPPURAM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</si>
  <si>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SIM216094</t>
  </si>
  <si>
    <t>32081000302</t>
  </si>
  <si>
    <t>Banana Stem as a
Sustainable
Biomaterial</t>
  </si>
  <si>
    <t>ASPIRE</t>
  </si>
  <si>
    <t>SREE NARAYANA H S S
NORTH PARAVOOR</t>
  </si>
  <si>
    <t>Sub Level Handball Champions</t>
  </si>
  <si>
    <t>22 Kerala Battalion NCC</t>
  </si>
  <si>
    <t>SIM195422</t>
  </si>
  <si>
    <t>Shieldify:Shield In
Style</t>
  </si>
  <si>
    <t>SHIELDIFY</t>
  </si>
  <si>
    <t>SIM172697</t>
  </si>
  <si>
    <t>Enviropatrol</t>
  </si>
  <si>
    <t>team9sairamvi
dyalaya</t>
  </si>
  <si>
    <t>SIM118201</t>
  </si>
  <si>
    <t>36260300604</t>
  </si>
  <si>
    <t>Rain cover for drying
clothes</t>
  </si>
  <si>
    <t>dhavan</t>
  </si>
  <si>
    <t>ZPHS SETTY
ATMAKUR</t>
  </si>
  <si>
    <t>Zphs Setty Atmakur - Setty Atmakur Mahbubnagar (Telangana)</t>
  </si>
  <si>
    <t>ZPHS SETTY ATMAKUR was established in 2012 and it is managed by the Local body. It is located in Rural area. It is located in GADWAL block of MAHBUBNAGAR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</si>
  <si>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SIM204716</t>
  </si>
  <si>
    <t>School zone safety
initiative: smart speed
reduction</t>
  </si>
  <si>
    <t>Technowizz</t>
  </si>
  <si>
    <t>SIM174681</t>
  </si>
  <si>
    <t>Safesip-
revolutionizing
everyday safety for
women</t>
  </si>
  <si>
    <t>SHIELDsquad</t>
  </si>
  <si>
    <t>SIM149934</t>
  </si>
  <si>
    <t>09100100121</t>
  </si>
  <si>
    <t>Readspecs: see the
text. hear the words.</t>
  </si>
  <si>
    <t>The Thinking
Squad</t>
  </si>
  <si>
    <t>E 1-2, Block F, Shastripuram, Agra, Uttar Pradesh 282007, | E1-2, Block F, Shastripuram, Agra, Uttar Pradesh 282007, | E1-2, Block F, Shastripuram, Agra, Uttar Pradesh 282007, India</t>
  </si>
  <si>
    <t>SIM203531</t>
  </si>
  <si>
    <t>09100100123</t>
  </si>
  <si>
    <t>Agnisurak</t>
  </si>
  <si>
    <t>Apeejay noida</t>
  </si>
  <si>
    <t>APEEJAY SCHOOL</t>
  </si>
  <si>
    <t>, Apeejay School is a part of the Apeejay Education Society which was founded in 1967 by Dr Stya Paul to provide quality education right from the pre-nursery to the doctorate level. Spread over a lush-green 15-acre complex, the School is conveniently located in Greater Noida, which is one of the youngest, best planned, pollution-free cities of Uttar Pradesh. It is a CBSE-affiliated, co-ed school that has been consistently ranked among</t>
  </si>
  <si>
    <t>SIM223796</t>
  </si>
  <si>
    <t>09210904264</t>
  </si>
  <si>
    <t>Smart iot based food
spoilage cupboard</t>
  </si>
  <si>
    <t>team shiva</t>
  </si>
  <si>
    <t>C LAL V PAL
SARSWATI VIDYA
MANDIR INTER
COLLEGE</t>
  </si>
  <si>
    <t>C. Lal V. Pal S.V.M. Inter College - Nagar Chetra Pilibhit (Uttar Pradesh)</t>
  </si>
  <si>
    <t>C. LAL V. PAL S.V.M. INTER COLLEGE was established in 1993 and it is managed by the Pvt. Unaided. It is located in Urban area. It is located in N. P. PILIBHIT block of PILIBHIT district of Uttar Pradesh. The school consists of Grades from 6 to 12. The school is Boys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</si>
  <si>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SIM213048</t>
  </si>
  <si>
    <t>09100100118</t>
  </si>
  <si>
    <t>Healthcare with
digicare</t>
  </si>
  <si>
    <t>HWDC</t>
  </si>
  <si>
    <t>AMITY
INTERNATIONAL
SCHOOL NOIDA</t>
  </si>
  <si>
    <t>SIM202386</t>
  </si>
  <si>
    <t>35030301101</t>
  </si>
  <si>
    <t>A DUSTBIN WITH
GARBAGE LITTER
ASSEMBLER</t>
  </si>
  <si>
    <t>UPCOMING
INNOVATORS</t>
  </si>
  <si>
    <t>PM SHRI GOVT SR SEC
SCHOOL SUBASH
GRAM</t>
  </si>
  <si>
    <t>Andaman and
Nicobar
Islands</t>
  </si>
  <si>
    <t>GOVT SENIOR SECONDARY SCHOOL SUBASHGRAM was established in 1958 and it is managed by the Department of Education. It is located in Rural area. It is located in BRC- DIGLIPUR block of MIDDLE AND NORTH ANDAMANS district of Andaman and Nicobar Islands. The school consists of Grades from 1 to 12. The school is Co-educational and it have an attached pre-primary section. The school is N/A in nature and is not using school building as a shift-school. Bengali is the medium of instructions in this school. This school is approachable by all weather road. In this school academic session starts in April.</t>
  </si>
  <si>
    <t>SIM67309</t>
  </si>
  <si>
    <t>28182600701</t>
  </si>
  <si>
    <t>Make alignment</t>
  </si>
  <si>
    <t>SAKUNTHALA
DEVI</t>
  </si>
  <si>
    <t>ZPHS BUDAWADA</t>
  </si>
  <si>
    <t>Zphs Budawada - Budavada Prakasam (Andhra Pradesh)</t>
  </si>
  <si>
    <t>ZPHS BUDAWADA was established in 1997 and it is managed by the Local body. It is located in Rural area. It is located in J.PANGULURU block of PRAKASAM district of ANDHRA PRADESH.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</si>
  <si>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SIM124720</t>
  </si>
  <si>
    <t>28163001409</t>
  </si>
  <si>
    <t>Shooting bat game
using ai</t>
  </si>
  <si>
    <t>BAON</t>
  </si>
  <si>
    <t>SMK ZPH SCHOOL
MOVVA</t>
  </si>
  <si>
    <t>Smk Zphs Movva (28163001409) | Krishna , Government Of Andhra Pradesh | India</t>
  </si>
  <si>
    <t>SMK ZPHS MOVVA (28163001409), Krishna District, Government of Andhra Pradesh, India | The Collectorate is divided into 8 sections as per the administrative reforms taken up by the Government of Andhra Pradesh. An alphabet letter is given to each section for easy reference. | The Collectorate is divided into 4 sections as per the Administrative Reforms taken up by the Government of Andhra Pradesh. | Demography - 2011, Krishna District, Government of Andhra Pradesh, India</t>
  </si>
  <si>
    <t>SIM189960</t>
  </si>
  <si>
    <t>01102400801</t>
  </si>
  <si>
    <t>A Smart Key</t>
  </si>
  <si>
    <t>CHAK EPIC
EXPLORERS</t>
  </si>
  <si>
    <t>GOVT HSS CHAK
RAKWALAN</t>
  </si>
  <si>
    <t>Hs Chak - Chak Rakhwalan Udhampur (Jammu And Kashmir)</t>
  </si>
  <si>
    <t>HS CHAK was established in 1961 and it is managed by the Department of Education. It is located in Rural area. It is located in UDHAMPUR block of UDHAMPUR district of Jammu and Kashmir. The school consists of Grades from 1 to 10. The school is Co-educational and it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</si>
  <si>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SIM211328</t>
  </si>
  <si>
    <t>01020700709</t>
  </si>
  <si>
    <t>Lineguard</t>
  </si>
  <si>
    <t>LineGuard</t>
  </si>
  <si>
    <t>GOVERNMENT
HIGHER SECONDARY
SCHOOL FATEHGARH</t>
  </si>
  <si>
    <t>Hss Fateh Garah - Fatehgarh Baramula (Jammu And Kashmir)</t>
  </si>
  <si>
    <t>HSS FATEH GARAH was established in 1943 and it is managed by the Department of Education. It is located in Rural area. It is located in FATEHGRAH block of BARAMULA district of Jammu and Kashmir. The school consists of Grades from 9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</si>
  <si>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SIM97437</t>
  </si>
  <si>
    <t>2D To 3D Design
Learning – Unleashing
Creativity through
Technology</t>
  </si>
  <si>
    <t>3D Learners</t>
  </si>
  <si>
    <t>SIM171439</t>
  </si>
  <si>
    <t>29170426117</t>
  </si>
  <si>
    <t>No - Zones [ Blind
Spots ] Of Trucks</t>
  </si>
  <si>
    <t>Dynamic boys</t>
  </si>
  <si>
    <t>ARADHANA HIGHER
PRIMARY SCHOOL</t>
  </si>
  <si>
    <t>Kodi Camp, Tarikere, Chikamagalur , Karnataka, 577228</t>
  </si>
  <si>
    <t>ARADHANA HIGHER PRIMARY SCHOOL THIRTHAHALLI - Thirthahalli 4 District Shivamogga (Karnataka)</t>
  </si>
  <si>
    <t>SIM207176</t>
  </si>
  <si>
    <t>29300906401</t>
  </si>
  <si>
    <t>AI Based Coma Patient
Monitoring System</t>
  </si>
  <si>
    <t>Team A2</t>
  </si>
  <si>
    <t>SBS KANYA SHALA
HIGH SCHOOL
NIPPANI</t>
  </si>
  <si>
    <t>Sbs Kanya Shala High School Nippani - Nippani Ward-16 Belagavi Chikkodi (Karnataka)</t>
  </si>
  <si>
    <t>SBS Kanya Shala High School Nippani - Nippani Ward-16 District Belagavi Chikkodi (Karnataka)</t>
  </si>
  <si>
    <t>SIM08882</t>
  </si>
  <si>
    <t>32080303328</t>
  </si>
  <si>
    <t>Waste Ranger</t>
  </si>
  <si>
    <t>lazy cats</t>
  </si>
  <si>
    <t>KENDRIYA VIDYALAYA
ERNAKULAM</t>
  </si>
  <si>
    <t>1965 establishments in Kerala</t>
  </si>
  <si>
    <t>SIM180153</t>
  </si>
  <si>
    <t>Harbinger Aid -
Predict, Prevent,
Protect, An Advanced
Disaster Management
Alert System.</t>
  </si>
  <si>
    <t>AIDSPHERE</t>
  </si>
  <si>
    <t>SIM152876</t>
  </si>
  <si>
    <t>32141002003</t>
  </si>
  <si>
    <t>Track n catch</t>
  </si>
  <si>
    <t>Track N Catch</t>
  </si>
  <si>
    <t>ST MARYS HSS
PATTOM</t>
  </si>
  <si>
    <t>"List Of High Schools In Thiruvananthapuraaam "</t>
  </si>
  <si>
    <t>As part of its goal to become a high-tech institution, St. Mary's Higher Secondary School, Pattom, converted all classrooms in its higher secondary section into smart classrooms. By September 2018, all classrooms were equipped with LCD projectors, laptops, and whiteboards, with the laptops and projectors supplied by Kerala Infrastructure and Technology for Education (KITE). The school's principal indicated that all classrooms were targeted for conversion by the 2019 academic year. Additionally, the school's IT facilities include an IT lab in the higher secondary section with 60 computers, and five other labs in the high school and UP sections housing 100 computers.</t>
  </si>
  <si>
    <t>SIM186489</t>
  </si>
  <si>
    <t>32080700707</t>
  </si>
  <si>
    <t>Tree Filter</t>
  </si>
  <si>
    <t>Scientific work</t>
  </si>
  <si>
    <t>ST AUGUSTINES GHSS
KOTHAMANGALAM</t>
  </si>
  <si>
    <t>St Augustine'S Girls Hss | Ernakulam Website | India</t>
  </si>
  <si>
    <t>SIM32615</t>
  </si>
  <si>
    <t>27251500415</t>
  </si>
  <si>
    <t>Hydra Cleaner</t>
  </si>
  <si>
    <t>ASA Trio</t>
  </si>
  <si>
    <t>KENDRIYA VIDYALAYA
NO.1 AFS PUNE</t>
  </si>
  <si>
    <t>Km. Bhargabi Sonowal, a Class 12th student at KV Dibrugarh, has secured a spot in the World Championship Poomsae in Bangkok, following her remarkable performance at the National Level Champion of Champions held in Nashik, Maharashtra.</t>
  </si>
  <si>
    <t>SIM223375</t>
  </si>
  <si>
    <t>03020600811</t>
  </si>
  <si>
    <t>Eco-friendly bricks</t>
  </si>
  <si>
    <t>Eco friendly
bricks</t>
  </si>
  <si>
    <t>PATHSEEKERS</t>
  </si>
  <si>
    <t>Applications Are Invited For Cbse School At Dera Baba Jaimal Singh, Amritsar,</t>
  </si>
  <si>
    <t>SIM198313</t>
  </si>
  <si>
    <t>33030501305</t>
  </si>
  <si>
    <t>Layman assist</t>
  </si>
  <si>
    <t>Diamond
Sparklers</t>
  </si>
  <si>
    <t>OMEGA
INTERNATIONAL
SCHOOL</t>
  </si>
  <si>
    <t>79, Omega School Road (Pallavaram Road), Kolapakkam, Kovur Post, Chennai, Tamil Nadu 600128.</t>
  </si>
  <si>
    <t>SIM184398</t>
  </si>
  <si>
    <t>Vision Walk</t>
  </si>
  <si>
    <t>Vision Makers</t>
  </si>
  <si>
    <t>SIM22425</t>
  </si>
  <si>
    <t>33110101811</t>
  </si>
  <si>
    <t>The flat speed breaker
system</t>
  </si>
  <si>
    <t>Darvin</t>
  </si>
  <si>
    <t>GHSS MANJOOR</t>
  </si>
  <si>
    <t>Government Higher Secondary School. Manjoor - Kilkundha The Nilgiris (Tamil Nadu)</t>
  </si>
  <si>
    <t>GOVERNMENT HIGHER SECONDARY SCHOOL. MANJOOR was established in 1931 and it is managed by the Department of Education. It is located in Rural area. It is located in UDHAGAMANDALAM block of THE NILGIRIS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</si>
  <si>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SIM03835</t>
  </si>
  <si>
    <t>28171900820</t>
  </si>
  <si>
    <t>Accident prevention
project</t>
  </si>
  <si>
    <t>ATAL
INNOVATORS</t>
  </si>
  <si>
    <t>AP MODEL SCHOOL
DURGI</t>
  </si>
  <si>
    <t>A.P.Model School, Durgi - Durgi Guntur (Andhra Pradesh)</t>
  </si>
  <si>
    <t>A.P.MODEL SCHOOL, DURGI was established in 2013 and it is managed by the Department of Education. It is located in Rural area. It is located in DURGI block of GUNTUR district of ANDHRA PRADESH. The school consists of Grades from 6 to 12. The school is Co-educational and it doesn't have an attached pre-primary section. The school is Model School in nature and is not using school building as a shift-school. English is the medium of instructions in this school. This school is approachable by all weather road. In this school academic session starts in April.</t>
  </si>
  <si>
    <t>SIM206598</t>
  </si>
  <si>
    <t>06080108141</t>
  </si>
  <si>
    <t>Banabuild-Stronger
Foundations, Lighter
Footprints</t>
  </si>
  <si>
    <t>BanaBuild</t>
  </si>
  <si>
    <t>SWARNPRASTHA
PUBLIC SCHOOL</t>
  </si>
  <si>
    <t>SIM21054</t>
  </si>
  <si>
    <t>01041004801</t>
  </si>
  <si>
    <t>Solar Power
Generation For
Agricultural Purpose</t>
  </si>
  <si>
    <t>Dachan
brainstorming</t>
  </si>
  <si>
    <t>GOVERNMENT
SECONDARY SCHOOL
DACHAN</t>
  </si>
  <si>
    <t>Budgam</t>
  </si>
  <si>
    <t>and Kashmir. 2 Jammu and Kashmir State Soldiers,</t>
  </si>
  <si>
    <t>SIM147664</t>
  </si>
  <si>
    <t>29280706323</t>
  </si>
  <si>
    <t>EcoSort</t>
  </si>
  <si>
    <t>JAWAHAR NAVODAYA
VIDYALAYA BAGALUR
BANGALORE URBAN
DIST</t>
  </si>
  <si>
    <t>SIM03530</t>
  </si>
  <si>
    <t>29280502007</t>
  </si>
  <si>
    <t>Battlefield Operations
Optimization
Technology</t>
  </si>
  <si>
    <t>Avinya Traya</t>
  </si>
  <si>
    <t>PM SHRI KENDRIYA
VIDYALAYA HEBBAL</t>
  </si>
  <si>
    <t>Shri Ashok Sengupta, PGT (Computer Science) from PM SHRI Kendriya Vidyalaya No. 1 Jalahalli, Bengaluru, Karnataka, is a seasoned Computer Science educator with over three decades of experience. He has championed value education, ICT training, and nature-oriented initiatives, including empowering teachers with technology and introducing biodiversity informatics. His dedication to environmental sustainability is reflected in his extensive butterfly research and outreach programs. His exceptional work has earned him the KVS Regional and National Incentive Awards and the Green Teacher Award. He was honoured with the National Award for Teachers 2024 by Hon'ble President of India for his outstanding contributions to education and nation-building.</t>
  </si>
  <si>
    <t>SIM160118</t>
  </si>
  <si>
    <t>32020200412</t>
  </si>
  <si>
    <t>Paahi Paper:
Revolutionizing Eco
Friend</t>
  </si>
  <si>
    <t>Kadambur HS
2</t>
  </si>
  <si>
    <t>KADAMBUR HIGHER
SECONDARY SCHOOL</t>
  </si>
  <si>
    <t>Kadambur Hs - Kadambur Kannur (Kerala)</t>
  </si>
  <si>
    <t>KADAMBUR HS was established in 1899 and it is managed by the Pvt. Aided. It is located in Urban area. It is located in KANNUR SOUTH block of KANNUR district of Kerala. The school consists of Grades from 1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</si>
  <si>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SIM36162</t>
  </si>
  <si>
    <t>03040110739</t>
  </si>
  <si>
    <t>Medirobo</t>
  </si>
  <si>
    <t>Creator of
Creators</t>
  </si>
  <si>
    <t>POLICE DAV PUBLIC
SCHOOL</t>
  </si>
  <si>
    <t>13Th Inter Music And Dance Competition</t>
  </si>
  <si>
    <t>Police DAV Public School, Jalandhar, affiliated to CBSE, New Delhi with English as its medium of instruction is a premier institute of Punjab spread over 7.2 acres in the safe and secure Punjab Armed Police Campus. Being the outcome of prophetic vision of Punjab Police and DAVCMC, it reflects the urges of a futuristic society. | Police DAV Public School, Jalandhar, affiliated to CBSE, New Delhi with English as its medium of instruction is a premier institute of Punjab spread over 7.2 acres in the safe and secure Punjab Armed Police Campus. Being the outcome of prophetic vision of Punjab Police and DAVCMC, it reflects the urges of a futuristic society. Ever since its inception in 1996, the school has raced against time and uplifted education from being a primordial lackadaisical routine affair, and made it solemn, sagacious, progressive, holistic and futuristic. The present strength of approx. 5500 students inclusive of both police and civilian population provides credence to its claims to excellence in all arenas, and showcases the parental trust in disguise.</t>
  </si>
  <si>
    <t>SIM149048</t>
  </si>
  <si>
    <t>08122505911</t>
  </si>
  <si>
    <t>Plastic phoenix : the
magical morphers of
plastic waste</t>
  </si>
  <si>
    <t>TechnoThon</t>
  </si>
  <si>
    <t>MAHARAJA SAWAI
MAN SINGH
VIDYALAYA</t>
  </si>
  <si>
    <t>Jaipur - 302004, Rajasthan (India)</t>
  </si>
  <si>
    <t>SIM04737</t>
  </si>
  <si>
    <t>Eco friendly ventilation
for auto rickshaw</t>
  </si>
  <si>
    <t>SRV
INNOVATORS</t>
  </si>
  <si>
    <t>SIM122503</t>
  </si>
  <si>
    <t>36260301505</t>
  </si>
  <si>
    <t>Biodegradable sanitary
pads from sugarcane
pulp</t>
  </si>
  <si>
    <t>V Veena</t>
  </si>
  <si>
    <t>ZPHS ANANTHAPUR</t>
  </si>
  <si>
    <t>Zphs Anantapur - Anantapur Mahbubnagar (Telangana)</t>
  </si>
  <si>
    <t>ZPHS ANANTAPUR was established in 1965 and it is managed by the Local body. It is located in Rural area. It is located in GADWAL block of MAHBUBNAGAR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</si>
  <si>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SIM200052</t>
  </si>
  <si>
    <t>36211000563</t>
  </si>
  <si>
    <t>Office bot</t>
  </si>
  <si>
    <t>Damayanti</t>
  </si>
  <si>
    <t>GLOBAL INDIAN
INTERNATIONAL
SCHOOL</t>
  </si>
  <si>
    <t>SIM219002</t>
  </si>
  <si>
    <t>09151718707</t>
  </si>
  <si>
    <t>Animal prevention</t>
  </si>
  <si>
    <t>Team Raman</t>
  </si>
  <si>
    <t>ARMY PUBLIC SCHOOL</t>
  </si>
  <si>
    <t>Army Public School, Old Cantt Prayagraj FVR4+WVC, Barrister Mullah Colony, Old Cantt, Prayagraj, Uttar Pradesh 211002</t>
  </si>
  <si>
    <t>SIM109682</t>
  </si>
  <si>
    <t>12230106705</t>
  </si>
  <si>
    <t>"Collapsable barrier
system for preventing
accidental falls in the
railway tracks."</t>
  </si>
  <si>
    <t>Community
Solutionists</t>
  </si>
  <si>
    <t>KENDRIYA VIDYALAYA
NERIST</t>
  </si>
  <si>
    <t>Arunachal
Pradesh</t>
  </si>
  <si>
    <t>SIM204161</t>
  </si>
  <si>
    <t>27210700550</t>
  </si>
  <si>
    <t>Carbon Monoxide
Absorber</t>
  </si>
  <si>
    <t>Carbon
Absorber</t>
  </si>
  <si>
    <t>KANAKIA
INTERNATIONAL
SCHOOL</t>
  </si>
  <si>
    <t>SIM230419</t>
  </si>
  <si>
    <t>27230400184</t>
  </si>
  <si>
    <t>Track Alert</t>
  </si>
  <si>
    <t>Vivekanand
English High
School</t>
  </si>
  <si>
    <t>VIVEKANAND
ENGLISH HIGH
SCHOOL</t>
  </si>
  <si>
    <t>Considered as one of the most reputed institution of Mumbai, a recent survey showed that the Swami Vivekanand High School is in the top 2% in Maharashtra. The School has all the facilities of Music Library, Sports Academy, Laboratories, highly dedicated &amp; experienced staff. . All the classrooms are fitted with interactive boards &amp; LCD projectors.</t>
  </si>
  <si>
    <t>SIM103990</t>
  </si>
  <si>
    <t>Generating electricity
using rain water</t>
  </si>
  <si>
    <t>Raising stars</t>
  </si>
  <si>
    <t>SIM14158</t>
  </si>
  <si>
    <t>07080313603</t>
  </si>
  <si>
    <t>G.L.O.W (gas leakage
and optical witness)</t>
  </si>
  <si>
    <t>Eco
Innovators</t>
  </si>
  <si>
    <t>BASAVA
INTERNATIONAL
SCHOOL</t>
  </si>
  <si>
    <t>Basava International School | South West, Government Of Delhi | India</t>
  </si>
  <si>
    <t>Site No. 1,Sector-23,Dwarka New Delhi-75 | The present system of administration in Delhi can be traced back to 1803, when Delhi came under British protection and eventually became part of the British Punjab. Delhi district had a Deputy Commissioner who was the Chief District Officer, having revenue and Registration powers. He was also the head of urban administration, being President of the District Board and the Municipality.</t>
  </si>
  <si>
    <t>SIM03634</t>
  </si>
  <si>
    <t>24191306501</t>
  </si>
  <si>
    <t>Safe click / insta
rescue / click 2 save</t>
  </si>
  <si>
    <t>Threat
Tracker</t>
  </si>
  <si>
    <t>BARODA HIGH
SCHOOL ONGC</t>
  </si>
  <si>
    <t>Baroda High School, ONGC, established in 1964, has around 3900 students in the Pre-Primary, Primary, Secondary &amp; Higher Secondary Section. It became a full-fledged school up to S.S.C. in the year 1969. The Higher Secondary General Stream was started in the year 1979 and the Higher Secondary Science stream in 1984. It is an English Medium, co-educational school managed by the Baroda Lions Club Education Trust and follows the Gujarat State Education Board Curriculum. In the year 1995, Day School was started to provide after care services to the children of working parents.</t>
  </si>
  <si>
    <t>SIM142470</t>
  </si>
  <si>
    <t>24060213036</t>
  </si>
  <si>
    <t>River/pond garbage
collector and waste
management</t>
  </si>
  <si>
    <t>BLU CORE</t>
  </si>
  <si>
    <t>KENDRIYA VIDYALAYA
NO 1 SECTOR 30</t>
  </si>
  <si>
    <t>PM SHRI KV No.1, Sector-30, Gandhinagar(Gujarat)- 382030 | PM Shri K.V. No.-1, Sector-30, Gandhinagar (Gujarat)- 382030</t>
  </si>
  <si>
    <t>SIM118925</t>
  </si>
  <si>
    <t>01011402201</t>
  </si>
  <si>
    <t>Refrigerator Cum
Heating Tray</t>
  </si>
  <si>
    <t>Team b</t>
  </si>
  <si>
    <t>PM SHRI GGHS
RAJPORA</t>
  </si>
  <si>
    <t>The Union Territory of Jammu and Kashmir came into existence on 31-10-2019 in terms of Jammu and Kashmir Reorganisation Act 2019. The Union Territory of Jammu &amp; Kashmir has been carved out of the Erstwhile state of Jammu and Kashmir that came into being as a single political and geographical entity following the Treaty of Amritsar between the British Government and Mahahraja Gulab Singh signed on March 16, 1846. | The Union Territory of Jammu and Kashmir came into existence on 31-10-2019 in terms of Jammu and Kashmir Reorganisation Act 2019. The Union Territory of Jammu &amp; Kashmir has been carved out of the Erstwhile state of Jammu and Kashmir that came into being as a single political and geographical entity following the Treaty of Amritsar between the British Government and Mahahraja Gulab Singh signed on March 16, 1846. The Treaty handed over the control of the Kashmir to the Dogra rulers of Jammu who were already controlling the Ladakh region. Thus, the new region comprising three distinct regions of Jammu, Kashmir and Ladakh was formed with Maharaja Gulab Singh as its founder ruler. | Lt Governor addresses the inaugural ceremony of 'Goonj-2024' at Jammu University, Official Website of Raj Bhawan Jammu and Kashmir, India</t>
  </si>
  <si>
    <t>SIM65344</t>
  </si>
  <si>
    <t>32110900410</t>
  </si>
  <si>
    <t>Ecosmart Compost:
Intelligent Waste-To-
Soil Management
System</t>
  </si>
  <si>
    <t>NIXAR24</t>
  </si>
  <si>
    <t>ST. ALOYSIUS HSS
EDATHUA</t>
  </si>
  <si>
    <t>Gender Justice Forum Inauguration In Association With Kudumbasree, Alappuzha</t>
  </si>
  <si>
    <t>In respectful remembrance of Sri. V. S. Achuthananthan (1923-2025) Former Chief Minister of Kerala | The College had a very humble beginning. It started functioning in St. Aloysius High School as a junior college affiliated to the University of Kerala with 189 students, 9 teachers and 7 non-teaching staff. In 1966, the college was shifted to the present site. The institution owes an immense debt of gratitude to late Very Rev. Fr. Cyriac Kottayil who in his capacity as the manager was instrumental in erecting the main building of the college. In 1983, following the bifurcation of Kerala University, the college came under the jurisdiction of the newly established Mahatma Gandhi University.</t>
  </si>
  <si>
    <t>SIM179952</t>
  </si>
  <si>
    <t>Drip Irrigation</t>
  </si>
  <si>
    <t>Stars of Galaxy</t>
  </si>
  <si>
    <t>Idukki Junior Athletic Meet 2025</t>
  </si>
  <si>
    <t>SIM55941</t>
  </si>
  <si>
    <t>03220900106</t>
  </si>
  <si>
    <t>Pure for sure!</t>
  </si>
  <si>
    <t>FUTURE
THINKERS</t>
  </si>
  <si>
    <t>PM SHRI KV NO 1
PATHANKOT</t>
  </si>
  <si>
    <t>Kendriya Vidyalaya V &amp; P.O. Reona Ucha Fatehgarh Sahib 140406</t>
  </si>
  <si>
    <t>PM SHRI KENDRIYA VIDYALAYA NO.1 AIRFORCE STATION PATHANKOT, PUNJAB</t>
  </si>
  <si>
    <t>SIM197123</t>
  </si>
  <si>
    <t>11040301103</t>
  </si>
  <si>
    <t>PaddyVision: an
android app for
classifying and ranking
the nitrogen deficiency
status of the paddy
with leaf images</t>
  </si>
  <si>
    <t>KVgangtok1</t>
  </si>
  <si>
    <t>KENDRIYA VIDYALAYA
GANGTOK</t>
  </si>
  <si>
    <t>In 1894, Thutob Namgyal , the Chogyal (king) of Sikkim, shifted the capital from Tumlong to Gangtok, increasing the city’s importance. East district became the centre for all administrative and social activities with shifting of capital . A new grand palace along with other state buildings was built in the new capital. Following India’s independence in 1947, Sikkim became a nation-state with Gangtok as its capital. Sikkim came under the suzerainty of India, with the condition that it would retain its independence, by the treaty signed between the Chogyal (King of Sikkim) and the then Indian Prime Minister Jawaharlal Nehru. This pact gave the India control of external affairs of Sikkim. Trade between India and Tibet continued to flourish through the Nathula and Jelepla passes , offshoots of the ancient Silk Road near Gangtok. These border passes were sealed after the Sino- Indian War in 1962, and the trade came to a halt. The Nathula pass was finally opened for limited trade in 2006, fuelling hopes of economic boom.</t>
  </si>
  <si>
    <t>SIM221514</t>
  </si>
  <si>
    <t>09100100407</t>
  </si>
  <si>
    <t>Eurekahub</t>
  </si>
  <si>
    <t>Breach</t>
  </si>
  <si>
    <t>GAGAN PUBLIC
SCHOOL GREATER
NOIDA WEST</t>
  </si>
  <si>
    <t>HS 1, Sector 4, Greater Noida West, Uttar Pradesh 201309</t>
  </si>
  <si>
    <t>SIM170986</t>
  </si>
  <si>
    <t>09090904513</t>
  </si>
  <si>
    <t>Acoustic filter</t>
  </si>
  <si>
    <t>Acoustic
filtration of
micro plastic</t>
  </si>
  <si>
    <t>LUCKNOW-226025 (UTTAR PRADESH) | LUCKNOW-226029 (UTTAR PRADESH).</t>
  </si>
  <si>
    <t>SIM188313</t>
  </si>
  <si>
    <t>10350910407</t>
  </si>
  <si>
    <t>Unmanned smart
surveillance vessel</t>
  </si>
  <si>
    <t>KVKalam</t>
  </si>
  <si>
    <t>KENDRIYA VIDYALAYA
NO 1 GAYA</t>
  </si>
  <si>
    <t>About PM SHRI KENDRIYA VIDYALAYA NO.1 GAYA, BIHAR</t>
  </si>
  <si>
    <t>SIM176493</t>
  </si>
  <si>
    <t>22081204705</t>
  </si>
  <si>
    <t>Anti Sleep Glasses</t>
  </si>
  <si>
    <t>Rakse2</t>
  </si>
  <si>
    <t>GOVT HIGHER
SECONDARY SCHOOL
RAKSE</t>
  </si>
  <si>
    <t>Govt. Higher Secondary School Rakse - Rakse Kawardha (Chhattisgarh)</t>
  </si>
  <si>
    <t>GOVT. HIGHER SECONDARY SCHOOL RAKSE was established in 1981 and it is managed by the Department of Education. It is located in Rural area. It is located in SAHASPUR LOHARA block of KAWARDHA district of Chhattisgarh. The school consists of Grades from 9 to 12. The school is Co-educational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</si>
  <si>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SIM86134</t>
  </si>
  <si>
    <t>01221800414</t>
  </si>
  <si>
    <t>Sugarcane Disease
Detector</t>
  </si>
  <si>
    <t>GG1</t>
  </si>
  <si>
    <t>GOVT GIRLS HIGHER
SECONDARY SCHOOL
JAKH</t>
  </si>
  <si>
    <t>Govt Hss Jakh - Bagla Jakh Samba (Jammu And Kashmir)</t>
  </si>
  <si>
    <t>GOVT HSS JAKH was established in 1944 and it is managed by the Department of Education. It is located in Rural area. It is located in VIJAYPUR block of SAMBA district of Jammu and Kashmir. The school consists of Grades from 9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</si>
  <si>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SIM04010</t>
  </si>
  <si>
    <t>29200312168</t>
  </si>
  <si>
    <t>AI Based Iot Cloud
Agriculture
Automation System</t>
  </si>
  <si>
    <t>Metal
Innovators</t>
  </si>
  <si>
    <t>KPS JEEVANBHIMA
NAGAR BANGALORE</t>
  </si>
  <si>
    <t>Ghs Jeevanabhimanagara - Jeevanbhimanagar W No-88 Bengaluru U South (Karnataka)</t>
  </si>
  <si>
    <t>GHS JEEVANABHIMANAGARA - Jeevanbhimanagar W No-88 District Bengaluru U South (Karnataka)</t>
  </si>
  <si>
    <t>SIM121751</t>
  </si>
  <si>
    <t>32071000102</t>
  </si>
  <si>
    <t>Solar Water Distiller
with Sun Tracking
Mechanism.</t>
  </si>
  <si>
    <t>Hydra</t>
  </si>
  <si>
    <t>HSS CHENTRAPPINNI</t>
  </si>
  <si>
    <t>Hs Chentrappinni - Chentrappinni Thrissur (Kerala)</t>
  </si>
  <si>
    <t>HS CHENTRAPPINNI was established in 1957 and it is managed by the Pvt. Aided. It is located in Rural area. It is located in MATHILAKAM block of THRISSUR district of Kerala. The school consists of Grades from 5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</si>
  <si>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SIM212755</t>
  </si>
  <si>
    <t>32130200507</t>
  </si>
  <si>
    <t>Obstacle Avoiding
Robot</t>
  </si>
  <si>
    <t>Team Robot</t>
  </si>
  <si>
    <t>I P M U P SCHOOL</t>
  </si>
  <si>
    <t>I.P.M.U.P.S Veykal - Nilamel Kollam (Kerala)</t>
  </si>
  <si>
    <t>I.P.M.U.P.S VEYKAL was established in 1957 and it is managed by the Pvt. Aided. It is located in Rural area. It is located in CHADAYAMANGALAM block of KOLLAM district of Kerala. The school consists of Grades from 5 to 7.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</si>
  <si>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SIM189827</t>
  </si>
  <si>
    <t>32130200103</t>
  </si>
  <si>
    <t>Integrated Solid Waste
Management System</t>
  </si>
  <si>
    <t>GROUP A</t>
  </si>
  <si>
    <t>GUPS VELLOOPPARA</t>
  </si>
  <si>
    <t>G.U.P.S Velloopara - Chadayamangalam Kollam (Kerala)</t>
  </si>
  <si>
    <t>G.U.P.S VELLOOPARA was established in 1917 and it is managed by the Department of Education. It is located in Rural area. It is located in CHADAYAMANGALAM block of KOLLAM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</si>
  <si>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SIM221591</t>
  </si>
  <si>
    <t>32071804002</t>
  </si>
  <si>
    <t>Aqua Observer</t>
  </si>
  <si>
    <t>CATALYST</t>
  </si>
  <si>
    <t>PM SHRI KV KPA
RAMAVARMAPURAM</t>
  </si>
  <si>
    <t>Daksha Jayakrishnan, The World Record of “LONGEST TIME TO PERFORM BHARATANATYAM DANCE (KID)” was achieved by DAKSHA JAYAKRISHNAN on 17th May 2024 from Thrissur (Kerala) India. 8 years 4 months 12 days old Daksha Jayakrishnan performed Bharatanatyam dance for 46 minutes 26 seconds 58 centiseconds and broke the previous record of performing it in 21 minutes 30 seconds and has set a new world record for International Book of Records. | As a second gift from Kendriya Vidyalaya Sangathan to the cultural capital of Kerala, PM SHRI KV KPA, Ramavarmapuram had started on 30th August 2010. This school is under the Ernakulam Region of Kendriya Vidyalaya Sangathan, an autonomous body under the Ministry of Education, Govt. of India. It currently has a strength of 815 students (as on 06/05/2024) with classes from I to XII. This Vidyalaya primarily caters to the educational needs of the wards of Central Government Employees/State Government Employees including Kerala Police Academy Employees.</t>
  </si>
  <si>
    <t>SIM202730</t>
  </si>
  <si>
    <t>Cam Claw</t>
  </si>
  <si>
    <t>Important
Innovators</t>
  </si>
  <si>
    <t>SIM220931</t>
  </si>
  <si>
    <t>21140218101</t>
  </si>
  <si>
    <t>Advance elephant
corridor</t>
  </si>
  <si>
    <t>Nathua</t>
  </si>
  <si>
    <t>UDAYANATH GOVT UG
HIGH SCHOOL
NATHUA</t>
  </si>
  <si>
    <t>Udayanath Govt.Ughs - Nathua Dhenkanal (Orissa)</t>
  </si>
  <si>
    <t>SIM118087</t>
  </si>
  <si>
    <t>19161304303</t>
  </si>
  <si>
    <t>Driveguard</t>
  </si>
  <si>
    <t>Team 1</t>
  </si>
  <si>
    <t>ST XAVIERS HIGH
SCHOOL</t>
  </si>
  <si>
    <t>He Was Honoured By The Additional Inspector Of Schools, Durgapur Division</t>
  </si>
  <si>
    <t>DAMODARPUR STATE HIGHWAY 2, KHATRA RANIBANDH ROAD, BANKURA-722146, WEST BENGAL</t>
  </si>
  <si>
    <t>SIM112647</t>
  </si>
  <si>
    <t>18170602403</t>
  </si>
  <si>
    <t>Floating Toilet</t>
  </si>
  <si>
    <t>Sansthita
Jharna</t>
  </si>
  <si>
    <t>PRAGJYOTIKA SENIOR
SECONDARY SCHOOL</t>
  </si>
  <si>
    <t>Gradually the process for obtaining the affiliation of school began, which was fulfilled in the year 2001 when Board of Secondary Education , Assam, recognized the school after fulfilling the norms , that again after shifting the school to a new campus (West Boragaon) in view of fulfilling all the norms which was procured here. In the need of more land and space the school had to be shifted to West Boragaon in the year 1997, where the school is located presently. However , the lower primary branch remained at Boripara, Maligaon which is functioning in the same location till date.</t>
  </si>
  <si>
    <t>SIM117095</t>
  </si>
  <si>
    <t>25010100411</t>
  </si>
  <si>
    <t>Water Purification Unit
for Tap Water</t>
  </si>
  <si>
    <t>Diu warrior</t>
  </si>
  <si>
    <t>GOVERNMENT
HIGHER SECONDARY
SCHOOL DIU</t>
  </si>
  <si>
    <t>Dadra and
Nagar Haveli
and Daman
and Diu</t>
  </si>
  <si>
    <t>Schools |  Diu Website  | India</t>
  </si>
  <si>
    <t>Content Owned by Copyrights 2023 © U.T. Administration of Dadra and Nagar Haveli and Daman and Diu. Government of India.</t>
  </si>
  <si>
    <t>SIM179361</t>
  </si>
  <si>
    <t>37070402518</t>
  </si>
  <si>
    <t>SOAD CAN SOLAR
POWER HEAT
BLOWER</t>
  </si>
  <si>
    <t>JNV LEH</t>
  </si>
  <si>
    <t>JNV LEH LADAKH</t>
  </si>
  <si>
    <t>Ladakh</t>
  </si>
  <si>
    <t>Jawahar Navodaya Vidyalaya, Village Choglamsar, Leh, (Ladhak-U.T.), India Pin - 194101</t>
  </si>
  <si>
    <t>With the aim of achieving “greatness” Nayodaya vidyalaya Samiti Chandigarh Region was established in the year 1986. Since then we have lightened up the centres of “creativity" the 58 JNV's in Chandigarh,Himachal Pradesh,Jammu and Kashmir,Ladakh,Punjab. To have a reach in each district of thses states in our aim. Each JNV of our is a hub of knowledge. RO Chandigarh Region caters all administrative and monitoring needs. We are there any hour of the day to provide guidance, assistance, infrastructure and planning to our “centres of greatness”.</t>
  </si>
  <si>
    <t>SIM23146</t>
  </si>
  <si>
    <t>28113401320</t>
  </si>
  <si>
    <t>Smart queue</t>
  </si>
  <si>
    <t>9thclass1</t>
  </si>
  <si>
    <t>A P MODEL SCHOOL
SOMPETA</t>
  </si>
  <si>
    <t>Ap Model School,Sompeta - Sompeta (Pt) Srikakulam (Andhra Pradesh)</t>
  </si>
  <si>
    <t>AP MODEL SCHOOL,SOMPETA was established in 2013 and it is managed by the Department of Education. It is located in Rural area. It is located in SOMPETA block of SRIKAKULAM district of ANDHRA PRADESH. The school consists of Grades from 6 to 12. The school is Co-educational and it doesn't have an attached pre-primary section. The school is Model School in nature and is not using school building as a shift-school. English is the medium of instructions in this school. This school is approachable by all weather road. In this school academic session starts in April.</t>
  </si>
  <si>
    <t>SIM187582</t>
  </si>
  <si>
    <t>22091108503</t>
  </si>
  <si>
    <t>Out-of-range alarm for
personal belongings</t>
  </si>
  <si>
    <t>yugnatar 2</t>
  </si>
  <si>
    <t>YUGANTAR PUBLIC
SCHOOL</t>
  </si>
  <si>
    <t>The academic year 2022-23 brought astounding board results both in classes X and XII .In class X Miss Venya Asati topped the list with 95.6 % and in class XII Miss Tanvi Bindal secured I st position in entire Chhattisgarh state with 99 % .Miss Shubhi Agarwal secured 95 %.Moreover in classes X and XII thirty students secured 90 and above.</t>
  </si>
  <si>
    <t>SIM197216</t>
  </si>
  <si>
    <t>Agrovator</t>
  </si>
  <si>
    <t>SIM194773</t>
  </si>
  <si>
    <t>24071202427</t>
  </si>
  <si>
    <t>Blendercycle</t>
  </si>
  <si>
    <t>marathon
maniace</t>
  </si>
  <si>
    <t>DR C G ENGLISH
SCHOOL
SARDARNAGAR</t>
  </si>
  <si>
    <t>Dr C G English Pri, Sec, High School - Sardar Nagar Ahmedabad (Gujrat)</t>
  </si>
  <si>
    <t>SIM214413</t>
  </si>
  <si>
    <t>06010101506</t>
  </si>
  <si>
    <t>Solarsift</t>
  </si>
  <si>
    <t>HALLMARK PUBLIC
SCHOOL</t>
  </si>
  <si>
    <t>Sector 15, Panchkula, Haryana-134113 | Plot No. 78, Bhagwan Mahaveer Marg, Sector 44, Gurugram, Haryana 122003</t>
  </si>
  <si>
    <t>SIM225427</t>
  </si>
  <si>
    <t>Grey Reaqua: A Grey
Water Filtration Model</t>
  </si>
  <si>
    <t>Notoriously
Green</t>
  </si>
  <si>
    <t>SIM210423</t>
  </si>
  <si>
    <t>02090701010</t>
  </si>
  <si>
    <t>Dynamic Traffic Light</t>
  </si>
  <si>
    <t>Full Throtle</t>
  </si>
  <si>
    <t>VIVEK
INTERNATIONAL
PUBLIC SCHOOL
SOLAN</t>
  </si>
  <si>
    <t>Principal, Ganpati Group Of Institutions, Bilaspur, Yamuna Nagar (Haryana)</t>
  </si>
  <si>
    <t>VIVEK INTERNATIONAL P.S.BADDI - Baddi(2) District Solan (Himachal Pradesh)</t>
  </si>
  <si>
    <t>SIM227520</t>
  </si>
  <si>
    <t>Shoe Navigation
System for Blind
People with GPS
Tracking System</t>
  </si>
  <si>
    <t>XI7</t>
  </si>
  <si>
    <t>SIM138567</t>
  </si>
  <si>
    <t>Automatic Grass Cutter</t>
  </si>
  <si>
    <t>Smart
Solutions 2</t>
  </si>
  <si>
    <t>SIM215577</t>
  </si>
  <si>
    <t>32050500714</t>
  </si>
  <si>
    <t>Smoke and Gas
Detector</t>
  </si>
  <si>
    <t>SIM 2024</t>
  </si>
  <si>
    <t>GHSSPULAMANTHOLE</t>
  </si>
  <si>
    <t>SIM176130</t>
  </si>
  <si>
    <t>Healthcare monitoring
wearable</t>
  </si>
  <si>
    <t>avm jaypal
singh</t>
  </si>
  <si>
    <t>SIM163336</t>
  </si>
  <si>
    <t>33211204722</t>
  </si>
  <si>
    <t>Snake spotter alarm</t>
  </si>
  <si>
    <t>TITANOBOA</t>
  </si>
  <si>
    <t>ST. ISABEL GIRLS HSS-
PATTUKOTTAI</t>
  </si>
  <si>
    <t>ST.ISABEL'S GIRLS HIGHER SECONDARY SCHOOL PATTUKKOTTAI was established in 1981 and it is managed by the Pvt. Aided. It is located in Urban area. It is located in PATTUKKOTTAI block of THANJAVUR district of Tamil Nadu. The school consists of Grades from 6 to 12. The school is Girls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</si>
  <si>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SIM149146</t>
  </si>
  <si>
    <t>33260214653</t>
  </si>
  <si>
    <t>Advance smart helmet</t>
  </si>
  <si>
    <t>Newton</t>
  </si>
  <si>
    <t>KENDRIYA VIDYALAYA
VNR</t>
  </si>
  <si>
    <t>Kendriya Vidyalaya Vnr - Virudhunagar  Virudhunagar (Tamil Nadu)</t>
  </si>
  <si>
    <t>KENDRIYA VIDYALAYA VNR was established in 2010 and it is managed by the Central Govt.. It is located in Urban area. It is located in VIRUDHUNAGAR block of VIRUDHUNAGAR district of Tamil Nadu. The school consists of Grades from 1 to 10. The school is Co-educational and it doesn't have an attached pre-primary section. The school is N/A in nature and is not using school building as a shift-school. English is the medium of instructions in this school. This school is approachable by all weather road. In this school academic session starts in April.</t>
  </si>
  <si>
    <t>SIM218674</t>
  </si>
  <si>
    <t>33280806001</t>
  </si>
  <si>
    <t>Smart_home_automati
on</t>
  </si>
  <si>
    <t>MS EVEREST</t>
  </si>
  <si>
    <t>EVEREST MARIAPPA
NADAR HSS
KOVILPATTI</t>
  </si>
  <si>
    <t>Tuticorin .</t>
  </si>
  <si>
    <t>SIM146867</t>
  </si>
  <si>
    <t>36181801912</t>
  </si>
  <si>
    <t>Led windmill</t>
  </si>
  <si>
    <t>PERFORMERS</t>
  </si>
  <si>
    <t>ST MARYS
VIDYANIKETAN HIGH
SCHOOL CBSE</t>
  </si>
  <si>
    <t>Medak ()</t>
  </si>
  <si>
    <t>Mandal, Siddipet Dist. T.S. 502 311 Telangana</t>
  </si>
  <si>
    <t>SIM92932</t>
  </si>
  <si>
    <t>05050432922</t>
  </si>
  <si>
    <t>Easy cloth drier and
hanger</t>
  </si>
  <si>
    <t>TEAM KVM 1</t>
  </si>
  <si>
    <t>KENDRIYA VIDYALAYA
LBSNAA MUSSOORIE</t>
  </si>
  <si>
    <t>(Iv)</t>
  </si>
  <si>
    <t>Kendriya Vidyalaya no 2 SOI Hathibarkala Dehradun Uttarakhand</t>
  </si>
  <si>
    <t>SIM162028</t>
  </si>
  <si>
    <t>19191011301</t>
  </si>
  <si>
    <t>Women safety device</t>
  </si>
  <si>
    <t>POWER
SCIENCE</t>
  </si>
  <si>
    <t>PARANCHAK
SIKSHANIKETAN</t>
  </si>
  <si>
    <t>Paranchak Siksha Niketan - Paranchak Ward No-10 Purba Medinipur (West Bengal)</t>
  </si>
  <si>
    <t>PARANCHAK SIKSHA NIKETAN - Paranchak Ward No-10 District Purba Medinipur (West Bengal)</t>
  </si>
  <si>
    <t>SIM07865</t>
  </si>
  <si>
    <t>Helping teddy bear</t>
  </si>
  <si>
    <t>Technicals
Girls</t>
  </si>
  <si>
    <t>SIM211670</t>
  </si>
  <si>
    <t>07040322504</t>
  </si>
  <si>
    <t>Revolucharge:
revolution x power</t>
  </si>
  <si>
    <t>RevoluCharge
Module</t>
  </si>
  <si>
    <t>D.A.V. Sreshtha Vihar was established in 1989 and since then it has been training the flame of D.A.V. excellence and creating new breakthrough in the world of education. The fire of D.A.V. principles and vision runs through Sreshthas and can be seen in the passion and zeal with which they work. The school’s building and environment are testimony to the fact that the place is more than an educational institution. It not only teaches, but grooms the future of India. The school’s infrastructure has been structured to engineer holistic development of a child. DAV Public School, Sreshtha Vihar, has boldly stepped into its adulthood and has also kept pace in terms with its reputation and achievements in every field. It has kept up its name of being a Sreshtha. The school not merely works towards living up to its name, but envisions moving beyond it, our aim is therefore to become ‘the Sarv Sreshtha’ in the truest sense of the term. Therefore we aspire for new goals each year and put our best foot forward to work in the same till the goals are reached. Thus a holistic approach of education is adopted in grooming the Sreshthas towards becoming Sarv Sreshthas. The teachers always make their utmost efforts to keep their students at par or ahead of their times. Thus, they experiment with new ideas and strategies and improvise methods whereby the students can get the extra edge. Much of what the school has gained is due to their commitment. Teachers here work constantly in imparting knowledge in the most innovative ways using different strategies and technology. They are engaging students in various ways through projects to give hands on experience. Yes, DAV Sreshtha Vihar is leading from the forefront. As per the HT survey it is one of the top schools of East Delhi and according to the DAV analysis it has been put into the excellent category. The school Annual Board Results proves the claim.</t>
  </si>
  <si>
    <t>SIM229227</t>
  </si>
  <si>
    <t>Garbage Monitoring
System</t>
  </si>
  <si>
    <t>Garbage
Monitoring
System</t>
  </si>
  <si>
    <t>SIM84499</t>
  </si>
  <si>
    <t>Lab Assistant</t>
  </si>
  <si>
    <t>ALPHA TEAM</t>
  </si>
  <si>
    <t>SIM195874</t>
  </si>
  <si>
    <t>20180901403</t>
  </si>
  <si>
    <t>Flood Alert Alarm</t>
  </si>
  <si>
    <t>CHANDRABHU
DEV</t>
  </si>
  <si>
    <t>KENDRIYA VIDYALAYA
SURDA</t>
  </si>
  <si>
    <t>Website of Kendriya Vidyalaya No. 1, Bokaro, Jharkhand</t>
  </si>
  <si>
    <t>SIM01844</t>
  </si>
  <si>
    <t>29120114909</t>
  </si>
  <si>
    <t>GST Duster(Gather-
Store-Transfer Duster)</t>
  </si>
  <si>
    <t>SPARKLING
STARS</t>
  </si>
  <si>
    <t>KENDRIYA VIDYALAYA
BELLARY</t>
  </si>
  <si>
    <t>Website of Kendriya Vidyalaya No 1 AFS Jalahalli, West Bangalore, Karnataka</t>
  </si>
  <si>
    <t>SIM00952</t>
  </si>
  <si>
    <t>29240100207</t>
  </si>
  <si>
    <t>Train Automatic Stairs</t>
  </si>
  <si>
    <t>Warroirs</t>
  </si>
  <si>
    <t>SRI SATHYASAI
LOKASEVA HIGH
SCHOOL ALIKE</t>
  </si>
  <si>
    <t>Chikkaballapur , Karnataka, India.</t>
  </si>
  <si>
    <t>amongst the Govt., Aided &amp; Unaidedschools of Dakshina Kannada District for imparting quality education.Exams and results are the two things which define a student’s progress academically. The exams are the institution’s way of assessing how good a pupil is or how successful he is in attaining the information provided to him throughout the year in his class.We couldachieve almost 100% result in the S.S.L.C. examination conducted by the Karnataka Secondary Education Examination Board, Bangalore. The comparative statement for the past 5 years is as follows:</t>
  </si>
  <si>
    <t>SIM91874</t>
  </si>
  <si>
    <t>Mist to Hope</t>
  </si>
  <si>
    <t>Eco Catchers</t>
  </si>
  <si>
    <t>SIM139191</t>
  </si>
  <si>
    <t>36221091796</t>
  </si>
  <si>
    <t>Driver anti-sleep
alarm: alertdrive:
driver drowsiness
detection system</t>
  </si>
  <si>
    <t>Markandeya</t>
  </si>
  <si>
    <t>SSSM SARASWATHI
NAGAR</t>
  </si>
  <si>
    <t>Shushuvihar Kendras At Bhadradri Kothagudem</t>
  </si>
  <si>
    <t>sq. km) covered. It is also known as Palamoor. Mahabubnagar district headquarters town was named after Mir Mahabub Ali Khan, the Nizam of Hyderabad. It is located between 15° 55′ and 17° 29′ N latitudes and between 77° 15′ and 79° 15′ E longitudes. It is bounded on the north by Ranga Reddy district of Telangana, on the east by Nagarkurnool district of Telangana, on the south by Wanaparthy and Jogulamba-Gadwal districts of Telangana and on the west by Raichur and Gulbarga districts of Karnataka State. The area of the district is | Mahabubnagar-509001 (Telangana State)</t>
  </si>
  <si>
    <t>SIM35928</t>
  </si>
  <si>
    <t>Ecotoys</t>
  </si>
  <si>
    <t>ECOTOYS</t>
  </si>
  <si>
    <t>SIM201827</t>
  </si>
  <si>
    <t>09100201506</t>
  </si>
  <si>
    <t>Pedestrian crossing
safety</t>
  </si>
  <si>
    <t>Maverick</t>
  </si>
  <si>
    <t>DELHI PUBLIC
SCHOOL, NTPC
VIDYUTNAGAR</t>
  </si>
  <si>
    <t>SIM74096</t>
  </si>
  <si>
    <t>19170107216</t>
  </si>
  <si>
    <t>Leaksafe: preventing
leaks, protecting
resources</t>
  </si>
  <si>
    <t>Bright Sparks</t>
  </si>
  <si>
    <t>ARMY PUBLIC SCHOOL
KOLKATA</t>
  </si>
  <si>
    <t>1994 establishments in West Bengal</t>
  </si>
  <si>
    <t>SIM194351</t>
  </si>
  <si>
    <t>Smart Room
Occupancy tracker</t>
  </si>
  <si>
    <t>technical teens</t>
  </si>
  <si>
    <t>SIM02003</t>
  </si>
  <si>
    <t>Our title of our idea is
'clear air'.</t>
  </si>
  <si>
    <t>Fly Over</t>
  </si>
  <si>
    <t>SIM195008</t>
  </si>
  <si>
    <t>32080201702</t>
  </si>
  <si>
    <t>Safe air safe air</t>
  </si>
  <si>
    <t>TechThree</t>
  </si>
  <si>
    <t>ROGATIONIST
ACADEMY</t>
  </si>
  <si>
    <t>SIM00324</t>
  </si>
  <si>
    <t>21020700251</t>
  </si>
  <si>
    <t>Magic Water Tab</t>
  </si>
  <si>
    <t>SSVM
BRAJRAJNAGA
R</t>
  </si>
  <si>
    <t>SARASWATI VIDYA
MANDIR
BRAJRAJNAGAR</t>
  </si>
  <si>
    <t>Saraswati Vidya Mandir, Nalco Nagar, Angul was established on 21-09-1984 and initially known to be Chinmaya Vidyalaya. The academic process was managed by Sikshya Vikash Samiti, Bhubaneswar w.e.f 21-05-1990 and since then it has been renamed as Saraswati Vidya Mandir. This school is an institution of co-education recognized by the Govt. of Odisha and affiliated to Board of Secondary Education, Odisha, Cuttack and Council of Higher Secondary Education, Bhubaneswar vide Letter No. XVIIER-33/91-676 dated 06-01-1992 and Circle Inspector’s Letter No. 2586 dated 11-02-1992. There is an arrangement to provide education to students of LKG to that of +2 Arts &amp; Science. The motto of this institution is “Swayameva Mrugendrata.”</t>
  </si>
  <si>
    <t>SIM198156</t>
  </si>
  <si>
    <t>03110712205</t>
  </si>
  <si>
    <t>Mini aqua harvester: a
budget-friendly
atmospheric water
generator for rural
areas</t>
  </si>
  <si>
    <t>atl7</t>
  </si>
  <si>
    <t>DC MODEL
INTERNATIONAL
SCHOOL</t>
  </si>
  <si>
    <t>Seventy-six years ago, a dream was born – the dream to transform the educational map of the nation. It was in the year 1946 that Decent Children Modern School was established by Late Sh. M R Dass, a renowned academician and the founder of the DCM Society. Decent Children Modern School was the first English medium school in the Malwa belt of Punjab, which was based on modern lines of education with most of its faculty drawn from Europe. Thus began the journey of this organization which slowly expanded its horizons and metamorphosed into DCM Group of Schools. The group, since then, is committed to provide world class education to the children. Today, DCM Schools are recognized as the ones with a progressive approach and a commitment towards providing quality education. All institutions under the aegis of this Society have carved a niche for themselves amidst the comity of best educational institutions in the country. Each school has developed into an ‘avant grade’ autonomous institution, with proficient school management, outstanding Principals coupled with flawless school administration and a sound academic ecosystem with state-of-the-art technology.</t>
  </si>
  <si>
    <t>SIM26696</t>
  </si>
  <si>
    <t>08240107102</t>
  </si>
  <si>
    <t>Senisit: the walking
stick with a built-in
rest</t>
  </si>
  <si>
    <t>TEAM9A7</t>
  </si>
  <si>
    <t>SWAMI VIVEKANAND
GOVERNMENT MODEL
SCHOOL</t>
  </si>
  <si>
    <t>Level Player</t>
  </si>
  <si>
    <t>is one from the 186 educationally backward blocks identified by the central Govt. of India in Rajasthan.</t>
  </si>
  <si>
    <t>SIM211421</t>
  </si>
  <si>
    <t>08122506113</t>
  </si>
  <si>
    <t>Biodegradable
packaging solution –
eco-friendly coconut
husk bags</t>
  </si>
  <si>
    <t>Team
Edmunds 25</t>
  </si>
  <si>
    <t>ST EDMUNDS SCHOOL</t>
  </si>
  <si>
    <t>St. Edmund’s School, Jawahar Nagar, proudly celebrates the achievement of Arnav Singh Dhillon, a Class 10 student, who won the Gold Medal in Discuss Throw at the 3rd Rajasthan State Junior &amp; Sub-Junior Para Athletics Championship 2025, held at Sawai Man Singh Stadium, Jaipur. | is a well-known school knows for its best learning environment. The school was established in 1975, located in Jaipur, Rajasthan with the motive to provide high-class education to every student who became the part of a school. For better education, there is a requirement of better instructors and we are proud to say that we have best teachers and students apart who has withstood with us in providing quality education.</t>
  </si>
  <si>
    <t>SIM120463</t>
  </si>
  <si>
    <t>33020900911</t>
  </si>
  <si>
    <t>Removal microplastics
form water using
ferrofluids.</t>
  </si>
  <si>
    <t>Yakshittha
team</t>
  </si>
  <si>
    <t>KENDRIYA VIDYALAYA
IIT CHENNAI</t>
  </si>
  <si>
    <t>Chennai</t>
  </si>
  <si>
    <t>SIM37862</t>
  </si>
  <si>
    <t>33030903111</t>
  </si>
  <si>
    <t>Eco friendly id card
made from sugarcane
fibre ( baggase)</t>
  </si>
  <si>
    <t>keertisaha</t>
  </si>
  <si>
    <t>KENDRIYA VIDYALAYA
DGI COMPLEX</t>
  </si>
  <si>
    <t>KV DGQA lives a temple of consciousness that every student understands what it means to be human at all times and in all the ways by incorporating various novel and flagship programmes of KendriyaVidyalayaSangathan in curricular and co-curricular activities incorporating National Education Policy 2020 ,committed to achieve NIPUN Bharat (National Initiative for Proficiency in reading with Understanding and Numeracy), FLN ( Foundational Literacy and Numeracy)activities, implementation of innovative pedagogical pracrices, skill and vocational education, multilingualism, revised assessment structure, innovation and experimentation, sporting and health education, Yoga,regular medical check-ups, Scouts and Guides activities, Adolescence Education Program, Awakened Citizen Program, Green Projects(HarithVidyalaya),Information and Technology , Swatch Vidyalaya projects ,participation in internal and external competitions, visual and performing arts and crafts, work education, computer education, environmental awareness, NIE(NEWS PAPER IN EDUCATION) , science and Rashtriya Ekta Diwas ,online competitions and tests in collaboration with other organisations like CBSE, NCERT,SGFI(SPORTS AND GAMES FEDERATION OF INDIA), BHARAT SCOUTS AND GUIDES, TAMIL NADU BATTALIAN, IAPT(INDIAN ASSOCIATION OF PHYSICS TEACHERS), RAMAKRISHNA MISSION, SCIENCE OYMPIAD FOUNDATION, AND MANY MORE PRIVATE EDUCATIONAL ORGANISATIONS AND NGOS. The mission of KV DGQA , with a dedicated team, moves towards achieving the vision of creating RESPONSIBLE AND SENSIBLE INDIAN CITIZENS to work towards building ecstatic and fulfilled society.</t>
  </si>
  <si>
    <t>SIM13008</t>
  </si>
  <si>
    <t>33061701701</t>
  </si>
  <si>
    <t>Color Changing gloves</t>
  </si>
  <si>
    <t>SS</t>
  </si>
  <si>
    <t>GHS EDATHANUR</t>
  </si>
  <si>
    <t>Ghs-Edathanur - Edathanur Tiruvannamalai (Tamil Nadu)</t>
  </si>
  <si>
    <t>GHS-EDATHANUR was established in 1996 and it is managed by the Department of Education. It is located in Rural area. It is located in THANDRAMPET block of TIRUVANNAMALAI district of Tamil Nadu. The school consists of Grades from 6 to 10.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</si>
  <si>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SIM200458</t>
  </si>
  <si>
    <t>09452208423</t>
  </si>
  <si>
    <t>Sky clean Post:
capturing carbon from
the air</t>
  </si>
  <si>
    <t>kvoldcanttclas
s11</t>
  </si>
  <si>
    <t>KENDRIYA VIDYALAYA
OLD CANTT</t>
  </si>
  <si>
    <t>Kendriya Vidyalaya Old Cantt | Prayagraj, Government Of Uttar Pradesh | India</t>
  </si>
  <si>
    <t>Geographically, Prayagraj is located at 25.45°N 81.84°E in the southern part of the Uttar Pradesh. To its south and southeast is the Bagelkhand region, to its east is middle Ganges valley of North India, or Purvanchal, to its southwest is the Bundelkhand region, to its north and northeast is the Awadh region and to its west along with Kaushambi it forms the part of Doab i.e the Lower Doab region. In the north Pratapgarh, in the south Rewa (M.P.), in the east Sant Ravi Das Nagar and in the west Kaushambhi districts are located. The total geographical area of the district is 5482 Sq. Km. The district is divided into 8 Tehsils, 20 development Blocks and 2802 populated Villages.</t>
  </si>
  <si>
    <t>SIM222556</t>
  </si>
  <si>
    <t>09561500507</t>
  </si>
  <si>
    <t>IoT based smart wheel
chair</t>
  </si>
  <si>
    <t>Fighters</t>
  </si>
  <si>
    <t>HIRALAL RAMNIWAS
INTER COLLEGE
KHALILAB</t>
  </si>
  <si>
    <t>Sant Kabir Nagar</t>
  </si>
  <si>
    <t>HIRALAL RAM NIWAS INTERMEDIATE COLLEGE - Ward No.6 Kld. District Sant Kabir Nagar (Uttar Pradesh)</t>
  </si>
  <si>
    <t>SIM191552</t>
  </si>
  <si>
    <t>19113602304</t>
  </si>
  <si>
    <t>5 in women safety
device</t>
  </si>
  <si>
    <t>THE
BRAINSTORM
BRIGADE</t>
  </si>
  <si>
    <t>PM SHRI KV NO 1
ISHAPORE</t>
  </si>
  <si>
    <t>Kendriya Vidyalaya – No. 1 Ishapore, like other Kendriya Vidyalayas is run by the Kendriya Vidyalaya Sanghathan, an autonomous body formed by the ministry of Human Resource Development, Govt. of India , New Delhi. It was established in the year 1971. It is a Senior Secondary School with class XII as the senior most class has sections – A, B, C. the vidyalaya runs under Defence Sector in the District – 24 paraganas (North) in West Bengal. The vidyalaya provides all sorts of opportunity to the learners for their all round and harmonious development.,</t>
  </si>
  <si>
    <t>SIM228889</t>
  </si>
  <si>
    <t>28142495473</t>
  </si>
  <si>
    <t>Voice controlled wheel
chair</t>
  </si>
  <si>
    <t>Akhil team</t>
  </si>
  <si>
    <t>MAHATMAGANDHI
MUNICIPALCORPORAT
ION HIGHSCHOOL
GANDHINAGAR</t>
  </si>
  <si>
    <t>Mahatma Gandhi Mpl High S - Kakinada(M)-2 East Godavari (Andhra Pradesh)</t>
  </si>
  <si>
    <t>MAHATMA GANDHI MPL HIGH S - Kakinada(m)-2 District East Godavari (Andhra Pradesh)</t>
  </si>
  <si>
    <t>SIM190388</t>
  </si>
  <si>
    <t>22100721514</t>
  </si>
  <si>
    <t>Wireless Charging
Station</t>
  </si>
  <si>
    <t>The racer</t>
  </si>
  <si>
    <t>GOVERNMENT
HIGHER SECONDARY
SCHOOL BHILAI</t>
  </si>
  <si>
    <t>GOVT. HIGHER SEC. SCHOOL SECTOR- 6, BHILAI - Sector-6, Bhilai Nagar District Durg (Chhattisgarh)</t>
  </si>
  <si>
    <t>SIM181045</t>
  </si>
  <si>
    <t>02040300807</t>
  </si>
  <si>
    <t>Alertbot X</t>
  </si>
  <si>
    <t>Team 5</t>
  </si>
  <si>
    <t>CAMBRIDGE
INTERNATIONAL
SCHOOL</t>
  </si>
  <si>
    <t>Palampur, Kangra</t>
  </si>
  <si>
    <t>SIM195169</t>
  </si>
  <si>
    <t>Automatic Waste
Segregation System
With Automatic Hand
Sanitizer</t>
  </si>
  <si>
    <t>aphssinnovato
r 1</t>
  </si>
  <si>
    <t>Transfer And Posting Of Teachers Under Online Annual Transfer Drive (Atd) 2024-25 (Poonch)</t>
  </si>
  <si>
    <t>Conduct of International Hindi Olympiad-2023 in the schools of UT of Jammu and Kashmir.</t>
  </si>
  <si>
    <t>SIM04017</t>
  </si>
  <si>
    <t>32020800912</t>
  </si>
  <si>
    <t>Ai-Powered
Emergency Vehicle
Detection System for
Traffic Management</t>
  </si>
  <si>
    <t>SSVP</t>
  </si>
  <si>
    <t>SREE SANKARA
VIDYAPEETAM SR SEC
SCHOOL</t>
  </si>
  <si>
    <t>1994 establishments in Kerala</t>
  </si>
  <si>
    <t>SIM60623</t>
  </si>
  <si>
    <t>32070202706</t>
  </si>
  <si>
    <t>Accident Responds
Boat</t>
  </si>
  <si>
    <t>Team Oggy</t>
  </si>
  <si>
    <t>ST. JOSEPH&amp;#39;S HSS
MELOOR</t>
  </si>
  <si>
    <t>St. Josephs Hs Meloor - Meloor Thrissur (Kerala)</t>
  </si>
  <si>
    <t>ST. JOSEPHS HS MELOOR was established in 1964 and it is managed by the Pvt. Aided. It is located in Rural area. It is located in CHALAKUDY block of THRISSUR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</si>
  <si>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SIM201495</t>
  </si>
  <si>
    <t>32050100202</t>
  </si>
  <si>
    <t>Solar Aqua Cleaner: A
Multi-Functional Boat
for Waste, Micro
Plastic, and Oil
Removal</t>
  </si>
  <si>
    <t>up2</t>
  </si>
  <si>
    <t>GHS VADASSERI</t>
  </si>
  <si>
    <t>SIM119108</t>
  </si>
  <si>
    <t>Effective waste
management system
and pure drinking
water.</t>
  </si>
  <si>
    <t>COSMOS</t>
  </si>
  <si>
    <t>Pondicherry</t>
  </si>
  <si>
    <t>SIM211246</t>
  </si>
  <si>
    <t>08250215702</t>
  </si>
  <si>
    <t>Bio current cleanse</t>
  </si>
  <si>
    <t>BIO CURRENT
CLEANSE</t>
  </si>
  <si>
    <t>PM SHRI KENDRIYA
VIDYALAYA DEOGARH</t>
  </si>
  <si>
    <t>Rajsamand, Sh61, Devgarh, Rajsamand Road, Lasani, Deogarh-Rajasthan - 313331 (Deogarh)</t>
  </si>
  <si>
    <t>SIM05363</t>
  </si>
  <si>
    <t>08060600122</t>
  </si>
  <si>
    <t>Motionmate</t>
  </si>
  <si>
    <t>UCSKMian</t>
  </si>
  <si>
    <t>UCSKM PUBLIC
SCHOOL</t>
  </si>
  <si>
    <t>UCSKM Public School SCH-1, Phase-3, Ind. Area, Near Sadar Police Station, Adjacent- Capital Mall, Bhiwadi, Alwar, Rajasthan 301019</t>
  </si>
  <si>
    <t>SIM128646</t>
  </si>
  <si>
    <t>Clay cooler</t>
  </si>
  <si>
    <t>Vikram
sarabhai</t>
  </si>
  <si>
    <t>SIM65435</t>
  </si>
  <si>
    <t>33101202302</t>
  </si>
  <si>
    <t>Gadget to ensure safe
travel of Women at
night</t>
  </si>
  <si>
    <t>BOHR</t>
  </si>
  <si>
    <t>GHSS,LAKKAPURAM</t>
  </si>
  <si>
    <t>Government Higher Secondary School, Lakkapuram - Lakkapuram Erode (Tamil Nadu)</t>
  </si>
  <si>
    <t>GOVERNMENT HIGHER SECONDARY SCHOOL, LAKKAPURAM was established in 1944 and it is managed by the Department of Education. It is located in Rural area. It is located in MODAKURICHI block of ERODE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</si>
  <si>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SIM189338</t>
  </si>
  <si>
    <t>36252502103</t>
  </si>
  <si>
    <t>Light dependent
resistor controlled
lights</t>
  </si>
  <si>
    <t>Shining Stars</t>
  </si>
  <si>
    <t>SHLOKA SCHOOL
MAHABUBNAGAR</t>
  </si>
  <si>
    <t>Hs Slokha School, Bureddipally, Jadcherla | Mahabubnagar ,Telangana | India</t>
  </si>
  <si>
    <t>H.No.2-60, Taluka Club Road, Village: Bureddypally, Mdl:Jadcherla, Dist:Mahabubnagar, Telangana - 509301. | Received EduHonours –Hyderabad RECOGNIZING EDUCATIONAL LEADERS From TIME 2 GROW MEDIA IN ASSOCIATION WITH GOVT. OF TELANGANA AND N.S.D.C.</t>
  </si>
  <si>
    <t>SIM183276</t>
  </si>
  <si>
    <t>28203191535</t>
  </si>
  <si>
    <t>Veinshield</t>
  </si>
  <si>
    <t>NMSEklakshya</t>
  </si>
  <si>
    <t>NAGARJUNA MODEL
SCHOOL</t>
  </si>
  <si>
    <t>Door No-1/435-6, Maruthi Nagar, Maruti Nagar, Kadapa - 516001 (Near Besid Lane Of Court)</t>
  </si>
  <si>
    <t>1/435-6, Maruthi Nagar, Kadapa, Andhra Pradesh. - 516001</t>
  </si>
  <si>
    <t>SIM02508</t>
  </si>
  <si>
    <t>28132800617</t>
  </si>
  <si>
    <t>Chargepark24</t>
  </si>
  <si>
    <t>Invensee24</t>
  </si>
  <si>
    <t>GREENDALE SCHOOL</t>
  </si>
  <si>
    <t>Located in a sprawling 15-acre campus in Andhra Pradesh, Greendale School offers state-of-the-art infrastructure in a pollution-free, green environment. The school’s intake is limited to 30 students per class, ensuring personalized attention and enabling teachers to focus on each child's unique learning needs.</t>
  </si>
  <si>
    <t>SIM124714</t>
  </si>
  <si>
    <t>28111902905</t>
  </si>
  <si>
    <t>Our school electricity
bill is nill with my
device</t>
  </si>
  <si>
    <t>Hasini team</t>
  </si>
  <si>
    <t>ZPHS IPPILI</t>
  </si>
  <si>
    <t>Zphs Ippili - Ippili Srikakulam (Andhra Pradesh)</t>
  </si>
  <si>
    <t>ZPHS IPPILI was established in 1964 and it is managed by the Local body. It is located in Rural area. It is located in SRIKAKULAM block of SRIKAKULAM district of ANDHRA PRADESH.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</si>
  <si>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SIM38031</t>
  </si>
  <si>
    <t>28193800107</t>
  </si>
  <si>
    <t>Iot based smart
attendance system
using rfid and google
sheet</t>
  </si>
  <si>
    <t>Challenger
Mighty</t>
  </si>
  <si>
    <t>LITTLE ANGELS
ENGLISH MEDIUM
HIGH SCHOOL
CHILLAKUR</t>
  </si>
  <si>
    <t>Inter-School Little Angels Cup – Open Table Tennis Tournament-2019</t>
  </si>
  <si>
    <t>SIM214784</t>
  </si>
  <si>
    <t>22133013118</t>
  </si>
  <si>
    <t>Touchless temple bell</t>
  </si>
  <si>
    <t>Rose</t>
  </si>
  <si>
    <t>SHIV SINGH VERMA
ADARSH GOVT H S
SCHOOL DHAMTARI
CG</t>
  </si>
  <si>
    <t>GOVERNMENT SHIV SINGH VERMA GIRLS HIGHER SECONDARY SCHOOL DHAMTARI was established in 1963 and it is managed by the Department of Education. It is located in Urban area. It is located in DHAMTARI block of DHAMTARI district of Chhattisgarh. The school consists of Grades from 9 to 12. The school is Girls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</si>
  <si>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SIM171550</t>
  </si>
  <si>
    <t>07080913602</t>
  </si>
  <si>
    <t>Converting Carbon
Dioxide into ink</t>
  </si>
  <si>
    <t>VLR technical</t>
  </si>
  <si>
    <t>KENDRIYA VIDYALAYA
SECTOR FIVE DWARKA</t>
  </si>
  <si>
    <t>PM SHRI KENDRIYA VIDYALAYA SECTOR 5 DWARKA FIRST SHIFT , NEW DELHI</t>
  </si>
  <si>
    <t>SIM08535</t>
  </si>
  <si>
    <t>11307090040</t>
  </si>
  <si>
    <t>Talking ATM</t>
  </si>
  <si>
    <t>Dripcat</t>
  </si>
  <si>
    <t>PM SHRI KENDRIYA
VIDYALAYA
SUNJUWAN</t>
  </si>
  <si>
    <t>SIM152531</t>
  </si>
  <si>
    <t>29010306003</t>
  </si>
  <si>
    <t>Ecosort: Smart
Conveyor-Based Waste
Segregation System
Powered by Arduino</t>
  </si>
  <si>
    <t>Mystical
Wanderers</t>
  </si>
  <si>
    <t>L M M BHARATESH
ENGLISH MEDIUM
SCHOOL BELAGAVI</t>
  </si>
  <si>
    <t>LMM BHARATESH ENGLISH MEDIUM HIGH SCHOOL FORT BELGAUM was established in 1988 and it is managed by the Pvt. Unaided. It is located in Urban area. It is located in BELGAUM CITY block of BELAGAVI district of Karnataka. The school consists of Grades from 8 to 10. The school is Co-educational and it have an attached pre-primary section. The school is N/A in nature and is not using school building as a shift-school. English is the medium of instructions in this school. This school is approachable by all weather road. In this school academic session starts in April.</t>
  </si>
  <si>
    <t>SIM206076</t>
  </si>
  <si>
    <t>29240603102</t>
  </si>
  <si>
    <t>Water Recycling</t>
  </si>
  <si>
    <t>HAREKALA
HAJABBA 2</t>
  </si>
  <si>
    <t>DKZP HPS NEWPADPU</t>
  </si>
  <si>
    <t>Dkzp Govt. Higher Primary School Newpadpu - Harekala Dakshina Kannada (Karnataka)</t>
  </si>
  <si>
    <t>DKZP GOVT. HIGHER PRIMARY SCHOOL NEWPADPU was established in 1999 and it is managed by the Department of Education. It is located in Rural area. It is located in MANGALURU SOUTH block of DAKSHINA KANNADA district of Karnataka. The school consists of Grades from 1 to 7.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</si>
  <si>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SIM226449</t>
  </si>
  <si>
    <t>32080104308</t>
  </si>
  <si>
    <t>Starch to Save: The
Rise of New Bioplastic</t>
  </si>
  <si>
    <t>JOSEPHITES</t>
  </si>
  <si>
    <t>ST JOSEPHS EMHSS
THRIKKAKA</t>
  </si>
  <si>
    <t>St. Joseph'S Emhss Thrikkakkara - Thrikkakara North Ernakulam (Kerala)</t>
  </si>
  <si>
    <t>1963 establishments in Kerala</t>
  </si>
  <si>
    <t>SIM219953</t>
  </si>
  <si>
    <t>32051000117</t>
  </si>
  <si>
    <t>Easy Ration</t>
  </si>
  <si>
    <t>THINK TANK</t>
  </si>
  <si>
    <t>KHMHSS ALATHIYUR</t>
  </si>
  <si>
    <t>Khmhss Alathiyur - Triprangode Malappuram (Kerala)</t>
  </si>
  <si>
    <t>KHMHSS ALATHIYUR was established in 1976 and it is managed by the Pvt. Aided. It is located in Rural area. It is located in TIRUR block of MALAPPURAM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</si>
  <si>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SIM194698</t>
  </si>
  <si>
    <t>03090506382</t>
  </si>
  <si>
    <t>Team name - circuit
creators project - anti-
sleep glasses</t>
  </si>
  <si>
    <t>Circuit
Creators</t>
  </si>
  <si>
    <t>DCM PRESIDENCY
SCHOOL</t>
  </si>
  <si>
    <t>SIM173421</t>
  </si>
  <si>
    <t>33020501903</t>
  </si>
  <si>
    <t>Automatic plant
watering system with
soil moisture sensors</t>
  </si>
  <si>
    <t>CREATIVE
COLLECTIVE</t>
  </si>
  <si>
    <t>MAHARISHI VIDYA
MANDIR SSS CHETPET</t>
  </si>
  <si>
    <t>Maharishi</t>
  </si>
  <si>
    <t>Since, the Silver Jubilee Year 2007-2008, hardly a year passes without enlarging the scope of professional excellence. The Group of Institutions established in and across the State of Tamil Nadu are under the ambit of Maharishi Vidya, Chetpet, Chennai. The Management is sparing no effort in realizing this vision, as the emphasis is laid in developing the capacity of innovations for intellectual growth.</t>
  </si>
  <si>
    <t>SIM151485</t>
  </si>
  <si>
    <t>05050419406</t>
  </si>
  <si>
    <t>360-degree air-
providing standing fan</t>
  </si>
  <si>
    <t>IMA9D team 2</t>
  </si>
  <si>
    <t>PM SHRI KENDRIYA
VIDYALAYA IMA
DEHRADUN</t>
  </si>
  <si>
    <t>VVM State Winner and Top 1% meritorious student in NSEJS examination in Uttarakhand state .</t>
  </si>
  <si>
    <t>SIM172099</t>
  </si>
  <si>
    <t>10280106918</t>
  </si>
  <si>
    <t>Sugar level indicator
paper strip</t>
  </si>
  <si>
    <t>Team ADTUSE</t>
  </si>
  <si>
    <t>HONEY DEW POINT
SCHOOL</t>
  </si>
  <si>
    <t>Honey Dew Point School - Wardno.38 Patna (Bihar)</t>
  </si>
  <si>
    <t>HONEY DEW POINT SCHOOL - Wardno.38 District Patna (Bihar)</t>
  </si>
  <si>
    <t>SIM70589</t>
  </si>
  <si>
    <t>070809DC401</t>
  </si>
  <si>
    <t>New gen attendance
system</t>
  </si>
  <si>
    <t>THE
INNOVATOR 4</t>
  </si>
  <si>
    <t>KENDRIYA VIDYALAYA
NO TWO DELHI CANTT</t>
  </si>
  <si>
    <t>204. KENDRIYA VIDYALAYA CANTT NO.I DELHI</t>
  </si>
  <si>
    <t>SIM02797</t>
  </si>
  <si>
    <t>06180101926</t>
  </si>
  <si>
    <t>Goldies By Grannies</t>
  </si>
  <si>
    <t>InnovationHu
b</t>
  </si>
  <si>
    <t>THE HERITAGE
SCHOOL</t>
  </si>
  <si>
    <t>Sector 62, Gurugram, Haryana 122011</t>
  </si>
  <si>
    <t>SIM195847</t>
  </si>
  <si>
    <t>Smart Agriculture</t>
  </si>
  <si>
    <t>AYUSHIROSH
NI</t>
  </si>
  <si>
    <t>"KENDRIYA VIDYALAYA, HINOO PO- DORANDA, NEAR AG MORE, RANCHI - 834002 (JHARKHAND)"</t>
  </si>
  <si>
    <t>SIM209864</t>
  </si>
  <si>
    <t>29180924203</t>
  </si>
  <si>
    <t>Universal Remote</t>
  </si>
  <si>
    <t>cursed code
wizard</t>
  </si>
  <si>
    <t>TVS ACADEMY
TUMKUR</t>
  </si>
  <si>
    <t>Tumkur - 572 104, Karnataka, India.</t>
  </si>
  <si>
    <t>SIM138738</t>
  </si>
  <si>
    <t>Mythic Movers</t>
  </si>
  <si>
    <t>Story Hands</t>
  </si>
  <si>
    <t>SIM193284</t>
  </si>
  <si>
    <t>Flames Shield</t>
  </si>
  <si>
    <t>Flames shield</t>
  </si>
  <si>
    <t>SIM142454</t>
  </si>
  <si>
    <t>32010500410</t>
  </si>
  <si>
    <t>Automatic Speed
Control System In
Road Transportation</t>
  </si>
  <si>
    <t>KINETICS</t>
  </si>
  <si>
    <t>DR AMBEDKAR GHSS
KODOTH</t>
  </si>
  <si>
    <t>Dr A.G.Ghss Kodoth - Kodom-Belur Kasaragod (Kerala)</t>
  </si>
  <si>
    <t>Dr A.G.GHSS KODOTH was established in 1954 and it is managed by the Department of Education. It is located in Rural area. It is located in HOSDURG block of KASARAGOD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</si>
  <si>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SIM196982</t>
  </si>
  <si>
    <t>32120400511</t>
  </si>
  <si>
    <t>Electric Vehicle
Wireless Charging
Station</t>
  </si>
  <si>
    <t>TeamX</t>
  </si>
  <si>
    <t>PMSHRI KENDRIYA
VIDYALAYA
CHENNEERKARA</t>
  </si>
  <si>
    <t>SIM14778</t>
  </si>
  <si>
    <t>32120900519</t>
  </si>
  <si>
    <t>Smart Toilet</t>
  </si>
  <si>
    <t>INNOVATORS
A</t>
  </si>
  <si>
    <t>MGM HSS
THIRUVALLA</t>
  </si>
  <si>
    <t>Pathanamthitta , Kerala State</t>
  </si>
  <si>
    <t>Corporate Office : Flat No.B1, First Floor, SRK Cyber Heights, Near MGM Central Public School, Trivandrum, Kerala 6955011</t>
  </si>
  <si>
    <t>SIM167761</t>
  </si>
  <si>
    <t>32110400909</t>
  </si>
  <si>
    <t>Temperature Sensor -
Fan Regulator</t>
  </si>
  <si>
    <t>Innovators of
Holy Family</t>
  </si>
  <si>
    <t>HOLY FAMILY HSS
MUTTOM CHERTHALA</t>
  </si>
  <si>
    <t>Holy Family Hss Cherthala - Cherthala North Alappuzha (Kerala)</t>
  </si>
  <si>
    <t>HOLY FAMILY HSS CHERTHALA was established in 1864 and it is managed by the Pvt. Aided. It is located in Urban area. It is located in CHERTHALA block of ALAPPUZHA district of Kerala. The school consists of Grades from 1 to 12. The school is Boys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</si>
  <si>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SIM194329</t>
  </si>
  <si>
    <t>27211006607</t>
  </si>
  <si>
    <t>Automatic Fire
Extinguisher</t>
  </si>
  <si>
    <t>science ATl
team 5</t>
  </si>
  <si>
    <t>ANJUMAN I ISLAMS
MUSTAFA FAKIH
URDU HIGH SCHOOL
AND JUNIOR COLLEGE
THANE</t>
  </si>
  <si>
    <t>Mustafa Fakih Urdu High School &amp; Jr. College, Turbhe - Ward No66 Thane (Maharashtra)</t>
  </si>
  <si>
    <t>Dr. Abdullah Shaikh, an eminent educationist, businessman and social activist is committed to social cause and education for more than 4 decades. He is currently the Vice President of Anjuman-I-Islam, the country’s largest minority educational and social institution, engaged in shaping educational landscape of Mumbai for over a century with more than 100 Institutes and over one lakh students. He has been Executive Chairman and member of various boards of Anjuman. He is the President of Maharashtra Urdu High School, Kurla, Halavpool Muslim Welfare Association, Kurla and Qaisarul Jafri Foundation, Mumbai. He is the Chairman of Majrooh Academy, Mumbai and Station Road Masjid Trust, Kurla. He is Vice President of Ideal Education Movement, Mumbai and Tanzeem-e-Walidein, Mumbai. His social engagement includes being a Special Executive Magistrate, a member of the police Mohalla Committee, a director of Lions Club and a General Secretary of Kurla Talimi Sabha of Anjuman Tabligul Islam School, Kurla. | Anjuman-I-Islam (the Company) which was originally incorporated on 20th November, 1946 under Section 26 of the Indian Companies Act, VII of 1913 (corresponding to Section 8 of the new Companies Act, 2013) - Not for Profit (A Company limited by Guarantee and not having Share Capital). It is also registered under The Maharashtra Public Trusts Act, 1950. The Company is</t>
  </si>
  <si>
    <t>SIM190878</t>
  </si>
  <si>
    <t>08121209302</t>
  </si>
  <si>
    <t>Navigo: intelligent
edge detection and
obstacle avoidance</t>
  </si>
  <si>
    <t>Tech Tiatans</t>
  </si>
  <si>
    <t>SAND DUNES
ACADEMY</t>
  </si>
  <si>
    <t>In The Phalodi Of Rajasthan, India, Is A Wonderfully Stunning Setting.</t>
  </si>
  <si>
    <t>SIM34344</t>
  </si>
  <si>
    <t>33150100402</t>
  </si>
  <si>
    <t>Cow dung pots</t>
  </si>
  <si>
    <t>Edison</t>
  </si>
  <si>
    <t>GHSS,
THIRUVALARSOLAI</t>
  </si>
  <si>
    <t>Ghss, Thiruvalarsolai - Thiruvalarsolai Tiruchirappalli (Tamil Nadu)</t>
  </si>
  <si>
    <t>GHSS, THIRUVALARSOLAI was established in 2011 and it is managed by the Department of Education. It is located in Urban area. It is located in ANDHANALLUR block of TIRUCHIRAPPALLI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</si>
  <si>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SIM26293</t>
  </si>
  <si>
    <t>33050500902</t>
  </si>
  <si>
    <t>E-road ( electric road)</t>
  </si>
  <si>
    <t>APJ KALAM</t>
  </si>
  <si>
    <t>GHSS BEGARAHALLI</t>
  </si>
  <si>
    <t>Ghss Begarahalli - Begarahalli Dharmapuri (Tamil Nadu)</t>
  </si>
  <si>
    <t>GHSS BEGARAHALLI was established in 1988 and it is managed by the Department of Education. It is located in Rural area. It is located in KARIMANGALAM block of DHARMAPURI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</si>
  <si>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SIM17656</t>
  </si>
  <si>
    <t>33281105603</t>
  </si>
  <si>
    <t>Step Lock System in
bus</t>
  </si>
  <si>
    <t>Apple</t>
  </si>
  <si>
    <t>GHSS
SIVAGNANAPURAM</t>
  </si>
  <si>
    <t>Govt.Hss, Sivagnanapuram - Sivagnanapuram Thoothukkudi (Tamil Nadu)</t>
  </si>
  <si>
    <t>GOVT.HSS, SIVAGNANAPURAM was established in 1966 and it is managed by the Department of Education. It is located in Rural area. It is located in VILATHIKULAM block of THOOTHUKKUDI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</si>
  <si>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SIM27362</t>
  </si>
  <si>
    <t>36301000912</t>
  </si>
  <si>
    <t>Railway safety system</t>
  </si>
  <si>
    <t>TEAM 6</t>
  </si>
  <si>
    <t>MSR CENTRAL
SCHOOL</t>
  </si>
  <si>
    <t>MSR Central School is a co-educational day school affiliated to Central Board of Secondary Education (CBSE) for Middle Class Syllabus with the Affiliation Number : 3630263 established in 2016 under the aegis of Sri Venkateshwara Education Society in Suryapet, district, Telangana state on the NH 65.</t>
  </si>
  <si>
    <t>SIM162018</t>
  </si>
  <si>
    <t>Step wise</t>
  </si>
  <si>
    <t>Technova</t>
  </si>
  <si>
    <t>SIM140209</t>
  </si>
  <si>
    <t>28132991180</t>
  </si>
  <si>
    <t>Anti sleep alarm for
drivers</t>
  </si>
  <si>
    <t>The Inventors</t>
  </si>
  <si>
    <t>PM SHRI KENDRIYA
VIDYALAYA NO 2 SVN</t>
  </si>
  <si>
    <t>Kendriya Vidyalaya Gooty, Near Market Yard, Gooty-515401, Ananthapuramu , A.P.</t>
  </si>
  <si>
    <t>Srivijayanagar, 104 Area, Industrial Estate, Opposite Mahavir Skoda Car Showroom, Marripalem Road, Visakhapatnam, Andhra Pradesh-530007</t>
  </si>
  <si>
    <t>SIM122778</t>
  </si>
  <si>
    <t>28193101209</t>
  </si>
  <si>
    <t>Natural mosquito
repellent</t>
  </si>
  <si>
    <t>9A girls</t>
  </si>
  <si>
    <t>ZPHS MANUBOLU</t>
  </si>
  <si>
    <t>Sri Potti Sriramulu Nellore</t>
  </si>
  <si>
    <t>28193101209-ZPHS MANUBOLU-MANUBOLU MANDAL, Sri Potti Sriramulu Nellore District, Government of Andhra Pradesh, India | Nellore district formed part of the composite Madras State till 1st October, 1953. On 1st November 1956 when the states were reorganized on a linguistic basis, this district came under the Andhra Pradesh State.</t>
  </si>
  <si>
    <t>SIM07970</t>
  </si>
  <si>
    <t>28145700415</t>
  </si>
  <si>
    <t>Biodegradability</t>
  </si>
  <si>
    <t>Y vidhya
bhanu</t>
  </si>
  <si>
    <t>DR B R AMBEDKAR
GURUKULAM</t>
  </si>
  <si>
    <t>Dr. B. R. Ambedkar Konaseema | India</t>
  </si>
  <si>
    <t>In exercise of the powers conferred by sub-section (1) of Section 3, sub section (2) of Section 3 of the Andhra Pradesh Districts (Formation) Act, 1974 (Act No. 7 of 1974) read with sub-section (6) of the said section, the Governor of Andhra Pradesh, in the interests of better administration and development of the area concerned, after having published proposals in that regard as required under sub-section (5) of Section 3 of the Andhra Pradesh Districts (formation) Act, 1974 (Act No. 7 of 1974), and having taken into consideration the objections and suggestions received thereon all persons in the areas concerned and likely to be affected thereby, do hereby notify that, with effect on and from | Director Of Factories, D-No:16-72/1, 3rd Floor, Andhra Hospital Extension Building , Opp Z.P.High School, Gollapudi, Vijayawada, NTR District, Andhra Pradesh</t>
  </si>
  <si>
    <t>SIM10316</t>
  </si>
  <si>
    <t>07040921901</t>
  </si>
  <si>
    <t>Scoutbot</t>
  </si>
  <si>
    <t>Nexus</t>
  </si>
  <si>
    <t>KENDRIYA VIDYALAYA
KHICHRIPUR EAST
DELHI</t>
  </si>
  <si>
    <t>Block No-6 Delhi-110091</t>
  </si>
  <si>
    <t>SIM167819</t>
  </si>
  <si>
    <t>32030100604</t>
  </si>
  <si>
    <t>Recycling of Raw Straw</t>
  </si>
  <si>
    <t>SIM 2 MTDM</t>
  </si>
  <si>
    <t>MTD MHS
THONDERNAD</t>
  </si>
  <si>
    <t>SIM118969</t>
  </si>
  <si>
    <t>32071500708</t>
  </si>
  <si>
    <t>Modified Water Filter</t>
  </si>
  <si>
    <t>Dream
Builders</t>
  </si>
  <si>
    <t>SNVUPS THALIKULAM</t>
  </si>
  <si>
    <t>Snvups Thalikulam - Thalikulam Thrissur (Kerala)</t>
  </si>
  <si>
    <t>SNVUPS THALIKULAM was established in 1927 and it is managed by the Pvt. Aided. It is located in Rural area. It is located in THALIKULAM block of THRISSUR district of Kerala. The school consists of Grades from 1 to 8.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</si>
  <si>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SIM216326</t>
  </si>
  <si>
    <t>32080300715</t>
  </si>
  <si>
    <t>Rain Shield</t>
  </si>
  <si>
    <t>Rainshield
Tech</t>
  </si>
  <si>
    <t>SARASWATHI
VIDYANIKETHAN
PUBLIC SCHOOL</t>
  </si>
  <si>
    <t>Science Fair</t>
  </si>
  <si>
    <t>Established in 1996, Saraswathy Vidyanikethan Chengamanad stands as a beacon of educational excellence in the heart of Chengamanad, Kerala.</t>
  </si>
  <si>
    <t>SIM02902</t>
  </si>
  <si>
    <t>Smart Water
Conservation System</t>
  </si>
  <si>
    <t>Agnipankh</t>
  </si>
  <si>
    <t>SIM194829</t>
  </si>
  <si>
    <t>27091511805</t>
  </si>
  <si>
    <t>Saline Weight Sensor</t>
  </si>
  <si>
    <t>salineweightse
nsor</t>
  </si>
  <si>
    <t>SOMALWAR HIGH
SCHOOL AND JUNIOR
COLLEGE NIKALAS
BRANCH</t>
  </si>
  <si>
    <t>Somlawar Academy was established in 1911 by late G. K. Alias Annasaheb Somalwar. He was a born teacher. His methods of teaching were observed by the then British education officers who described him as an “Experimentator” in imparting education. Gradually his mission was joined by his four sons late L. G. Somalwar, late P. G. Somalwar, late V. G. Somalwar and late M. G. Somalwar. Due to their tireless efforts the institution grew up and earned name in entire state of Maharashtra. The students produced by the institution are holding high profile position in the country as well as abroad.</t>
  </si>
  <si>
    <t>SIM163935</t>
  </si>
  <si>
    <t>33300201603</t>
  </si>
  <si>
    <t>Electric transform alert
system</t>
  </si>
  <si>
    <t>snm9</t>
  </si>
  <si>
    <t>S N M HINDU
VIDYALAYA M H S S</t>
  </si>
  <si>
    <t>Kanyakumari</t>
  </si>
  <si>
    <t>SIM125721</t>
  </si>
  <si>
    <t>36170501402</t>
  </si>
  <si>
    <t>Temperature
adjustable automatic
water heater.</t>
  </si>
  <si>
    <t>JJ Thomson</t>
  </si>
  <si>
    <t>ZPHS NAGSANPALLY</t>
  </si>
  <si>
    <t>Zphs Nagsanpally | Medak, Government Of Telangana | India</t>
  </si>
  <si>
    <t>ZPHS NAGSANPALLY was established in 2000 and it is managed by the Local body. It is located in Rural area. It is located in PAPANNAPET block of MEDAK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</si>
  <si>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SIM00825</t>
  </si>
  <si>
    <t>31010100107</t>
  </si>
  <si>
    <t>SBOPC (Smart Buoy
For Ocean Plastic
Collection)</t>
  </si>
  <si>
    <t>Lak
Innovators</t>
  </si>
  <si>
    <t>PM SHRI KENDRIYA
VIDYALAYA
KAVARATTI</t>
  </si>
  <si>
    <t>Lakshadweep</t>
  </si>
  <si>
    <t>KENDRIYA VIDYALAYA KAVARATTI, Lakshadweep came into existence in 1st April 2003. U.T of Lakshadweep Administration is the sponsoring agency and the Collector Cum Development Commissioner of U.T. of Lakshadweep is the Chairman of the Vidyalaya Management Committee. | KENDRIYA VIDYALAYA KAVARATTI, Lakshadweep came into existence in 1st April 2003. U.T of Lakshadweep Administration is the sponsoring agency and the Collector Cum Development Commissioner of U.T. of Lakshadweep is the Chairman of the Vidyalaya Management Committee. The institution has been growing from strength to strength over the years and promoting sound education.</t>
  </si>
  <si>
    <t>SIM178938</t>
  </si>
  <si>
    <t>Sanitation Project</t>
  </si>
  <si>
    <t>Robot Players</t>
  </si>
  <si>
    <t>The monthly fee is Rs. 3,732 for Class 1 which is Rs. 110 less than the average of the city schools. Whereas Delhi's average fees for Class 1 is Rs. 3,842. Check</t>
  </si>
  <si>
    <t>SIM182303</t>
  </si>
  <si>
    <t>02050602003</t>
  </si>
  <si>
    <t>Title:- Solar Food
Warmer</t>
  </si>
  <si>
    <t>Marie curie
team</t>
  </si>
  <si>
    <t>PM SHRI GMSS
BHANGROTU</t>
  </si>
  <si>
    <t>Gsss Bhangrotu - Bhangrotu Mandi (Himachal Pradesh)</t>
  </si>
  <si>
    <t>GSSS BHANGROTU was established in 1914 and it is managed by the Department of Education. It is located in Rural area. It is located in BALH block of MANDI district of Himachal Pradesh. The school consists of Grades from 6 to 12. The school is Co-educational and it doesn't have an attached pre-primary section. The school is Not Applicable in nature and is not using school building as a shift-school. Hindi is the medium of instructions in this school. This school is approachable by all weather road. In this school academic session starts in April.</t>
  </si>
  <si>
    <t>SIM39083</t>
  </si>
  <si>
    <t>20180316510</t>
  </si>
  <si>
    <t>Beam Regulation
Automated Vehicle
Enhancement (Brave)
System</t>
  </si>
  <si>
    <t>RAKSHAK</t>
  </si>
  <si>
    <t>PM SHRI KENDRIYA
VIDYALAYA
TATANAGAR</t>
  </si>
  <si>
    <t>SIM101452</t>
  </si>
  <si>
    <t>Neural Nexus</t>
  </si>
  <si>
    <t>SIM210485</t>
  </si>
  <si>
    <t>21061700701</t>
  </si>
  <si>
    <t>Automatic protection
of clothes from rain</t>
  </si>
  <si>
    <t>Dncreater</t>
  </si>
  <si>
    <t>D.N. HIGH SCHOOL</t>
  </si>
  <si>
    <t>D.N. High School - Ward No.7 Keonjhar (Orissa)</t>
  </si>
  <si>
    <t>Plot #740/1271 &amp; 740/1363, Sundarpur, Khandagiri-Chandaka Road, Bhubaneswar 754005, Odisha, India.</t>
  </si>
  <si>
    <t>SIM88084</t>
  </si>
  <si>
    <t>33130803307</t>
  </si>
  <si>
    <t>Garbage collection
device</t>
  </si>
  <si>
    <t>7th ghs pmk</t>
  </si>
  <si>
    <t>GHS,
PULIYAMARATHUKOT
TAI</t>
  </si>
  <si>
    <t>SIM140901</t>
  </si>
  <si>
    <t>Smart bore-well</t>
  </si>
  <si>
    <t>smartteam</t>
  </si>
  <si>
    <t>SIM69482</t>
  </si>
  <si>
    <t>33120301310</t>
  </si>
  <si>
    <t>Zenith</t>
  </si>
  <si>
    <t>zenith</t>
  </si>
  <si>
    <t>YUVABHARATHI
PUBLIC SCHOOL</t>
  </si>
  <si>
    <t>Imagine Tomorrow: Level Design Workshop</t>
  </si>
  <si>
    <t>Pragathi E won double gold at the 18th Tamil Nadu State Archery Championships 2025.</t>
  </si>
  <si>
    <t>SIM192496</t>
  </si>
  <si>
    <t>36070300703</t>
  </si>
  <si>
    <t>Advanced helmet</t>
  </si>
  <si>
    <t>Vivekananda</t>
  </si>
  <si>
    <t>ZPHS ANTHERGOAN</t>
  </si>
  <si>
    <t>Zphs Anthergoam - Anthergoam Karimnagar (Telangana)</t>
  </si>
  <si>
    <t>ZPHS ANTHERGOAM was established in 1980 and it is managed by the Local body. It is located in Rural area. It is located in RAMAGUNDAM block of KARIMNAGAR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</si>
  <si>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SIM45337</t>
  </si>
  <si>
    <t>28120502805</t>
  </si>
  <si>
    <t>Floral colors</t>
  </si>
  <si>
    <t>sunitha
williams</t>
  </si>
  <si>
    <t>APSWR SCHOOL
JUNIOR COLLEGE
GIRLS GARUGUBILLI
VIZIANAGARAM</t>
  </si>
  <si>
    <t>Apswr Junior College (Girls) Garugubilli | Vizianagaram | India</t>
  </si>
  <si>
    <t>Vizianagaram (Telugu: విజయనగరo; ) is the main city of the Vizianagaram District of North Eastern Andhra Pradesh in Southern India. Vizianagaram district was formed on 1 June 1979, with some parts carved from the neighbouring districts of Srikakulam and Visakhapatnam. It is, at present, the largest municipality of Andhra Pradesh in terms of population. It is located about 18 km inland from the Bay of Bengal, and 52 km northeast of Visakhapatnam.</t>
  </si>
  <si>
    <t>SIM67218</t>
  </si>
  <si>
    <t>Catch the heat -save
the environment</t>
  </si>
  <si>
    <t>RAMAN
RIFFILS</t>
  </si>
  <si>
    <t>SIM63476</t>
  </si>
  <si>
    <t>01040900504</t>
  </si>
  <si>
    <t>Plasto-Textile Brick</t>
  </si>
  <si>
    <t>GMS Ichikkoot
A team</t>
  </si>
  <si>
    <t>GOVT GIRLS MIDDLE
SCHOOL ICHIKOOT</t>
  </si>
  <si>
    <t>Education | Pulwama , Government Of Jammu And Kashmir | India</t>
  </si>
  <si>
    <t>SIM164587</t>
  </si>
  <si>
    <t>29120703303</t>
  </si>
  <si>
    <t>Multi-Layer Smart
Filter For Vehicular
and Industrial
Emissions</t>
  </si>
  <si>
    <t>Green Energy</t>
  </si>
  <si>
    <t>KENDRIYA VIDYALAYA
DONIMALAI</t>
  </si>
  <si>
    <t>PRINCIPAL, KENDRIYA VIDYALAYA, BANDIHATTI ROAD, COWL BAZAR, BALLARI-583102 (KARNATAKA)</t>
  </si>
  <si>
    <t>SIM157123</t>
  </si>
  <si>
    <t>29250300509</t>
  </si>
  <si>
    <t>Smartquake: Real-
Time Earthquake
Detection and Early
Warning System</t>
  </si>
  <si>
    <t>Vikram
Sarabhai</t>
  </si>
  <si>
    <t>EKALAVYA MODEL
RESIDENTIAL SCHOOL</t>
  </si>
  <si>
    <t>Debar  From The Tender Processes Of Hassan For A Period Of One Year.</t>
  </si>
  <si>
    <t>SIM224281</t>
  </si>
  <si>
    <t>29300502724</t>
  </si>
  <si>
    <t>Ecospark</t>
  </si>
  <si>
    <t>EcoSpark</t>
  </si>
  <si>
    <t>MORARJI DESAI
RESIDENTIAL SCHOOL
EXAMBA</t>
  </si>
  <si>
    <t>Murarji Desai Resi School Examba  - Examba Belagavi Chikkodi (Karnataka)</t>
  </si>
  <si>
    <t>MURARJI DESAI RESI SCHOOL EXAMBA was established in 2005 and it is managed by the Tribal/Social Welfare Department. It is located in Rural area. It is located in CHIKODI block of BELAGAVI CHIKKODI district of Karnataka. The school consists of Grades from 6 to 10. The school is Co-educational and it doesn't have an attached pre-primary section. The school is Ashram (Govt.) in nature and is not using school building as a shift-school. Kannada is the medium of instructions in this school. This school is approachable by all weather road. In this school academic session starts in April.</t>
  </si>
  <si>
    <t>SIM03489</t>
  </si>
  <si>
    <t>29260909503</t>
  </si>
  <si>
    <t>LPG (Liquified
Petroleum Gas) Gas
Detector.</t>
  </si>
  <si>
    <t>BHIMA
WARRIORS</t>
  </si>
  <si>
    <t>MORARJI DESAI
MODEL RESIDENTIAL
SCHOOL AND PU
SCIENCE COLLEGE</t>
  </si>
  <si>
    <t>Morarji Desai Residential Schools And Colleges | Haveri , | India</t>
  </si>
  <si>
    <t>Before Independence, Koppal was under the Nizam of Hyderabad. India got Independence on 15th August 1947, since Koppal was part of Hyderabad region, the people of the region had to struggle further to attain Independence from the clutches of Hyderabad Nizam. On 18th September, 1948, the Hyderabad-Karnataka got independence from Nizam. Since then until 01-04-1998, Koppal District was in Raichur District of Gulbarga Revenue Division.</t>
  </si>
  <si>
    <t>SIM101473</t>
  </si>
  <si>
    <t>Buttbuddy</t>
  </si>
  <si>
    <t>FreshAir
Innovators</t>
  </si>
  <si>
    <t>SIM129170</t>
  </si>
  <si>
    <t>32140900402</t>
  </si>
  <si>
    <t>Ai Waste Collecting
Robot</t>
  </si>
  <si>
    <t>Science
Stormz</t>
  </si>
  <si>
    <t>ST THOMAS HSS
AMBOORI</t>
  </si>
  <si>
    <t>St. Thomas Hss Amboor - Amboori Thiruvananthapuram (Kerala)</t>
  </si>
  <si>
    <t>ST. THOMAS HSS AMBOOR was established in 1957 and it is managed by the Pvt. Aided. It is located in Rural area. It is located in PARASSALA block of THIRUVANANTHAPURAM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</si>
  <si>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SIM224618</t>
  </si>
  <si>
    <t>27361116013</t>
  </si>
  <si>
    <t>Cleanup Connect</t>
  </si>
  <si>
    <t>Brainers</t>
  </si>
  <si>
    <t>RAHUL
INTERNATIONAL
SCHOOL BOISAR</t>
  </si>
  <si>
    <t>Thane, Palghar, Pune, And Chandauli S</t>
  </si>
  <si>
    <t>Palghar – 401501. Maharashtra.</t>
  </si>
  <si>
    <t>SIM01850</t>
  </si>
  <si>
    <t>Smart farming
assistant</t>
  </si>
  <si>
    <t>Marvel
creators</t>
  </si>
  <si>
    <t>SIM85041</t>
  </si>
  <si>
    <t>33200103704</t>
  </si>
  <si>
    <t>Dust Free Blackboard
Duster</t>
  </si>
  <si>
    <t>Darwin</t>
  </si>
  <si>
    <t>GHS
THENKUVALAVELI</t>
  </si>
  <si>
    <t>In</t>
  </si>
  <si>
    <t>SIM154449</t>
  </si>
  <si>
    <t>36080101912</t>
  </si>
  <si>
    <t>Automatic gas leakage
detector</t>
  </si>
  <si>
    <t>Albert Einstein</t>
  </si>
  <si>
    <t>ZPHS MAHADEVPUR
BOYS</t>
  </si>
  <si>
    <t>Zphs Mahadevpur Boys | Jayashankar Bhupalpally | India</t>
  </si>
  <si>
    <t>The Collectorate is divided into 8 sections as per the administrative reforms taken up by the Government of Telangana. An alphabet letter is given to each section for easy reference.</t>
  </si>
  <si>
    <t>SIM02207</t>
  </si>
  <si>
    <t>28160190223</t>
  </si>
  <si>
    <t>Swiftserve: the future
of automated service
solutions</t>
  </si>
  <si>
    <t>APSWRS
Creators</t>
  </si>
  <si>
    <t>AP BALAYOGI
GURUKULAM
JAGGAIAHPET</t>
  </si>
  <si>
    <t>PLOT No: 94, SUMITHRA TOWERS, THATI THOPU, TIRUPATI(R), CHITTOOR(D), ANDHRA PRADESH (S)</t>
  </si>
  <si>
    <t>SIM177706</t>
  </si>
  <si>
    <t>Therapeutic Monitor</t>
  </si>
  <si>
    <t>Therapeutic
Monitor</t>
  </si>
  <si>
    <t>SIM185020</t>
  </si>
  <si>
    <t>07070305812</t>
  </si>
  <si>
    <t>Geocooler: green
cooling revolution</t>
  </si>
  <si>
    <t>SUSHRUTA</t>
  </si>
  <si>
    <t>INDRAPRASTHA
WORLD SCHOOL</t>
  </si>
  <si>
    <t>SIM151219</t>
  </si>
  <si>
    <t>33120700802</t>
  </si>
  <si>
    <t>Smart school bag</t>
  </si>
  <si>
    <t>KIRUBA TEAM</t>
  </si>
  <si>
    <t>GHS
RAMANAMUDHALIPU
DUR</t>
  </si>
  <si>
    <t>SIM118204</t>
  </si>
  <si>
    <t>Tea cups plate with
sugar cane waste</t>
  </si>
  <si>
    <t>curie</t>
  </si>
  <si>
    <t>SIM212946</t>
  </si>
  <si>
    <t>Auto speed limiter for
highways</t>
  </si>
  <si>
    <t>Ditans</t>
  </si>
  <si>
    <t>SIM225484</t>
  </si>
  <si>
    <t>28132890943</t>
  </si>
  <si>
    <t>Intelligence challan
system for on road
signal violation</t>
  </si>
  <si>
    <t>SMART
LEARNERS</t>
  </si>
  <si>
    <t>MAHATMA JYOTHIBA
PHULE ANDHRA
PRADESH BACKWARD
CLASSES WELFARE
RESIDENTIAL SCHOOL</t>
  </si>
  <si>
    <t>SIM202390</t>
  </si>
  <si>
    <t>Crash guard</t>
  </si>
  <si>
    <t>Speed Strikers</t>
  </si>
  <si>
    <t>Top 5 CBSE School, Best Academic School Raipur Chhattisgarh | School Managing Committee - Top 10 CBSE School Raipur Chhattisgarh | Chairman's Message - Top 10 CBSE School Raipur Chhattisgarh</t>
  </si>
  <si>
    <t>SIM227653</t>
  </si>
  <si>
    <t>Humadix</t>
  </si>
  <si>
    <t>HUMADIX</t>
  </si>
  <si>
    <t>SIM175014</t>
  </si>
  <si>
    <t>06040311124</t>
  </si>
  <si>
    <t>Inkmaker</t>
  </si>
  <si>
    <t>CATALYST
CREW</t>
  </si>
  <si>
    <t>GITA NIKETAN
AWASIYA VIDYALYA</t>
  </si>
  <si>
    <t>E. Board Members And Admins Of Board Of Trustees, Its State Units And Units</t>
  </si>
  <si>
    <t>1973 establishments in Haryana</t>
  </si>
  <si>
    <t>SIM175917</t>
  </si>
  <si>
    <t>20140120009</t>
  </si>
  <si>
    <t>Monkeypox Detection</t>
  </si>
  <si>
    <t>Zila Royals</t>
  </si>
  <si>
    <t>ASTVS DISTRICT CM
SCHOOL OF
EXCELLENCE R</t>
  </si>
  <si>
    <t>Astvs Cm School Of Excellence, Ranchi</t>
  </si>
  <si>
    <t>Welcome to ASTVS District CM School of Excellence, Ranchi, a prestigious educational institution with a long-standing heritage that dates back to 1839. Situated in the heart of Ranchi City, the capital of Jharkhand, our school has been a shining light of knowledge and learning for generations. Previously known as Ranchi Zila School, it was renamed in 2003 as Amar Shahid Thakur Vishwanath Shahdev Zila Vidyalaya, Ranchi, in honor of the revered freedom fighter, Shahid Thakur Vishwanath Shahdev.</t>
  </si>
  <si>
    <t>SIM227348</t>
  </si>
  <si>
    <t>29280602026</t>
  </si>
  <si>
    <t>Portable Dehydrating
Chamber for Biowaste</t>
  </si>
  <si>
    <t>PSBE</t>
  </si>
  <si>
    <t>PRESIDENCY SCHOOL
KASTURINAGAR</t>
  </si>
  <si>
    <t>CA Site 7P1A 2nd A Main, 3rd A Cross Rd, East of NGEF Layout, Kasturi Nagar, Bengaluru, Karnataka 560043</t>
  </si>
  <si>
    <t>SIM183692</t>
  </si>
  <si>
    <t>29200300612</t>
  </si>
  <si>
    <t>Early Land Slide
Prediction System</t>
  </si>
  <si>
    <t>INNOVATION
HUBKRP</t>
  </si>
  <si>
    <t>KENDRIYA VIDYALAYA
KRISHNARAJAPURAM</t>
  </si>
  <si>
    <t>SIM228776</t>
  </si>
  <si>
    <t>29260804801</t>
  </si>
  <si>
    <t>Swachatha Mithra</t>
  </si>
  <si>
    <t>SwachataMitra</t>
  </si>
  <si>
    <t>GHPS BELAVADI</t>
  </si>
  <si>
    <t>Ghps Belavadi - Belavadi Mandya (Karnataka)</t>
  </si>
  <si>
    <t>GHPS BELAVADI was established in 1957 and it is managed by the Department of Education. It is located in Rural area. It is located in SRIRANGAPATNA block of MANDYA district of Karnataka. The school consists of Grades from 1 to 7.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</si>
  <si>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SIM39379</t>
  </si>
  <si>
    <t>32130100513</t>
  </si>
  <si>
    <t>Effective Waste
Management
Strategies for a
Sustainable Tomorrow</t>
  </si>
  <si>
    <t>BMG HS
Kulathupuzha</t>
  </si>
  <si>
    <t>BMGHS
KULATHUPUZHA</t>
  </si>
  <si>
    <t>-    Distribution Of Lunch In Hospitals For One Year</t>
  </si>
  <si>
    <t>Pattom P.O., Trivandrum-695004 Kerala, India | As part of the evangelising ministry of the southern regions of Thiru-Kochi (including parts now bordering Tamil Nadu), Archbishop Mar Ivanios initiated evangelisation ministry at Marthandam, Tamil Nadu. Later, with the permission and blessings of Archbishop Mar Ivanios, Rt. Rev. Msgr. Joseph Kuzhinjalil founded the missionary Congregation of the Daughters of Mary in 1938 at Marthandam in Kanyakumari District. Through the great zeal of these missionaries, the mission work of the Syro-Malankara Catholic Church spread to the southern regions of Kerala and Tamil Nadu.</t>
  </si>
  <si>
    <t>SIM10360</t>
  </si>
  <si>
    <t>27251903020</t>
  </si>
  <si>
    <t>Defence Group</t>
  </si>
  <si>
    <t>Avinya sena</t>
  </si>
  <si>
    <t>AKSHARA
INTERNATIONAL
SCHOOL PUNE</t>
  </si>
  <si>
    <t>SIM228583</t>
  </si>
  <si>
    <t>Sweeper Calling
Buzzer: A Smarter Way
To Clean</t>
  </si>
  <si>
    <t>VehsDynamo</t>
  </si>
  <si>
    <t>SIM142256</t>
  </si>
  <si>
    <t>33010306503</t>
  </si>
  <si>
    <t>Upcycling fabric scraps
into eco-friendly
products</t>
  </si>
  <si>
    <t>Brainy Bunch</t>
  </si>
  <si>
    <t>GHSS VIDAIYUR</t>
  </si>
  <si>
    <t>Govt. High Sec School, Vidaiyur - Vidaiyur Thiruvallur (Tamil Nadu)</t>
  </si>
  <si>
    <t>GOVT. HIGH SEC SCHOOL, VIDAIYUR was established in 1979 and it is managed by the Department of Education. It is located in Rural area. It is located in KADAMBATHUR block of THIRUVALLUR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</si>
  <si>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SIM80901</t>
  </si>
  <si>
    <t>33200801102</t>
  </si>
  <si>
    <t>Dry, Wet And Metal
Waste Segregator</t>
  </si>
  <si>
    <t>CV RAMAN</t>
  </si>
  <si>
    <t>GGHSS,KOTTUR</t>
  </si>
  <si>
    <t>Gghss, Kottur - Kottur Thiruvarur (Tamil Nadu)</t>
  </si>
  <si>
    <t>GGHSS, KOTTUR was established in 1983 and it is managed by the Department of Education. It is located in Rural area. It is located in KOTTUR block of THIRUVARUR district of Tamil Nadu. The school consists of Grades from 6 to 12. The school is Girls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</si>
  <si>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SIM11833</t>
  </si>
  <si>
    <t>33030102602</t>
  </si>
  <si>
    <t>Prevent Road
Accidents</t>
  </si>
  <si>
    <t>AGKLM 7</t>
  </si>
  <si>
    <t>GHSS
AYYANGARKULAM</t>
  </si>
  <si>
    <t>Ghss Ayyangarkulam - Ayyangarkulam Kancheepuram (Tamil Nadu)</t>
  </si>
  <si>
    <t>GHSS Ayyangarkulam was established in 1927 and it is managed by the Department of Education. It is located in Rural area. It is located in Kanchipuram block of KANCHEEPURAM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</si>
  <si>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SIM207447</t>
  </si>
  <si>
    <t>36230202321</t>
  </si>
  <si>
    <t>aqua-sheld</t>
  </si>
  <si>
    <t>Sky Gliders</t>
  </si>
  <si>
    <t>TGSWRS GOWLIDODDI</t>
  </si>
  <si>
    <t>Srikakulam, Vizianagaram, Visakhapatnam S.</t>
  </si>
  <si>
    <t>The Telangana Social Welfare Residential Educational Institutions Society (TGSWREIS) under the patronage of the Ministry of Welfare has been passionately and impeccably rendey its services for the past 35 years to improve the standards of life of the Scheduled Caste students providing them quality and sustainable education in English medium upto graduation. The Society with 268 institutions is sheltering around 150000 students. Telangana Government strongly believes that education is the strongest weapon with which the lives of the marginalized children can be transformed into social and economic spheres thereby cultivating a new generation of the Telangana state which can lead the country in the 21st century.</t>
  </si>
  <si>
    <t>SIM170951</t>
  </si>
  <si>
    <t>09452209812</t>
  </si>
  <si>
    <t>Carbo Saver</t>
  </si>
  <si>
    <t>INVENTIX</t>
  </si>
  <si>
    <t>PM SHRI KV NEW
CANTT PRAYAGRAJ</t>
  </si>
  <si>
    <t>SIM157612</t>
  </si>
  <si>
    <t>05050412001</t>
  </si>
  <si>
    <t>Color-changing
indicator system</t>
  </si>
  <si>
    <t>Dream
Designers</t>
  </si>
  <si>
    <t>KENDRIYA VIDYALAYA
BIRPUR DEHRADUN</t>
  </si>
  <si>
    <t>SIM119588</t>
  </si>
  <si>
    <t>28175701405</t>
  </si>
  <si>
    <t>Safe electric poles</t>
  </si>
  <si>
    <t>Abdhulkalam</t>
  </si>
  <si>
    <t>DR B R AMBEDKAR
GURUKULAM
NARASAYAPALEM</t>
  </si>
  <si>
    <t>SIM201017</t>
  </si>
  <si>
    <t>10280805805</t>
  </si>
  <si>
    <t>Harvesting energy</t>
  </si>
  <si>
    <t>HARVESTING
ENERGY</t>
  </si>
  <si>
    <t>Sports</t>
  </si>
  <si>
    <t>Aligned with the National Education Policy (NEP) 2020 principles, DPS Gaya places equal emphasis on academics and co-curricular activities. Regular features such as the Robotics, AI, and International and National Olympiads enrich students' academic prowess and foster a spirit of competition and innovation. Our school is a beacon of inclusive learning, catering to the needs of passionately driven, curious, and self-sufficient students. Delhi Public School Gaya proudly holds affiliation with the Central Board of Secondary Education (CBSE), offering a nationalistic curriculum within an environment that prioritises excellence in all aspects of school life. With expansive open spaces conducive to learning and growth, we nurture our students' innate cognitive and thinking skills, ensuring their holistic development. These distinctive features solidify our position as the foremost educational institution in Gaya, Bihar.</t>
  </si>
  <si>
    <t>SIM169965</t>
  </si>
  <si>
    <t>Leak lock</t>
  </si>
  <si>
    <t>Leaklock</t>
  </si>
  <si>
    <t>SIM02884</t>
  </si>
  <si>
    <t>Smart Health
monitoring kit</t>
  </si>
  <si>
    <t>Binary Bots</t>
  </si>
  <si>
    <t>SIM172218</t>
  </si>
  <si>
    <t>24071201726</t>
  </si>
  <si>
    <t>Tyre tube to trend :
making tyre tube purse
and bags</t>
  </si>
  <si>
    <t>Gargi</t>
  </si>
  <si>
    <t>PM SHRI K V NO 1
SHAHIBAUG
AHMEDABAD</t>
  </si>
  <si>
    <t>– Jamnagar, Gujarat, Pin : – 360520</t>
  </si>
  <si>
    <t>INAUGURATION OF 2-DAYS KVS REGIONAL LEVEL RASHTRIYA EKTA PARV (EBSB &amp; KALA UTSAV) 2025-26 , AHMEDABAD REGION (PAIRED STATE GUJARAT- CHHATTISGARH)</t>
  </si>
  <si>
    <t>SIM194255</t>
  </si>
  <si>
    <t>20140122205</t>
  </si>
  <si>
    <t>Coastal Defence</t>
  </si>
  <si>
    <t>RITU RAJ B</t>
  </si>
  <si>
    <t>PM SHRI KENDRIYA
VIDYALAYA HINOO</t>
  </si>
  <si>
    <t>Content Owned by PM SHRI Kendriya Vidyalaya Hinoo 1st Shift Ranchi, Jharkhand</t>
  </si>
  <si>
    <t>SIM10655</t>
  </si>
  <si>
    <t>29200141906</t>
  </si>
  <si>
    <t>Talking Tojo</t>
  </si>
  <si>
    <t>Story Bot</t>
  </si>
  <si>
    <t>THE OXFORD SENIOR
SECONDARY SCHOOL</t>
  </si>
  <si>
    <t>C.A. Site No. 40, 1st Phase, J.P. Nagar, Bangalore - 560 078, KARNATAKA, INDIA</t>
  </si>
  <si>
    <t>SIM144647</t>
  </si>
  <si>
    <t>29280703404</t>
  </si>
  <si>
    <t>Misty Magic-Misting
Systems To Reduce
Urban Heat Island
Effect and Dust
Pollution</t>
  </si>
  <si>
    <t>Binary Brains</t>
  </si>
  <si>
    <t>Survey No 35/1A, Sathnur Village, Jala Hobli, Bagalur Post, Bengaluru, Karnataka 562149</t>
  </si>
  <si>
    <t>SIM121037</t>
  </si>
  <si>
    <t>Anti-Nail Shoes</t>
  </si>
  <si>
    <t>mega tech</t>
  </si>
  <si>
    <t>SIM168664</t>
  </si>
  <si>
    <t>32081301104</t>
  </si>
  <si>
    <t>Smart Waste Sorting
System</t>
  </si>
  <si>
    <t>Team B</t>
  </si>
  <si>
    <t>GHSS
MULANTHURUTHY</t>
  </si>
  <si>
    <t>Ghss Mulanthuruthy | Ernakulam Website | India</t>
  </si>
  <si>
    <t>GHSS MULANTHURUTHY was established in 1886 and it is managed by the Department of Education. It is located in Rural area. It is located in TRIPPUNITHURA block of ERNAKULAM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</si>
  <si>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SIM160203</t>
  </si>
  <si>
    <t>32061300311</t>
  </si>
  <si>
    <t>Mental Health</t>
  </si>
  <si>
    <t>TMRS GP1</t>
  </si>
  <si>
    <t>GMRS FOR GIRLS
THRITHALA</t>
  </si>
  <si>
    <t>Gmrs Thrithala - Kappur Palakkad (Kerala)</t>
  </si>
  <si>
    <t>GMRS THRITHALA was established in 1998 and it is managed by the Tribal/Social Welfare Department. It is located in Rural area. It is located in THRITHALA block of PALAKKAD district of Kerala. The school consists of Grades from 5 to 12. The school is Girls and it doesn't have an attached pre-primary section. The school is Ashram (Govt.) in nature and is not using school building as a shift-school. Malayalam is the medium of instructions in this school. This school is approachable by all weather road. In this school academic session starts in April.</t>
  </si>
  <si>
    <t>SIM03550</t>
  </si>
  <si>
    <t>23460810904</t>
  </si>
  <si>
    <t>Smartshield: Iot-
Driven Disaster
Detection and
Response System</t>
  </si>
  <si>
    <t>ART OF
CREATIVITY</t>
  </si>
  <si>
    <t>KENDRIYA VIDYALAYA
MUNGAOLI</t>
  </si>
  <si>
    <t>SIM216695</t>
  </si>
  <si>
    <t>21060709203</t>
  </si>
  <si>
    <t>Rural disasters swim
aid</t>
  </si>
  <si>
    <t>HAWKING</t>
  </si>
  <si>
    <t>OAV SUNDARAPAL
HATADIHI</t>
  </si>
  <si>
    <t>Visit To Adarsha Vidyalaya Of Ganjam By Adviser And Spd</t>
  </si>
  <si>
    <t>N1/9, Near Doordarshan Kendra, Po - Sainik School Nayapalli Bhubaneswar, Odisha-751005</t>
  </si>
  <si>
    <t>SIM127416</t>
  </si>
  <si>
    <t>33211400508</t>
  </si>
  <si>
    <t>Orange peal chalk
piece</t>
  </si>
  <si>
    <t>Tiger</t>
  </si>
  <si>
    <t>GHS- KONTRAIKADU</t>
  </si>
  <si>
    <t>Ghs - Kondraikkadu - Kalagam Thanjavur (Tamil Nadu)</t>
  </si>
  <si>
    <t>GHS - KONDRAIKKADU was established in 1958 and it is managed by the Department of Education. It is located in Rural area. It is located in PERAVURANI block of THANJAVUR district of Tamil Nadu. The school consists of Grades from 6 to 10.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</si>
  <si>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SIM101836</t>
  </si>
  <si>
    <t>36100701608</t>
  </si>
  <si>
    <t>Backwardness in
education due to lack
of awareness</t>
  </si>
  <si>
    <t>ZPHS
MADHAVAPURAM</t>
  </si>
  <si>
    <t>Zphs Mahadevpuram | Khammam | India</t>
  </si>
  <si>
    <t>General Election to the Legislative Assembly 2018 Telangana Candidates Election Expenditure</t>
  </si>
  <si>
    <t>SIM165659</t>
  </si>
  <si>
    <t>22220500111</t>
  </si>
  <si>
    <t>Blazeguard barn (save
cattle from fire)</t>
  </si>
  <si>
    <t>SAGES DL 3</t>
  </si>
  <si>
    <t>PM shri Swami
Aatmanand English
Government School of
Excellence, Daundi
Lohara</t>
  </si>
  <si>
    <t>---Select</t>
  </si>
  <si>
    <t>As of November 2022, there are 279 Swami Atmanand schools in Chhattisgarh.</t>
  </si>
  <si>
    <t>SIM24753</t>
  </si>
  <si>
    <t>29280503905</t>
  </si>
  <si>
    <t>Aqua Sun</t>
  </si>
  <si>
    <t>Quantum
Breakers</t>
  </si>
  <si>
    <t>PM SHRI KENDRIYA
VIDYALAYA
MALLESWARAM</t>
  </si>
  <si>
    <t>PRINCIPAL, KENDRIYA VIDYALAYA NO.1 AFS SAMBRA - BELAGAVI, DISTRICT: BELAGAVI, PIN:591124, KARNATAKA.</t>
  </si>
  <si>
    <t>SIM226851</t>
  </si>
  <si>
    <t>32130800504</t>
  </si>
  <si>
    <t>Budget4u</t>
  </si>
  <si>
    <t>DVNSSHSS
POOVATTOOR</t>
  </si>
  <si>
    <t>DEVI VILASAM NAIR SERVICE SOCIETY HIGHER SECONDARY SCHOOL POOVATTOOR was established in 1949 and it is managed by the Pvt. Aided. It is located in Rural area. It is located in KULAKKADA block of KOLLAM district of Kerala. The school consists of Grades from 5 to 12. The school is Co-educational and it doesn't have an attached pre-primary section. The school is others in nature and is not using school building as a shift-school. Malayalam is the medium of instructions in this school. This school is approachable by all weather road. In this school academic session starts in April.</t>
  </si>
  <si>
    <t>SIM51851</t>
  </si>
  <si>
    <t>08220308122</t>
  </si>
  <si>
    <t>Edge security system
of railway platform</t>
  </si>
  <si>
    <t>Spectrum</t>
  </si>
  <si>
    <t>SWAMI VIVEKANAND
GOVT MODEL
SCHOOOL NEWAI</t>
  </si>
  <si>
    <t>Govt. Swami Vivekanand Model Sch. Dhani Jugalpura - Jugalpura Tonk (Rajasthan)</t>
  </si>
  <si>
    <t>March 30th marks a special day in the history of Rajasthan, as it was on this day in 1949 that the state of Rajasthan was formed.</t>
  </si>
  <si>
    <t>SIM94448</t>
  </si>
  <si>
    <t>33270310204</t>
  </si>
  <si>
    <t>Overload detector in
share autos</t>
  </si>
  <si>
    <t>SOURASHTRA HIGHER
SECONDARY SCHOOL,
PARAMAKUDI</t>
  </si>
  <si>
    <t>Sourashtra Nur&amp;Ps, Pmk - Ward-12 Ramanathapuram (Tamil Nadu)</t>
  </si>
  <si>
    <t>SOURASHTRA NUR&amp;PS, PMK - Ward-12 District Ramanathapuram (Tamil Nadu)</t>
  </si>
  <si>
    <t>SIM75667</t>
  </si>
  <si>
    <t>33151004409</t>
  </si>
  <si>
    <t>Iot based smart bed
monitoring system</t>
  </si>
  <si>
    <t>12G1</t>
  </si>
  <si>
    <t>CAMPION A.I. HR. SEC.
SCHOOL,
CANTONMENT.</t>
  </si>
  <si>
    <t>Institutions By</t>
  </si>
  <si>
    <t>SIM199110</t>
  </si>
  <si>
    <t>33120400447</t>
  </si>
  <si>
    <t>Enhancing road safety
through arduino-based
smart helmet
technology</t>
  </si>
  <si>
    <t>Shahid N team</t>
  </si>
  <si>
    <t>GHS EDAYARPALAYAM</t>
  </si>
  <si>
    <t>Government Higher Secondary School Edayarpalayam - Edayapalayam Coimbatore (Tamil Nadu)</t>
  </si>
  <si>
    <t>GOVERNMENT HIGHER SECONDARY SCHOOL EDAYARPALAYAM was established in 1945 and it is managed by the Department of Education. It is located in Rural area. It is located in SULTANPET block of COIMBATORE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</si>
  <si>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SIM113044</t>
  </si>
  <si>
    <t>28132800334</t>
  </si>
  <si>
    <t>Garbage cleaning
system</t>
  </si>
  <si>
    <t>ALEXANDER</t>
  </si>
  <si>
    <t>APSWR CENTRE OF
EXCELLENCE</t>
  </si>
  <si>
    <t>SIM08958</t>
  </si>
  <si>
    <t>28185500431</t>
  </si>
  <si>
    <t>Plant pots with egg
shells</t>
  </si>
  <si>
    <t>SUN FLOWER</t>
  </si>
  <si>
    <t>AP MODEL SCHOOL</t>
  </si>
  <si>
    <t>, 192 were allotted to Telangana State and 163 Model Schools were allotted to residual Andhra Pradesh. For implementation of the above scheme, Government Sanctioned (7100) newly created posts by Direct Recruitment and (5074) newly created post on outsourcing basis at State, District and School Level.</t>
  </si>
  <si>
    <t>SIM02059</t>
  </si>
  <si>
    <t>01040501808</t>
  </si>
  <si>
    <t>Smart Water
Monitoring and Billing
System.</t>
  </si>
  <si>
    <t>Developers</t>
  </si>
  <si>
    <t>GOVERNMENT
HIGHER SECONDARY
SCHOOL KHANDA
BUDGAM</t>
  </si>
  <si>
    <t>Govt Higher Secondary School Khanda,Budgam | Budgam</t>
  </si>
  <si>
    <t>HSS KHANDA was established in 1950 and it is managed by the Department of Education. It is located in Rural area. It is located in B.K.PORA block of BADGAM district of Jammu and Kashmir. The school consists of Grades from 9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</si>
  <si>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SIM157615</t>
  </si>
  <si>
    <t>20180310804</t>
  </si>
  <si>
    <t>Panacea AI - An AI-
Powered Medical
Assistant</t>
  </si>
  <si>
    <t>PANACEA</t>
  </si>
  <si>
    <t>VIDYA BHARATI
CHINMAYA
VIDYALAYA</t>
  </si>
  <si>
    <t>SIM170840</t>
  </si>
  <si>
    <t>29301406709</t>
  </si>
  <si>
    <t>Hi-Tech Helmet</t>
  </si>
  <si>
    <t>D C PAWATE</t>
  </si>
  <si>
    <t>G N S COMPOSITE PU
COLLEGE YADAWAD</t>
  </si>
  <si>
    <t>Gns Comp P.U. College Yadawad - Yadawad Belagavi Chikkodi (Karnataka)</t>
  </si>
  <si>
    <t>GNS COMP P.U. COLLEGE YADAWAD was established in 1957 and it is managed by the Pvt. Aided. It is located in Rural area. It is located in MUDALGI block of BELAGAVI CHIKKODI district of Karnataka. The school consists of Grades from 8 to 12.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</si>
  <si>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SIM184596</t>
  </si>
  <si>
    <t>32060900205</t>
  </si>
  <si>
    <t>Envision Glasses</t>
  </si>
  <si>
    <t>Ubiquitous</t>
  </si>
  <si>
    <t>JAWAHAR NAVODAYA
VIDYALAYA
PALAKKAD</t>
  </si>
  <si>
    <t>Dr.S.Chitra  Ias , Collector &amp; Chairman Vmc</t>
  </si>
  <si>
    <t>SIM08150</t>
  </si>
  <si>
    <t>23271508204</t>
  </si>
  <si>
    <t>Soluble Plastic</t>
  </si>
  <si>
    <t>Marvelous
Creator</t>
  </si>
  <si>
    <t>KENDRIYA VIDYALAYA
KHARGONE</t>
  </si>
  <si>
    <t>Central School Khargone | Khargone, Government Of Madhya Pradesh | India</t>
  </si>
  <si>
    <t>SIM163822</t>
  </si>
  <si>
    <t>33300600504</t>
  </si>
  <si>
    <t>Smart cleaner pinky</t>
  </si>
  <si>
    <t>Success</t>
  </si>
  <si>
    <t>GOVT. TRIBAL
RESIDENTIAL HSS
PECHIPPARAI</t>
  </si>
  <si>
    <t>Govt.Adi Dra.R Hss-Pechipparai - Thirparappu Kanniyakumari (Tamil Nadu)</t>
  </si>
  <si>
    <t>GOVT.ADI DRA.R HSS-PECHIPPARAI was established in 1958 and it is managed by the Tribal/Social Welfare Department. It is located in Rural area. It is located in THIRUVATTAR block of KANNIYAKUMARI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</si>
  <si>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SIM69098</t>
  </si>
  <si>
    <t>Bus alerting system</t>
  </si>
  <si>
    <t>BusBeep
Brigade</t>
  </si>
  <si>
    <t>SIM211118</t>
  </si>
  <si>
    <t>09660807502</t>
  </si>
  <si>
    <t>IoT based smart pulse
rate mortaring system</t>
  </si>
  <si>
    <t>iotpulse</t>
  </si>
  <si>
    <t>SUNBEAM SCHOOL</t>
  </si>
  <si>
    <t>SIM04026</t>
  </si>
  <si>
    <t>07041221701</t>
  </si>
  <si>
    <t>Detect Pneumonia
using chest x-ray</t>
  </si>
  <si>
    <t>Tech Blaster</t>
  </si>
  <si>
    <t>RSBV WEST VINOD
NAGAR</t>
  </si>
  <si>
    <t>Govt. Sarvodaya Kanya Vidyalaya, West Vinod Nagar, Delhi - 217-vinod Nagar District East Delhi (Delhi)</t>
  </si>
  <si>
    <t>SIM204275</t>
  </si>
  <si>
    <t>07080313617</t>
  </si>
  <si>
    <t>Detrosys</t>
  </si>
  <si>
    <t>Destroyers</t>
  </si>
  <si>
    <t>VENKATESHWAR
INTERNATIONAL
SCHOOL</t>
  </si>
  <si>
    <t>Situated in the heart of Dwarka since 2001, Venkateshwar International School (VIS) has grown into one of the top CBSE schools in Delhi, shaping futures through | Sector 10 Dwarka, New Delhi 110075</t>
  </si>
  <si>
    <t>SIM03992</t>
  </si>
  <si>
    <t>Speed Controller</t>
  </si>
  <si>
    <t>smartworkers</t>
  </si>
  <si>
    <t>SIM04028</t>
  </si>
  <si>
    <t>Automatic Crop and
Rain Water Saving
System</t>
  </si>
  <si>
    <t>Cyber Storm</t>
  </si>
  <si>
    <t>SIM35798</t>
  </si>
  <si>
    <t>32110800203</t>
  </si>
  <si>
    <t>Manure Mixing
Machine</t>
  </si>
  <si>
    <t>GURUDEV</t>
  </si>
  <si>
    <t>SNDP HSS
KUTTAMANGALAM</t>
  </si>
  <si>
    <t>Sndp Hss Kuttamangalam - Kainakary South Alappuzha (Kerala)</t>
  </si>
  <si>
    <t>SNDP HSS KUTTAMANGALAM was established in 1938 and it is managed by the Pvt. Aided. It is located in Rural area. It is located in MONCOMPU block of ALAPPUZHA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</si>
  <si>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SIM35178</t>
  </si>
  <si>
    <t>32110400501</t>
  </si>
  <si>
    <t>Suraksha Strip</t>
  </si>
  <si>
    <t>DVHSS</t>
  </si>
  <si>
    <t>GOVERNMENT D V H S
S CHARAMANGALAM</t>
  </si>
  <si>
    <t>Govt Dvhss Charamangalam - Kanjikkuzhy Alappuzha (Kerala)</t>
  </si>
  <si>
    <t>GOVT DVHSS CHARAMANGALAM was established in 1917 and it is managed by the Department of Education. It is located in Rural area. It is located in CHERTHALA block of ALAPPUZHA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</si>
  <si>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SIM225323</t>
  </si>
  <si>
    <t>32050700115</t>
  </si>
  <si>
    <t>Generating Electricity</t>
  </si>
  <si>
    <t>G H S S Kokkur
team</t>
  </si>
  <si>
    <t>GHSS KOKKUR</t>
  </si>
  <si>
    <t>Ghss Kokkur - Alangode Malappuram (Kerala)</t>
  </si>
  <si>
    <t>GHSS KOKKUR was established in 1969 and it is managed by the Department of Education. It is located in Rural area. It is located in EDAPPAL block of MALAPPURAM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</si>
  <si>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SIM200434</t>
  </si>
  <si>
    <t>03161101802</t>
  </si>
  <si>
    <t>Smart irrigation
system</t>
  </si>
  <si>
    <t>Gyansh Team</t>
  </si>
  <si>
    <t>GYANSH GLOBAL
SCHOOL</t>
  </si>
  <si>
    <t>SIM68714</t>
  </si>
  <si>
    <t>33200504804</t>
  </si>
  <si>
    <t>Smart glass for blind
people</t>
  </si>
  <si>
    <t>Daburneer
Team</t>
  </si>
  <si>
    <t>AHS RC FATHIMA ,
THIRUVARUR</t>
  </si>
  <si>
    <t>Ahs Rc Fathima Thiruvarur - Ward 10 Thiruvarur (Tamil Nadu)</t>
  </si>
  <si>
    <t>AHS RC FATHIMA THIRUVARUR - Ward 10 District Thiruvarur (Tamil Nadu)</t>
  </si>
  <si>
    <t>SIM31833</t>
  </si>
  <si>
    <t>33200503303</t>
  </si>
  <si>
    <t>Solar Cycle</t>
  </si>
  <si>
    <t>GHSS, SURANUR</t>
  </si>
  <si>
    <t>Ghss Suranur - Kuniyur Thiruvarur (Tamil Nadu)</t>
  </si>
  <si>
    <t>GHSS SURANUR was established in 1947 and it is managed by the Department of Education. It is located in Rural area. It is located in TIRUVARUR block of THIRUVARUR district of Tamil Nadu. The school consists of Grades from 6 to 12. The school is Co-educational and it doesn't have an attached pre-primary section. The school is Non-Ashram type (Govt.) in nature and is not using school building as a shift-school. Tamil is the medium of instructions in this school. This school is approachable by all weather road. In this school academic session starts in April.</t>
  </si>
  <si>
    <t>SIM216377</t>
  </si>
  <si>
    <t>09070203005</t>
  </si>
  <si>
    <t>Aquasense ring</t>
  </si>
  <si>
    <t>Thelabsters</t>
  </si>
  <si>
    <t>BRAINZ EDU WORLD</t>
  </si>
  <si>
    <t>Heartiest congratulations to Divyansh Sharma (VIII) for securing 1st position and Vinayak Aggarwal (XI) for securing 3rd position in the Sanskrit Singing Competition organized by Uttar Pradesh Sanskrit Sansthan, Lucknow! 🌟🎤</t>
  </si>
  <si>
    <t>SIM189063</t>
  </si>
  <si>
    <t>05130810705</t>
  </si>
  <si>
    <t>Sustainable water
solutions for all</t>
  </si>
  <si>
    <t>Abdul Kalam</t>
  </si>
  <si>
    <t>PM SHRI KENDRIYA
VIDYALAYA NO1
ROORKEE</t>
  </si>
  <si>
    <t>SIM199009</t>
  </si>
  <si>
    <t>18300803605</t>
  </si>
  <si>
    <t>Smart Digital Id Card</t>
  </si>
  <si>
    <t>C V RAMAN</t>
  </si>
  <si>
    <t>KENDRIYA VIDYALAYA
LUMDING</t>
  </si>
  <si>
    <t>Kendriya Vidyalaya Sangathan, Guwahati Region was established in the year 1973. Over the years, the Region has been expanding with more and more number of Schools and presently the number of Vidyalayas reaching the total of 42 as per the re-organisation of Vidyalayas. KVS Guwahati Region now comprises of 42 Vidyalayas in Assam.</t>
  </si>
  <si>
    <t>SIM183429</t>
  </si>
  <si>
    <t>Automatic/self off
water pump</t>
  </si>
  <si>
    <t>Chhuanthar
Student House</t>
  </si>
  <si>
    <t>SIM20698</t>
  </si>
  <si>
    <t>29200312251</t>
  </si>
  <si>
    <t>Life Band</t>
  </si>
  <si>
    <t>Coffee Fueled
Innovators</t>
  </si>
  <si>
    <t>NATIONAL CENTRE
FOR EXCELLENCE</t>
  </si>
  <si>
    <t>SIM160514</t>
  </si>
  <si>
    <t>32070400501</t>
  </si>
  <si>
    <t>Waste Management of
Surgical Waste</t>
  </si>
  <si>
    <t>CNNGHS ADA</t>
  </si>
  <si>
    <t>CNNGHS CHERPU</t>
  </si>
  <si>
    <t>Cnn Ghs Cherpu - Cherpu Thrissur (Kerala)</t>
  </si>
  <si>
    <t>CNN GHS CHERPU was established in 1916 and it is managed by the Pvt. Aided. It is located in Rural area. It is located in CHERPU block of THRISSUR district of Kerala. The school consists of Grades from 5 to 10. The school is Girls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</si>
  <si>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SIM02080</t>
  </si>
  <si>
    <t>33010903101</t>
  </si>
  <si>
    <t>Aeroplan crashing
prevention system</t>
  </si>
  <si>
    <t>MR NIKOLA</t>
  </si>
  <si>
    <t>PM SHRI KV CRPF
AVADI</t>
  </si>
  <si>
    <t>Website of Kendriya Vidyalaya No 1,AFS,Tambaram,Chennai, Tamil Nadu</t>
  </si>
  <si>
    <t>SIM164901</t>
  </si>
  <si>
    <t>32040100212</t>
  </si>
  <si>
    <t>Nature friendly
hydroelectric project</t>
  </si>
  <si>
    <t>6B</t>
  </si>
  <si>
    <t>GUPS OLLUR</t>
  </si>
  <si>
    <t>Gups Ollur - Ulliyeri Kozhikode (Kerala)</t>
  </si>
  <si>
    <t>GUPS OLLUR was established in 1912 and it is managed by the Department of Education. It is located in Rural area. It is located in BALUSSERY block of KOZHIKODE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</si>
  <si>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SIM144119</t>
  </si>
  <si>
    <t>32061300208</t>
  </si>
  <si>
    <t>Shade Sense</t>
  </si>
  <si>
    <t>PEBO</t>
  </si>
  <si>
    <t>GHSS CHALISSERY HSS</t>
  </si>
  <si>
    <t>Ghss Chalissery - Chalissery Palakkad (Kerala)</t>
  </si>
  <si>
    <t>GHSS CHALISSERY was established in 1957 and it is managed by the Department of Education. It is located in Rural area. It is located in THRITHALA block of PALAKKAD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</si>
  <si>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SIM209399</t>
  </si>
  <si>
    <t>Waste Management
and Making our Soil
Fertile</t>
  </si>
  <si>
    <t>THE LEADERS</t>
  </si>
  <si>
    <t>SIM10900</t>
  </si>
  <si>
    <t>Transforming
agricultural waste into
sustainable packaging
solutions</t>
  </si>
  <si>
    <t>TEAM8A22</t>
  </si>
  <si>
    <t>Established in year 2015, Swami Vivekanand Government Secondary Model School Bakani is located in Rural area of Rajasthan state of India. In Bakani area of Bakani block of Jhalawar district. Area pincode is 326022.</t>
  </si>
  <si>
    <t>SIM21021</t>
  </si>
  <si>
    <t>09090906202</t>
  </si>
  <si>
    <t>Laser based
communication system</t>
  </si>
  <si>
    <t>sdgs1</t>
  </si>
  <si>
    <t>SHAMBHU DAYAL
GLOBAL SCHOOL</t>
  </si>
  <si>
    <t>SIM105540</t>
  </si>
  <si>
    <t>28143400217</t>
  </si>
  <si>
    <t>Create recycled paper
products from news
paper waste.</t>
  </si>
  <si>
    <t>nowton</t>
  </si>
  <si>
    <t>ZPHS OLD TOWN
ANAPARTY</t>
  </si>
  <si>
    <t>SIM222281</t>
  </si>
  <si>
    <t>07010306804</t>
  </si>
  <si>
    <t>Aqua sentinel</t>
  </si>
  <si>
    <t>Aqua Warriors</t>
  </si>
  <si>
    <t>KULACHI HANSRAJ
MODEL SCHOOL</t>
  </si>
  <si>
    <t>SIM217876</t>
  </si>
  <si>
    <t>20040811802</t>
  </si>
  <si>
    <t>Earthquake and Flood
Alert System</t>
  </si>
  <si>
    <t>Nova</t>
  </si>
  <si>
    <t>KENDRIYA VIDYALAYA
HAZARIBAGH</t>
  </si>
  <si>
    <t>SIM96890</t>
  </si>
  <si>
    <t>Hydrodyssey</t>
  </si>
  <si>
    <t>SIM100925</t>
  </si>
  <si>
    <t>Blue-Green Pulse</t>
  </si>
  <si>
    <t>Aquaroots</t>
  </si>
  <si>
    <t>SIM67691</t>
  </si>
  <si>
    <t>32090200314</t>
  </si>
  <si>
    <t>Automatic Duster</t>
  </si>
  <si>
    <t>AMN2024</t>
  </si>
  <si>
    <t>KENDRIYA VIDYALAYA
PAINAVU IDUKKI
(CODE-2150)</t>
  </si>
  <si>
    <t>Kendriya Vidyalaya, Idukki | Idukki, Government Of Kerala | India</t>
  </si>
  <si>
    <t>Idukki is one of the 14 districts of Kerala state, India, created on 26 January 1972. This beautiful High range district of Kerala is geographically known for its Mountainous Hills and Dense Forests. For the people of Kerala, Idukki is always associated with Power Generation. About 66% of the State’s Power needs come from the Hydroelectric Power Projects in Idukki. | adhoc1tdpa[dot]court[at]kerala[dot]gov[dot]in</t>
  </si>
  <si>
    <t>SIM194182</t>
  </si>
  <si>
    <t>Ecovac</t>
  </si>
  <si>
    <t>EcoVac</t>
  </si>
  <si>
    <t>SIM23992</t>
  </si>
  <si>
    <t>32131000905</t>
  </si>
  <si>
    <t>Prakrithi Mitra.</t>
  </si>
  <si>
    <t>CHARMING
GIRLS</t>
  </si>
  <si>
    <t>HIGH SCHOOL FOR
GIRLS PUNALUR
CUDDAPAH</t>
  </si>
  <si>
    <t>SIM210955</t>
  </si>
  <si>
    <t>23120301705</t>
  </si>
  <si>
    <t>Eco-bot: Solar-
Powered Robotic Grass
Cutter and Vacuum
Cleaner With Manure
Conversion</t>
  </si>
  <si>
    <t>Partha team</t>
  </si>
  <si>
    <t>KENDRIYA VIDYALAYA
DAMOH</t>
  </si>
  <si>
    <t>Kendriya Vidyalaya, Damoh | Damoh Government Of Madhya Pradesh | India | India</t>
  </si>
  <si>
    <t>SIM190945</t>
  </si>
  <si>
    <t>23030419807</t>
  </si>
  <si>
    <t>Recycle Plastic to
Fabric</t>
  </si>
  <si>
    <t>Bhind Legends</t>
  </si>
  <si>
    <t>GOVT EXCELLENCE
HSS NO1BHIND</t>
  </si>
  <si>
    <t>Govt. Hss Excelence No.1, Bhind - Nagar Palika Bhind Bhind (Madhya Pradesh)</t>
  </si>
  <si>
    <t>GOVT. HSS EXCELENCE NO.1, BHIND - Nagar Palika Bhind District Bhind (Madhya Pradesh)</t>
  </si>
  <si>
    <t>SIM225425</t>
  </si>
  <si>
    <t>27190200809</t>
  </si>
  <si>
    <t>Automatic Disposable
Garbage Van</t>
  </si>
  <si>
    <t>ECOSYSTEM</t>
  </si>
  <si>
    <t>ANJANA SCHOOL OF
EXCELLENCE</t>
  </si>
  <si>
    <t>Gut Number. 6, Talesaman, Fatiyabad-Asegaon Road, Asegaon, Chhatrapati Sambhaji Nagar, Aurangabad, Maharashtra-431001</t>
  </si>
  <si>
    <t>SIM180310</t>
  </si>
  <si>
    <t>05130103210</t>
  </si>
  <si>
    <t>Pervious concrete</t>
  </si>
  <si>
    <t>GREEN
WARRIORS</t>
  </si>
  <si>
    <t>KV BHELHARIDWAR</t>
  </si>
  <si>
    <t>SECTOR-4 , BHEL - HARDWAR, Hardwar - Uttarakhand, India - 249403,</t>
  </si>
  <si>
    <t>SIM04296</t>
  </si>
  <si>
    <t>Potato Disease
detection using ai</t>
  </si>
  <si>
    <t>Total x
survivor</t>
  </si>
  <si>
    <t>SIM222271</t>
  </si>
  <si>
    <t>Plant guard</t>
  </si>
  <si>
    <t>Eco Warriors</t>
  </si>
  <si>
    <t>SIM01599</t>
  </si>
  <si>
    <t>Avisafe Guardian</t>
  </si>
  <si>
    <t>Impossibility
Busters</t>
  </si>
  <si>
    <t>SIM187402</t>
  </si>
  <si>
    <t>Automatic Barricading
System On Bridges
During Flood</t>
  </si>
  <si>
    <t>ATL Unites</t>
  </si>
  <si>
    <t>SIM134608</t>
  </si>
  <si>
    <t>01150402553</t>
  </si>
  <si>
    <t>Bioluminescent Smart
Bacteria for
Sustainable Lighting
and Air Purification in
Urban Environments</t>
  </si>
  <si>
    <t>HSS KELLER</t>
  </si>
  <si>
    <t>Government Higher Secondary School Keller - Keller Shopian (Jammu And Kashmir)</t>
  </si>
  <si>
    <t>GOVERNMENT HIGHER SECONDARY SCHOOL KELLER was established in 1954 and it is managed by the Department of Education. It is located in Rural area. It is located in KEEGAM block of SHOPIAN district of Jammu and Kashmir. The school consists of Grades from 9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</si>
  <si>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SIM13789</t>
  </si>
  <si>
    <t>29280602426</t>
  </si>
  <si>
    <t>Bluetooth Pill
Dispenser.</t>
  </si>
  <si>
    <t>SMT KAMALA BAI
EDUCATIONAL
INSTITUTION</t>
  </si>
  <si>
    <t>📸 The rally caught the attention of the public and leading media outlets like TV9, Newsfirst, and Vijaya Karnataka.</t>
  </si>
  <si>
    <t>SIM159295</t>
  </si>
  <si>
    <t>32080200101</t>
  </si>
  <si>
    <t>Vertical Farming</t>
  </si>
  <si>
    <t>olapeepees</t>
  </si>
  <si>
    <t>OLPH UPS
EDAKKUNNU</t>
  </si>
  <si>
    <t>Olph Ups Edakkunnu - Karukutty Ernakulam (Kerala)</t>
  </si>
  <si>
    <t>OLPH UPS EDAKKUNNU was established in 1955 and it is managed by the Pvt. Aided. It is located in Rural area. It is located in ANGAMALY block of ERNAKULAM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</si>
  <si>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SIM165743</t>
  </si>
  <si>
    <t>32030200613</t>
  </si>
  <si>
    <t>All In One Putti
Machine</t>
  </si>
  <si>
    <t>POWER
GROUP</t>
  </si>
  <si>
    <t>GHSS KOLERI</t>
  </si>
  <si>
    <t>Ghss Koleri - Poothadi Wayanad (Kerala)</t>
  </si>
  <si>
    <t>GHSS KOLERI was established in 1966 and it is managed by the Department of Education. It is located in Rural area. It is located in SULTHAN BATHERY block of WAYANAD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</si>
  <si>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SIM223060</t>
  </si>
  <si>
    <t>32130900103</t>
  </si>
  <si>
    <t>Light Shields</t>
  </si>
  <si>
    <t>CVKMHSS
TEAM HS</t>
  </si>
  <si>
    <t>C V K M H S S</t>
  </si>
  <si>
    <t>Cvkmhss East Kallada - East Kallada Kollam (Kerala)</t>
  </si>
  <si>
    <t>CVKMHSS EAST KALLADA, established in 1926 and managed by Pvt. Aided, is located in the rural area of the KUNDARA block in the KOLLAM district of Kerala. Serving Grades 5 to 12, the co-educational school provides education in Malayalam with a strong commitment to holistic development.</t>
  </si>
  <si>
    <t>SIM157382</t>
  </si>
  <si>
    <t>Alcohol Detection
System with Engine
Locking Feature</t>
  </si>
  <si>
    <t>SPS Quantam
Match</t>
  </si>
  <si>
    <t>SIM62324</t>
  </si>
  <si>
    <t>33300300709</t>
  </si>
  <si>
    <t>Smart speed breaker</t>
  </si>
  <si>
    <t>VENUS</t>
  </si>
  <si>
    <t>GHSS
MONIKETTIPOTTAL</t>
  </si>
  <si>
    <t>Ghss, Monikettipottal - Mathusoothanapuram Kanniyakumari (Tamil Nadu)</t>
  </si>
  <si>
    <t>GHSS, MONIKETTIPOTTAL was established in 1932 and it is managed by the Department of Education. It is located in Urban area. It is located in RAJAKKAMANGALAM block of KANNIYAKUMARI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</si>
  <si>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SIM192971</t>
  </si>
  <si>
    <t>05100309607</t>
  </si>
  <si>
    <t>Door and window
automatic lock system</t>
  </si>
  <si>
    <t>teamunstoppa
ble</t>
  </si>
  <si>
    <t>LALA CHAMBHARAM
VIVEKANAND VIDYA
MANDIR INTER
COLLEGE TANAKPUR</t>
  </si>
  <si>
    <t>SIM39558</t>
  </si>
  <si>
    <t>22220905114</t>
  </si>
  <si>
    <t>Smart Naka</t>
  </si>
  <si>
    <t>TEAM
VIKRAM</t>
  </si>
  <si>
    <t>GOVT BOYS HIGHER
SECONDARY SCHOOL
GURUR</t>
  </si>
  <si>
    <t>Govt Boys Higher Secondary School Gurur - Gurur Balod (Chhattisgarh)</t>
  </si>
  <si>
    <t>GOVT BOYS HIGHER SECONDARY SCHOOL GURUR was established in 1961 and it is managed by the Department of Education. It is located in Urban area. It is located in GURUR block of BALOD district of Chhattisgarh. The school consists of Grades from 9 to 12. The school is Boys and it doesn't have an attached pre-primary section. The school is Not Applicable in nature and is not using school building as a shift-school. Hindi is the medium of instructions in this school. This school is approachable by all weather road. In this school academic session starts in April.</t>
  </si>
  <si>
    <t>SIM165443</t>
  </si>
  <si>
    <t>22220814403</t>
  </si>
  <si>
    <t>Carbon Purification
System</t>
  </si>
  <si>
    <t>Pascal</t>
  </si>
  <si>
    <t>SAGES MOHANDIPAT</t>
  </si>
  <si>
    <t>GOVT HIGHER SECONDARY SCHOOL SIKOSA was established in 1962 and it is managed by the Department of Education. It is located in Rural area. It is located in GUNDERDEHI block of BALOD district of Chhattisgarh. The school consists of Grades from 9 to 12. The school is Co-educational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</si>
  <si>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SIM01962</t>
  </si>
  <si>
    <t>Hospital ecosystem</t>
  </si>
  <si>
    <t>Three Titans</t>
  </si>
  <si>
    <t>The growth of Vadodara, while being all around, moved on the Western Side (popularly known as Alkapuri area). There were no English Medium Schools in that area. The Trust therefore decided to set up yet another school and opened it for the service of the citizens of Vadodara in the year 1974. Till then the Trust was having only English Medium Schools and was aimed at providing education to the Middle Income Groups. The Trust felt an urgent need to bring about reform in (at that time economically and educationally backward) Danteshwar area. Due to nature of the area, no institution was willing to set up an educational institution in that area. The Trust took the bold step in the year 1996 to put all its resources and efforts of its management team, for setting up yet another school primarily aimed to serve the need of lower income group of that area by starting a Gujarati Medium School. Later on English Medium was also added to this campus, as with the school being set up in that area, the entire demography of that area changed. The Trust is proud to be one of the wheels for bringing about this change. The Trust has not restricted its activity to the students who enroll, but has started a voluntary Sunday School for giving the non-school going children primarily of economically deprived strata an opportunity to take basic education and take them into the fold of formal education and completely fund their education. The Trust is wedded to the concept that no child, who wishes to study, should be deprived merely because of financial constraints.</t>
  </si>
  <si>
    <t>SIM197332</t>
  </si>
  <si>
    <t>20130807906</t>
  </si>
  <si>
    <t>Smart Suicide
Prevention System:
Anti-Suicide Ceiling
Fan.</t>
  </si>
  <si>
    <t>KVBTPS
PROJECT1</t>
  </si>
  <si>
    <t>KENDRIYA VIDYALYA
DVC BOKARO
THERMAL</t>
  </si>
  <si>
    <t>Chief Engineer &amp; Project Head, Dvc, P.O-Bokaro Thermal, Bokaro, Pin- 829107</t>
  </si>
  <si>
    <t>Kendriya Vidyalaya, Bokaro Thermal was established in on 25.08.1986, in Bokaro Thermal, Jharkhand. Covering large area. It has its own pucca grand building having spacious classrooms, big library of good books, well equipped computer labs , a leveled playground surrounded by high... | Kendriya Vidyalaya, Bokaro Thermal was established in on 25.08.1986, in Bokaro Thermal, Jharkhand. Covering large area. It has its own pucca grand building having spacious classrooms, big library of good books, well equipped computer labs , a leveled playground surrounded by high boundary walls from all sides to provide a safe and suitable environment for all round development of child’s personality.</t>
  </si>
  <si>
    <t>SIM153506</t>
  </si>
  <si>
    <t>32080100209</t>
  </si>
  <si>
    <t>Gas Leaking Arrestor</t>
  </si>
  <si>
    <t>RUBY</t>
  </si>
  <si>
    <t>ST GEORGES H S S
PUTHENPALLY</t>
  </si>
  <si>
    <t>St George Hs Puthenpally - Varappuzha Ernakulam (Kerala)</t>
  </si>
  <si>
    <t>ST GEORGE HS PUTHENPALLY was established in 1917 and it is managed by the Pvt. Aided. It is located in Rural area. It is located in ALUVA block of ERNAKULAM district of Kerala. The school consists of Grades from 1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</si>
  <si>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SIM198959</t>
  </si>
  <si>
    <t>32041100228</t>
  </si>
  <si>
    <t>Landslide Alert
System: Safe Path</t>
  </si>
  <si>
    <t>kupssocial</t>
  </si>
  <si>
    <t>KURUNTHODI U P
SCHOOL</t>
  </si>
  <si>
    <t>Kurunthodi Ups - Maniyur Gp Kozhikode (Kerala)</t>
  </si>
  <si>
    <t>KURUNTHODI UPS was established in 1902 and it is managed by the Pvt. Aided. It is located in Rural area. It is located in THODANNUR block of KOZHIKODE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</si>
  <si>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SIM73252</t>
  </si>
  <si>
    <t>33030903223</t>
  </si>
  <si>
    <t>While fire burning
waste it causes heat it
becomes thermal
energy into electricity
with the help of
thermo electric
generator</t>
  </si>
  <si>
    <t>Thana</t>
  </si>
  <si>
    <t>MPL HSS
HASTHINAPURAM</t>
  </si>
  <si>
    <t>Mpl.Hss., Zamin Pallavaram - Pallavaram Kancheepuram (Tamil Nadu)</t>
  </si>
  <si>
    <t>Mpl.HSS., Zamin Pallavaram was established in 1981 and it is managed by the Local body. It is located in Urban area. It is located in St.Thomas Mount (Urban) block of KANCHEEPURAM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</si>
  <si>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SIM156848</t>
  </si>
  <si>
    <t>33040501504</t>
  </si>
  <si>
    <t>Future Support Bus</t>
  </si>
  <si>
    <t>SIR C V
RAMAN</t>
  </si>
  <si>
    <t>SRI RAMAKRISHNA
BHEL HR SEC
SCHOOLR RANI</t>
  </si>
  <si>
    <t>Sri Rk Bhel Aps, Ranipet - Narasingapuram Vellore (Tamil Nadu)</t>
  </si>
  <si>
    <t>Kailasapuram Township, Trichy 620 014. Tamil Nadu, India.</t>
  </si>
  <si>
    <t>SIM126761</t>
  </si>
  <si>
    <t>Prevention of the gass
leakage accidents.</t>
  </si>
  <si>
    <t>harshini team</t>
  </si>
  <si>
    <t>SIM185188</t>
  </si>
  <si>
    <t>07070312302</t>
  </si>
  <si>
    <t>Clean air campus</t>
  </si>
  <si>
    <t>Clean Air
Campus</t>
  </si>
  <si>
    <t>VEDA VYASA DAV
PUBLIC SCHOOL</t>
  </si>
  <si>
    <t>Founded in 1982, Veda Vyasa DAV Public School, Vikaspuri is one of the most prestigious and promising institutions in Delhi NCR with over 4000 students and around 200 teaching and non-teaching staff members. Since its inception, our school has been a pioneer of modern education blended with the rich Vedic and cultural ethos of our country. Resonating the values inscribed in the Vedas, education, here, has always been learner-centric and goal-oriented. The ever-escalating board results, achievements and accolades bagged by the school are a testimony to the successful implementation of scientific temperament blended with a humanitarian approach towards global issues.</t>
  </si>
  <si>
    <t>SIM187902</t>
  </si>
  <si>
    <t>Temperature Based
Fan Speed Controller</t>
  </si>
  <si>
    <t>PVG
Innovators</t>
  </si>
  <si>
    <t>SIM02409</t>
  </si>
  <si>
    <t>AI Powered Smart
Agriculture System.</t>
  </si>
  <si>
    <t>SCSTEAM6</t>
  </si>
  <si>
    <t>SIM123295</t>
  </si>
  <si>
    <t>29260807503</t>
  </si>
  <si>
    <t>Iot Remote Health
Monitoring Device</t>
  </si>
  <si>
    <t>Thinkers Glam</t>
  </si>
  <si>
    <t>DELHI PUBLIC
SCHOOL MYSORE</t>
  </si>
  <si>
    <t>The Chief guest of the ceremony was Col. Menon, Group Commander of NCC Group, Mysore, along with the Guest of Honour, Gp. Capt. A Chaturvedi, Commanding Officer, 4 Karnataka Air Sqn, Mysore. The Director Principal, Mrs. Manju Sharma, administered the oath for all the council members.</t>
  </si>
  <si>
    <t>SIM204584</t>
  </si>
  <si>
    <t>32051400419</t>
  </si>
  <si>
    <t>Turn Written Paper to
New Paper</t>
  </si>
  <si>
    <t>Solvers</t>
  </si>
  <si>
    <t>AKMHSS KOTTOOR</t>
  </si>
  <si>
    <t>Kalolsavam Winners</t>
  </si>
  <si>
    <t>AKM HS, KOTTOOR was established in 1979 and it is managed by the Pvt. Aided. It is located in Urban area. It is located in MALAPPURAM block of MALAPPURAM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</si>
  <si>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SIM36060</t>
  </si>
  <si>
    <t>36210101706</t>
  </si>
  <si>
    <t>Autiomatic lights
around manhole</t>
  </si>
  <si>
    <t>ASPIRE
ACHIEVERS</t>
  </si>
  <si>
    <t>ZPHS GOWDAVALLY</t>
  </si>
  <si>
    <t>Zphs Gowdavelly - Gowdavelly Ranga Reddy (Telangana)</t>
  </si>
  <si>
    <t>ZPHS GOWDAVELLY was established in 2004 and it is managed by the Local body. It is located in Rural area. It is located in MEDCHAL block of RANGA REDDY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</si>
  <si>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SIM02547</t>
  </si>
  <si>
    <t>Mini-ICU</t>
  </si>
  <si>
    <t>sbsbgnminiicu</t>
  </si>
  <si>
    <t>SIM208288</t>
  </si>
  <si>
    <t>Rd. helmet</t>
  </si>
  <si>
    <t>CREATIVE
SOLUTIONS</t>
  </si>
  <si>
    <t>SIM217791</t>
  </si>
  <si>
    <t>07010305413</t>
  </si>
  <si>
    <t>Automatic medicine
dispensing machine</t>
  </si>
  <si>
    <t>Scorpions</t>
  </si>
  <si>
    <t>MAHARAJA AGRASEN
MODEL SCHOOL</t>
  </si>
  <si>
    <t>© 2014, Maharaja Agrasen Model School, New Delhi. All Rights Reserved. Developed By - Web Development Team (MAMS)</t>
  </si>
  <si>
    <t>SIM138194</t>
  </si>
  <si>
    <t>Multipurpose
Combined Sieving and
Winnowing Machine</t>
  </si>
  <si>
    <t>Achievers</t>
  </si>
  <si>
    <t>SIM228715</t>
  </si>
  <si>
    <t>29300900909</t>
  </si>
  <si>
    <t>“Iot Based Crane Blind
Spot Camera”</t>
  </si>
  <si>
    <t>NSS8</t>
  </si>
  <si>
    <t>NEW SECONDARY
SCHOOL BHOJ
BELGAUM</t>
  </si>
  <si>
    <t>New Secondary School Bhoj - Bhoj Belagavi Chikkodi (Karnataka)</t>
  </si>
  <si>
    <t>New Secondary School Bhoj was established in 1967 and it is managed by the Pvt. Aided. It is located in Rural area. It is located in NIPPANI block of BELAGAVI CHIKKODI district of Karnataka. The school consists of Grades from 8 to 10.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</si>
  <si>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SIM176132</t>
  </si>
  <si>
    <t>Secure Ride</t>
  </si>
  <si>
    <t>SIM141785</t>
  </si>
  <si>
    <t>32061300206</t>
  </si>
  <si>
    <t>Grinding Machine with
Exercise</t>
  </si>
  <si>
    <t>Genius Brain</t>
  </si>
  <si>
    <t>SBS THANNEERCODE</t>
  </si>
  <si>
    <t>Sbs Thaneercode - Chalissery Palakkad (Kerala)</t>
  </si>
  <si>
    <t>SBS THANEERCODE was established in 1933 and it is managed by the Pvt. Aided. It is located in Rural area. It is located in THRITHALA block of PALAKKAD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</si>
  <si>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SIM183771</t>
  </si>
  <si>
    <t>23320300830</t>
  </si>
  <si>
    <t>As Tile</t>
  </si>
  <si>
    <t>AS Tiles</t>
  </si>
  <si>
    <t>THE ICONIC SCHOOL</t>
  </si>
  <si>
    <t>SIM143489</t>
  </si>
  <si>
    <t>23260101350</t>
  </si>
  <si>
    <t>Shining Collar Band for
Animals</t>
  </si>
  <si>
    <t>Jagarukata</t>
  </si>
  <si>
    <t>GOVT GIRLS HSS
NEHRU NAGAR</t>
  </si>
  <si>
    <t>Govt Hss Girls Nehru Nagar - Ward No.13 Indore (Madhya Pradesh)</t>
  </si>
  <si>
    <t>GOVT HSS GIRLS NEHRU NAGAR - Ward No.13 District Indore (Madhya Pradesh)</t>
  </si>
  <si>
    <t>SIM118163</t>
  </si>
  <si>
    <t>33230604601</t>
  </si>
  <si>
    <t>Novel method to clean
Land Waste</t>
  </si>
  <si>
    <t>N.S.M.V.P.S HSS,
DEVAKOTTAI</t>
  </si>
  <si>
    <t>N.S.M.V.P.S.B.Hr.Sec.School - 3Rd Ward Devakottai Sivaganga (Tamil Nadu)</t>
  </si>
  <si>
    <t>N.S.M.V.P.S.B.HR.SEC.SCHOOL - 3rd Ward Devakottai District Sivaganga (Tamil Nadu)</t>
  </si>
  <si>
    <t>SIM188985</t>
  </si>
  <si>
    <t>18210622006</t>
  </si>
  <si>
    <t>"Eco-Drain: Pervious
Concrete Road for
Sustainable Flood
Management"</t>
  </si>
  <si>
    <t>INNOVATORS</t>
  </si>
  <si>
    <t>PM SHRI KENDRIYA
VIDYALAYA
MASIMPUR</t>
  </si>
  <si>
    <t>Ri-Bhoi, 793123</t>
  </si>
  <si>
    <t>Kendriya Vidyalaya Assam University, Silchar, Cachar. Dorgakona-Silchar P.O. Assam University , PIN: 788011 Dist.: Cachar, State: Assam</t>
  </si>
  <si>
    <t>SIM01943</t>
  </si>
  <si>
    <t>The title of our idea is
maintaining health</t>
  </si>
  <si>
    <t>Game
Changers</t>
  </si>
  <si>
    <t>SIM21634</t>
  </si>
  <si>
    <t>29240308807</t>
  </si>
  <si>
    <t>Ayushmaan Barath IV
Drip Monitoring
System</t>
  </si>
  <si>
    <t>Fluid
Guardians</t>
  </si>
  <si>
    <t>NITK ENGLISH
MEDIUM SCHOOL
SURATHKAL</t>
  </si>
  <si>
    <t>Of Dakshina Kannada, And Boasts An Important Centre</t>
  </si>
  <si>
    <t>NH 66, Srinivasnagar, Surathkal, Mangalore, Karnataka - 575</t>
  </si>
  <si>
    <t>SIM168024</t>
  </si>
  <si>
    <t>Hospital Entry Exit
System</t>
  </si>
  <si>
    <t>NEW
CREATIONS</t>
  </si>
  <si>
    <t>Governor – Lions Club</t>
  </si>
  <si>
    <t>Kannada Sangha, Pune was founded in 1952 as a cultural organization of and for Kannadigas residing in Pune. In 1963, Dr. Kalmadi Shamarao popularly known as Dr. K. S. Rao and other Kannadiga stalwarts started a Kannada Medium school with just 35 students in a quest to open up opportunities to marginalized migrant children from Karnataka. Today, we have grown to mammoth proportions with over 8,775 students annually under Kaveri banner with the Teaching staff of 316 and Non-Teaching staff of 143. | One day, Dr. Shamarao Kalmadi, my father in law, was approached by his patients. Most of them were poor migrants from Karnataka. They told him that the only Kannada medium school in Pune, a government school, was being closed, and appealed to him for help. Overnight, tables and chairs were gathered and a Kannada medium school was started in a rented premise with only 35 children. This is how Karnataka High School came into being in 1963. Later when a new building was under construction for the English medium school, I remember my father in law, watering the building every day. For the Kannada Sangha, the Kaveri Group of Institutes means a lot. It documents how we have evolved, it symbolizes the dreams of our Founders and reflects our values, social responsibility and goals.”</t>
  </si>
  <si>
    <t>SIM221132</t>
  </si>
  <si>
    <t>32130900611</t>
  </si>
  <si>
    <t>Piezoelectric Floor
Tiles with Energy
Harvesting Technology</t>
  </si>
  <si>
    <t>Happy kids</t>
  </si>
  <si>
    <t>ELAMPALLOR SNSMHS</t>
  </si>
  <si>
    <t>Snsmhss Elampalloor - Elampalloor Kollam (Kerala)</t>
  </si>
  <si>
    <t>SNSMHSS ELAMPALLOOR was established in 1976 and it is managed by the Pvt. Aided. It is located in Rural area. It is located in KUNDARA block of KOLLAM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</si>
  <si>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SIM198139</t>
  </si>
  <si>
    <t>32080800809</t>
  </si>
  <si>
    <t>Solar-Powered Water
Purification Machines
(Project - Swpm)</t>
  </si>
  <si>
    <t>YOUVA</t>
  </si>
  <si>
    <t>GHSS PUTHENTHODE</t>
  </si>
  <si>
    <t>Ghss Puthenthode | Ernakulam Website | India</t>
  </si>
  <si>
    <t>GHSS PUTHENTHODE was established in 1909 and it is managed by the Department of Education. It is located in Rural area. It is located in MATTANCHERY block of ERNAKULAM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</si>
  <si>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SIM124616</t>
  </si>
  <si>
    <t>32060300206</t>
  </si>
  <si>
    <t>Ai Vehicle Safety Robot
System</t>
  </si>
  <si>
    <t>HS
KATTUKULAM
01</t>
  </si>
  <si>
    <t>AKNMMAM HSS
KATTUKULAM</t>
  </si>
  <si>
    <t>SIM228113</t>
  </si>
  <si>
    <t>27090701002</t>
  </si>
  <si>
    <t>Orca Atm</t>
  </si>
  <si>
    <t>CL6RFSM</t>
  </si>
  <si>
    <t>RELIANCE
FOUNDATION SCHOOL
MOUDA</t>
  </si>
  <si>
    <t>A special assembly emphasizing the importance of health and well-being was conducted to commemorate World Health Day, 2025. Dr. Sadaf Quazi, the Chief Medical Officer at Reliance Industries, Nagpur Division attended the event as Chief Guest. The assembly began with prayer song followed by thought for the day, news headlines, amazing facts, word of the day and shloka recitation setting tone for the event. The highlight of the event was a self-composed poem recitation by Rushda Baig, from Class X. The poem eloquently highlighted the need for a healthy lifestyle, touching on various aspects such as the importance of good nutrition, regular exercise, and mental well-being. Following the poem, Mr. Ravi Tonpe, English teacher, administered the Health Pledge. Students vowed to lead a healthy and active life by balancing their school work with play. The pledge was a powerful reminder of the commitments they were making to themselves and their future well-being. Principal Mr. Hari Prasad Vaishnav delivered an inspiring speech that underscored the significance of World Health Day. Mr. Vaishnav stressed the importance of outdoor activities for mental and physical well-being. He emphasized the long-term advantages of leading such a lifestyle and urged students to strike a balance between their academic obligations and physical activity. The assembly concluded on a high note with the singing of the National anthem followed by the Maharashtra Geet.</t>
  </si>
  <si>
    <t>SIM77877</t>
  </si>
  <si>
    <t>33180304249</t>
  </si>
  <si>
    <t>Smart siren ambulance</t>
  </si>
  <si>
    <t>Blue</t>
  </si>
  <si>
    <t>GOVERNMENT GIRLS
HIGH SCHOOL
PANRUTI</t>
  </si>
  <si>
    <t>Schools |  Cuddalore , Government Of Tamilnadu | Sugar Bowl Of Tamil Nadu  | India</t>
  </si>
  <si>
    <t>SIM28346</t>
  </si>
  <si>
    <t>33041301311</t>
  </si>
  <si>
    <t>Purification of dye
contaminated water
and soil through phyto-
remediation.</t>
  </si>
  <si>
    <t>linus pauling</t>
  </si>
  <si>
    <t>AUXILIUM HSS
GANDHINAGAR</t>
  </si>
  <si>
    <t>Auxilium College Founded In 1954 Is The First Women’S College In The Vellore And Is</t>
  </si>
  <si>
    <t>Applications and Prospectus for the academic year (2025 - 2026) are available offline and online on our website (www.auxiliumcollege.ac.in). However, submission of the filled-in online application can be done only after the publication of +2 results of the Tamil Nadu State Board..</t>
  </si>
  <si>
    <t>SIM197215</t>
  </si>
  <si>
    <t>09100100131</t>
  </si>
  <si>
    <t>Eco-bricks</t>
  </si>
  <si>
    <t>Crypto
Crusaders</t>
  </si>
  <si>
    <t>LOTUS VALLEY
INTERNATIONAL
SCHOOL</t>
  </si>
  <si>
    <t>SIM25102</t>
  </si>
  <si>
    <t>28134000602</t>
  </si>
  <si>
    <t>Waterflow control
smart bridge using
servos</t>
  </si>
  <si>
    <t>Techy
Innovators</t>
  </si>
  <si>
    <t>ZPHS SCHOOL DH
AGRAHARAM</t>
  </si>
  <si>
    <t>Zphs Dh. Aghraharam - Dharmavaram Agraharam Visakhapatnam (Andhra Pradesh)</t>
  </si>
  <si>
    <t>ZPHS DH. AGHRAHARAM was established in 1962 and it is managed by the Local body. It is located in Rural area. It is located in S.RAYAVARAM block of VISAKHAPATNAM district of ANDHRA PRADESH.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</si>
  <si>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SIM197486</t>
  </si>
  <si>
    <t>Enhancing access and
engagement through
technology</t>
  </si>
  <si>
    <t>TECH CHAMPS</t>
  </si>
  <si>
    <t>SIM227007</t>
  </si>
  <si>
    <t>22160805513</t>
  </si>
  <si>
    <t>Refrigerator water
effluent indicator cum
remover</t>
  </si>
  <si>
    <t>DR VIKRAM
SARABHAI
AASTHA
TEAM</t>
  </si>
  <si>
    <t>AASTHA VIDYA
MANDIR E M SCHOOL
JAWANGA</t>
  </si>
  <si>
    <t>Dantewada</t>
  </si>
  <si>
    <t>Over the past decade, Dantewada has witnessed a steady rather rapid phase of development in all key sectors. PORTA cabins, invented in the district, and have successfully tackled the dropout rate of students through quality residential education has been a game changer in this region. Education City, a residential education facility from KG to PG for around 7000 students in a single campus; has been ranked one among the 100 innovative ideas of the world in the field of education by KPMG in the year 2012. The concept of Livelihood college which was invented and successfully implemented in the district, had later been replicated across the state of Chhattisgarh by the State Government. Saksham, a barrier free residential education institution for the children with special needs, had been widely acclaimed by one and all. Lakshya and Chhoolo Asman projects have provided the students of the region enough space to dream of a better future for them. Bhoomgadi, the farmers society that produce, procure, mill and market organic agricultural products has been well appreciated. Bastar YUVA BPO, the biggest rural BPO of the state, has brought the silicon valley to Bastar, benefiting the computer learned youth of the Bastar division with a chance to work in corporate culture and to earn a stable and sustainable white colored job. | istrict Dakshin Bastar, Dantewada is one among the 7 districts of Bastar Division. Located in the southern part of the state of Chhattisgarh, district borders its boundaries in north with districts Bastar, and Narayanpur, in west with district Bijapur and in south with district Sukma.</t>
  </si>
  <si>
    <t>SIM218013</t>
  </si>
  <si>
    <t>Vaani</t>
  </si>
  <si>
    <t>Voicebridge
Innovators</t>
  </si>
  <si>
    <t>SIM201970</t>
  </si>
  <si>
    <t>06070104705</t>
  </si>
  <si>
    <t>Piezoelectric Floors -
Step into the Future</t>
  </si>
  <si>
    <t>Igniters</t>
  </si>
  <si>
    <t>BAL VIKAS
PROGRESSIVE SCHOOL</t>
  </si>
  <si>
    <t>Bal Vikas Progressive School - Jattal  Panipat (Haryana)</t>
  </si>
  <si>
    <t>BAL VIKAS PROGRESSIVE SCHOOL was established in 2006 and it is managed by the Pvt. Unaided. It is located in Rural area. It is located in PANIPAT block of PANIPAT district of HARYANA. The school consists of Grades from 1 to 12. The school is Co-educational and it have an attached pre-primary section. The school is Non-Ashram type (Govt.) in nature and is not using school building as a shift-school. English is the medium of instructions in this school. This school is approachable by all weather road. In this school academic session starts in April.</t>
  </si>
  <si>
    <t>SIM48658</t>
  </si>
  <si>
    <t>01200902601</t>
  </si>
  <si>
    <t>Rain Water Harvesting</t>
  </si>
  <si>
    <t>Sublime A</t>
  </si>
  <si>
    <t>BMS HARIWETH</t>
  </si>
  <si>
    <t>Bms Hariveth - Hariveth Kulgam (Jammu And Kashmir)</t>
  </si>
  <si>
    <t>BMS HARIVETH was established in 1959 and it is managed by the Department of Education. It is located in Rural area. It is located in H C GAM block of KULGAM district of Jammu and Kashmir. The school consists of Grades from 1 to 8.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</si>
  <si>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SIM01214</t>
  </si>
  <si>
    <t>32130500211</t>
  </si>
  <si>
    <t>Sunvolt</t>
  </si>
  <si>
    <t>Creative Techs</t>
  </si>
  <si>
    <t>AMRITA VIDYALAYAM
PUTHIYAKAVU</t>
  </si>
  <si>
    <t>Established in 1987 by Mata Amritanandamayi in Kodungallur, Kerala, Amrita Vidyalayam started as a primary English medium school. Now expanded to over 70 schools across India, it provides scholarships for economically disadvantaged students and consistently excels in CBSE exams.Amrita Vidyalayam has English medium, co-educational senior secondary schools affiliated with the Central Board of Secondary Education throughout India, with over 30 in Kerala. Known for a 100% pass rate in CBSE exams, these schools emphasize value-based education, sports, extracurricular activities, and excellence in competitive exams. They offer coaching for NEET-UG, JEE Main, CUET,Olympiads, and other competitive exams through their online platform, Amrita Edge.</t>
  </si>
  <si>
    <t>SIM83627</t>
  </si>
  <si>
    <t>32020600317</t>
  </si>
  <si>
    <t>Wild Animal Detecting
Sensor</t>
  </si>
  <si>
    <t>WAWS</t>
  </si>
  <si>
    <t>KKVM PHSS PANOOR</t>
  </si>
  <si>
    <t>Kkv Memorial Hss Panoor - Panoor Kannur (Kerala)</t>
  </si>
  <si>
    <t>KKV MEMORIAL HSS PANOOR was established in 1990 and it is managed by the Pvt. Aided. It is located in Rural area. It is located in PANOOR block of KANNUR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</si>
  <si>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SIM87842</t>
  </si>
  <si>
    <t>08122605923</t>
  </si>
  <si>
    <t>AI traffic control</t>
  </si>
  <si>
    <t>AI Traffic
Controller
Team</t>
  </si>
  <si>
    <t>P M SHRI KENDRIYA
VIDYALAYA NO 1</t>
  </si>
  <si>
    <t>Jaipur -302015(Rajasthan)</t>
  </si>
  <si>
    <t>SIM84369</t>
  </si>
  <si>
    <t>33260910539</t>
  </si>
  <si>
    <t>Clearair: iot-based air
and sound pollution
monitoring system</t>
  </si>
  <si>
    <t>EAGLE ELITES</t>
  </si>
  <si>
    <t>CORONATION GIRLS
HIGHER SECONDARY
SCHOOL, SIVAKASI</t>
  </si>
  <si>
    <t>Cornation Girls Hr Sec Sch - Sivakasi (Ward-02) Virudhunagar (Tamil Nadu)</t>
  </si>
  <si>
    <t>CORNATION GIRLS HR SEC SCH - Sivakasi (ward-02) District Virudhunagar (Tamil Nadu)</t>
  </si>
  <si>
    <t>SIM90998</t>
  </si>
  <si>
    <t>33160402802</t>
  </si>
  <si>
    <t>Garbage monitoring
system using android
mobile</t>
  </si>
  <si>
    <t>Research team
7th</t>
  </si>
  <si>
    <t>GHS VADAKKUMADEVI</t>
  </si>
  <si>
    <t>Ghs Vadakkumadevi - Vadukkumadevi Perambalur (Tamil Nadu)</t>
  </si>
  <si>
    <t>GHS VADAKKUMADEVI was established in 2013 and it is managed by the Department of Education. It is located in Rural area. It is located in PERAMBALUR block of PERAMBALUR district of Tamil Nadu. The school consists of Grades from 6 to 10.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</si>
  <si>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SIM184747</t>
  </si>
  <si>
    <t>36120800632</t>
  </si>
  <si>
    <t>Plastic Remover</t>
  </si>
  <si>
    <t>MARYCOM</t>
  </si>
  <si>
    <t>MASTERJI HIGH
SCHOOL</t>
  </si>
  <si>
    <t>SIM206491</t>
  </si>
  <si>
    <t>09090902108</t>
  </si>
  <si>
    <t>Stretch-o-chair</t>
  </si>
  <si>
    <t>Team rover</t>
  </si>
  <si>
    <t>KDB PUBLIC SCHOOL</t>
  </si>
  <si>
    <t>From Dec.19, 2024 To Dec. 21, 2024. The General Secretary Football Association</t>
  </si>
  <si>
    <t>K.D.B PUBLIC SCHOOL - Ward No. 39 District Ghaziabad (Uttar Pradesh)</t>
  </si>
  <si>
    <t>SIM19395</t>
  </si>
  <si>
    <t>28111401521</t>
  </si>
  <si>
    <t>Purification of water
by solar power</t>
  </si>
  <si>
    <t>Sasana puri
reshma</t>
  </si>
  <si>
    <t>SIM124749</t>
  </si>
  <si>
    <t>Breast cancer
awareness using ai</t>
  </si>
  <si>
    <t>DSKS</t>
  </si>
  <si>
    <t>SIM186971</t>
  </si>
  <si>
    <t>Vehicle smoke
absorber and
converting it to ink</t>
  </si>
  <si>
    <t>Mission
Marathon</t>
  </si>
  <si>
    <t>SIM220976</t>
  </si>
  <si>
    <t>24191304206</t>
  </si>
  <si>
    <t>Waste To Energy Bio-
Reactor</t>
  </si>
  <si>
    <t>PVR TRIO</t>
  </si>
  <si>
    <t>KENDRIYA VIDYALAYA
NO 1 HARNI BARODA</t>
  </si>
  <si>
    <t>KENDRIYA VIDYALAYA NO. 3, AIR FORCE STATION, MAKARPURA, VADODARA (GUJARAT) - 390014</t>
  </si>
  <si>
    <t>SIM140289</t>
  </si>
  <si>
    <t>Focus Fusion</t>
  </si>
  <si>
    <t>SIM81598</t>
  </si>
  <si>
    <t>29240405104</t>
  </si>
  <si>
    <t>Coconut Pedalator</t>
  </si>
  <si>
    <t>Vidyut</t>
  </si>
  <si>
    <t>GPUC BETTAMPADY
HIGH SCHOOL</t>
  </si>
  <si>
    <t>Dkzp Govt. Pre University College Uppinangady - Uppinangady Dakshina Kannada (Karnataka)</t>
  </si>
  <si>
    <t>DKZP GOVT. PRE UNIVERSITY COLLEGE UPPINANGADY was established in 1956 and it is managed by the Department of Education. It is located in Rural area. It is located in PUTTUR block of DAKSHINA KANNADA district of Karnataka. The school consists of Grades from 8 to 12.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</si>
  <si>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SIM192534</t>
  </si>
  <si>
    <t>Bus Identification
System</t>
  </si>
  <si>
    <t>Junior
engineers</t>
  </si>
  <si>
    <t>SIM54867</t>
  </si>
  <si>
    <t>32140501107</t>
  </si>
  <si>
    <t>Smart Dust Cleaner</t>
  </si>
  <si>
    <t>Idea Igniters</t>
  </si>
  <si>
    <t>SKVHS
KADAMPATTUKONAM</t>
  </si>
  <si>
    <t>S.K.V.H.S. Kadampattukonam - Navaikulam Thiruvananthapuram (Kerala)</t>
  </si>
  <si>
    <t>S.K.V.H.S. KADAMPATTUKONAM was established in 1957 and it is managed by the Pvt. Aided. It is located in Rural area. It is located in KILIMANOOR block of THIRUVANANTHAPURAM district of Kerala. The school consists of Grades from 5 to 10.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</si>
  <si>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SIM08426</t>
  </si>
  <si>
    <t>32040100418</t>
  </si>
  <si>
    <t>Innovatex</t>
  </si>
  <si>
    <t>Cyber X</t>
  </si>
  <si>
    <t>JAI RANI SABS PUBLIC
SCHOOL</t>
  </si>
  <si>
    <t>SIM190044</t>
  </si>
  <si>
    <t>32021501605</t>
  </si>
  <si>
    <t>Working model of
wind farms</t>
  </si>
  <si>
    <t>Liya T jose</t>
  </si>
  <si>
    <t>VAYATHUR U P
SCHOOL ULIKKAL</t>
  </si>
  <si>
    <t>Vayathur Ups - Vayathur Kannur (Kerala)</t>
  </si>
  <si>
    <t>VAYATHUR UPS was established in 1950 and it is managed by the Pvt. Aided. It is located in Rural area. It is located in IRIKKUR block of KANNUR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</si>
  <si>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SIM142436</t>
  </si>
  <si>
    <t>32110200102</t>
  </si>
  <si>
    <t>Magic Lock</t>
  </si>
  <si>
    <t>G H S S KAKKAZHOM</t>
  </si>
  <si>
    <t>Kkkpm Govt Hss Ambalapuzha - Ambalapuzha  Alappuzha (Kerala)</t>
  </si>
  <si>
    <t>KKKPM GOVT HSS AMBALAPUZHA was established in 1882 and it is managed by the Department of Education. It is located in Rural area. It is located in AMBALAPPUZHA block of ALAPPUZHA district of Kerala. The school consists of Grades from 1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</si>
  <si>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SIM214020</t>
  </si>
  <si>
    <t>32030200314</t>
  </si>
  <si>
    <t>Different Types of
Electrical Wiring</t>
  </si>
  <si>
    <t>rainbow</t>
  </si>
  <si>
    <t>ST. MARYS H S S
MULLANKOLLY</t>
  </si>
  <si>
    <t>St.Mary'S Hss Mullankolly - Padichira Wayanad (Kerala)</t>
  </si>
  <si>
    <t>ST.MARY'S HSS MULLANKOLLY was established in 1975 and it is managed by the Pvt. Aided. It is located in Rural area. It is located in SULTHAN BATHERY block of WAYANAD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</si>
  <si>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SIM221278</t>
  </si>
  <si>
    <t>32140600615</t>
  </si>
  <si>
    <t>Maritime Guardian</t>
  </si>
  <si>
    <t>ftcp1</t>
  </si>
  <si>
    <t>GVHSS MANCHA
NEDUMANGAD</t>
  </si>
  <si>
    <t>Gvhss(Bhs) Nedumangad - Nedumangad Thiruvananthapuram (Kerala)</t>
  </si>
  <si>
    <t>GVHSS(BHS) NEDUMANGAD was established in 1963 and it is managed by the Department of Education. It is located in Urban area. It is located in NEDUMANGADU block of THIRUVANANTHAPURAM district of Kerala. The school consists of Grades from 8 to 10. The school is Boys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</si>
  <si>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SIM01134</t>
  </si>
  <si>
    <t>17090111909</t>
  </si>
  <si>
    <t>P-L-P-D, People Lives
Protection Device.</t>
  </si>
  <si>
    <t>Royal</t>
  </si>
  <si>
    <t>STAR PUBLIC SCHOOL</t>
  </si>
  <si>
    <t>Meghalaya</t>
  </si>
  <si>
    <t>School going students from remote areas of Meghalaya always face enormous challenges to avail conveyance to their schools. A school bus service has been started for over 36 students of Brichyrnot and neighbouring villages of Meghalaya to address this issue, resulting in smooth mobility of school-going students in remote areas. | Star Cement grew its footprint to cover 10 states. At the same time, Star Cement enhanced power generation capacity of Meghalaya Power Limited (MPL) by 43 MW.</t>
  </si>
  <si>
    <t>SIM68681</t>
  </si>
  <si>
    <t>33121700415</t>
  </si>
  <si>
    <t>Sustainable
community resource
management</t>
  </si>
  <si>
    <t>TEAM 13</t>
  </si>
  <si>
    <t>SSVM VIDHAN
MATRICULATION HR
SEC SCHOOL</t>
  </si>
  <si>
    <t>110/1A, 2A, Mothepalayam, Jadayampalayam (po), Mettupalayam, Coimbatore, Tamil Nadu 641302 | Shree Sarasswathi Vidhyaah Mandheer Matriculation Higher Secondary School (2013) functions parallely following the equity syllabus of the Tamil Nadu Higher Secondary Board .</t>
  </si>
  <si>
    <t>SIM80081</t>
  </si>
  <si>
    <t>09090901409</t>
  </si>
  <si>
    <t>Stubble burning</t>
  </si>
  <si>
    <t>Team Shreya</t>
  </si>
  <si>
    <t>SHREE
THAKURDWARA
BALIKA VIDYALAYA
GHAZIABAD</t>
  </si>
  <si>
    <t>Hapur Road Tiraha, G.T.Road Ghaziabad - 201001, Uttar Pradesh</t>
  </si>
  <si>
    <t>SIM187239</t>
  </si>
  <si>
    <t>05100209104</t>
  </si>
  <si>
    <t>Footstep power
generation using
piezoelectric sensor</t>
  </si>
  <si>
    <t>Class XI</t>
  </si>
  <si>
    <t>KENDRIYA VIDYALAYA
LOHAGHAT</t>
  </si>
  <si>
    <t>KV LOHAGHAT was established in 2004 and it is managed by the Central Govt.. It is located in Urban area. It is located in LOHAGHAT block of CHAMPAWAT district of Uttarakhand. The school consists of Grades from 1 to 12. The school is Co-educational and it doesn't have an attached pre-primary section. The school is N/A in nature and is not using school building as a shift-school. English is the medium of instructions in this school. This school is approachable by all weather road. In this school academic session starts in April.</t>
  </si>
  <si>
    <t>SIM198355</t>
  </si>
  <si>
    <t>Sapling Programming
Language</t>
  </si>
  <si>
    <t>Dynamic
Dreamers</t>
  </si>
  <si>
    <t>SIM135013</t>
  </si>
  <si>
    <t>Smart Solar-Powered
Kangri 2.0: The
Ultimate Portable
Heating Solution</t>
  </si>
  <si>
    <t>TEAM 3</t>
  </si>
  <si>
    <t>SIM156452</t>
  </si>
  <si>
    <t>Automatic Irrigation
System</t>
  </si>
  <si>
    <t>Intellify
technologies 4</t>
  </si>
  <si>
    <t>SIM36349</t>
  </si>
  <si>
    <t>29160505408</t>
  </si>
  <si>
    <t>Smart Irrigator</t>
  </si>
  <si>
    <t>LegendsOfSMS</t>
  </si>
  <si>
    <t>SMS ENGLISH MEDIUM</t>
  </si>
  <si>
    <t>Udupi</t>
  </si>
  <si>
    <t>Founded by Rev. Ramban G M Skariya on 22 July 2006, this institution is affliated to Karnataka State Syllabus. Sri Avinas Shetty was the founder Principal of this school and has led to major development of the school.</t>
  </si>
  <si>
    <t>SIM182349</t>
  </si>
  <si>
    <t>29210418305</t>
  </si>
  <si>
    <t>Solution to solve Water
Scarcity</t>
  </si>
  <si>
    <t>Brainy
Buddies</t>
  </si>
  <si>
    <t>NURTURE
INTERNATIONAL
SCHOOL</t>
  </si>
  <si>
    <t>Survey No 9/2, Opp Sowparnika Ashiyana, Samethanahalli, Whitefield, Bangalore, 560067, Karnataka</t>
  </si>
  <si>
    <t>SIM223822</t>
  </si>
  <si>
    <t>29010301904</t>
  </si>
  <si>
    <t>Macmed</t>
  </si>
  <si>
    <t>MacMed</t>
  </si>
  <si>
    <t>GOVERNMENT
SARASWATI GIRLS
HIGH SCHOOL B</t>
  </si>
  <si>
    <t>Jss Girls High School, Yelandur, Chamarajanagar</t>
  </si>
  <si>
    <t>to 10th std as per the rules of Govt. of Karnataka.</t>
  </si>
  <si>
    <t>SIM07675</t>
  </si>
  <si>
    <t>32040400313</t>
  </si>
  <si>
    <t>Bus Overload
Detection System</t>
  </si>
  <si>
    <t>Yodha</t>
  </si>
  <si>
    <t>GOVT GANAPATH
VHSS FEROKE</t>
  </si>
  <si>
    <t>Ggvhss Feroke - Feroke Kozhikode (Kerala)</t>
  </si>
  <si>
    <t>GGVHSS FEROKE was established in 1957 and it is managed by the Department of Education. It is located in Urban area. It is located in KOZHIKODE block of KOZHIKODE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</si>
  <si>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SIM154260</t>
  </si>
  <si>
    <t>32020902004</t>
  </si>
  <si>
    <t>Automated Power
Supply Cutting
Mechanism</t>
  </si>
  <si>
    <t>SJHSS
PERAVOOR</t>
  </si>
  <si>
    <t>ST JOSEPH HSS
PERAVOOR</t>
  </si>
  <si>
    <t>St Joseph Hss Peravoor - Vellarvally Kannur (Kerala)</t>
  </si>
  <si>
    <t>ST JOSEPH HSS PERAVOOR was established in 1952 and it is managed by the Pvt. Aided. It is located in Rural area. It is located in IRITTY block of KANNUR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</si>
  <si>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SIM186112</t>
  </si>
  <si>
    <t>32060200804</t>
  </si>
  <si>
    <t>Redefining the Pole
Infrastructure.</t>
  </si>
  <si>
    <t>jps</t>
  </si>
  <si>
    <t>LMHSS MANGALAM
DAM</t>
  </si>
  <si>
    <t>Lmhs Mangalam Dam - Vandazhy Palakkad (Kerala)</t>
  </si>
  <si>
    <t>LMHS MANGALAM DAM was established in 1963 and it is managed by the Pvt. Aided. It is located in Rural area. It is located in ALATHUR block of PALAKKAD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</si>
  <si>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SIM164830</t>
  </si>
  <si>
    <t>32110100306</t>
  </si>
  <si>
    <t>Revenue by Wsate
Management</t>
  </si>
  <si>
    <t>City Cleaners</t>
  </si>
  <si>
    <t>ST JOSEPHS HIGHER
SECONDARY SCHOOL
FOR GIRLS ALLEPPEY</t>
  </si>
  <si>
    <t>St.Joseph'S Hss For Girls Alpy - Mullakkal Alappuzha (Kerala)</t>
  </si>
  <si>
    <t>ST.JOSEPH'S HSS FOR GIRLS ALPY was established in 1901 and it is managed by the Pvt. Aided. It is located in Urban area. It is located in ALAPPUZHA block of ALAPPUZHA district of Kerala. The school consists of Grades from 5 to 12. The school is Girls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</si>
  <si>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SIM178016</t>
  </si>
  <si>
    <t>23260103611</t>
  </si>
  <si>
    <t>Ai Netra</t>
  </si>
  <si>
    <t>SRI SATHYA SAI VIDYA
VIHAR</t>
  </si>
  <si>
    <t>SIM10950</t>
  </si>
  <si>
    <t>33292104603</t>
  </si>
  <si>
    <t>AI - Eco flow solution
(watershed warriors)</t>
  </si>
  <si>
    <t>lawen</t>
  </si>
  <si>
    <t>MUNICIPAL GIRLS HR
SEC SCHOOL PETTAI</t>
  </si>
  <si>
    <t>Kamaraj Cpn Hss, Pettai             - Ward 48 Tirunelveli (Tamil Nadu)</t>
  </si>
  <si>
    <t>KAMARAJ CPN HSS, PETTAI - Ward 48 District Tirunelveli (Tamil Nadu)</t>
  </si>
  <si>
    <t>SIM122021</t>
  </si>
  <si>
    <t>36151900802</t>
  </si>
  <si>
    <t>Railway platform
safety system</t>
  </si>
  <si>
    <t>PACE MAKERS</t>
  </si>
  <si>
    <t>ZILLA PARISHAD HIGH
SCHOOL UPPALWAI</t>
  </si>
  <si>
    <t>Zphs Uppalwai | Kamareddy, Government Of Telangana | India</t>
  </si>
  <si>
    <t>ZPHS UPPALWAI was established in 1954 and it is managed by the Local body. It is located in Rural area. It is located in SADASHIVNAGAR block of NIZAMABAD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</si>
  <si>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SIM228970</t>
  </si>
  <si>
    <t>Crop Protection
System</t>
  </si>
  <si>
    <t>SMART
VILLAGE</t>
  </si>
  <si>
    <t>Government High School also known as Government High School. The school was established in 1950. Government High School is a Co-Ed school affiliated to Central Board of Secondary Education (CBSE) . It is managed by U T Chandigarh.</t>
  </si>
  <si>
    <t>SIM02145</t>
  </si>
  <si>
    <t>24221528507</t>
  </si>
  <si>
    <t>Air quality monitoring</t>
  </si>
  <si>
    <t>AQI</t>
  </si>
  <si>
    <t>HILLS HIGH SCHOOL
SURAT</t>
  </si>
  <si>
    <t>Laguna Hills High School | Saddleback Valley Unified School</t>
  </si>
  <si>
    <t>SIM204409</t>
  </si>
  <si>
    <t>06180101924</t>
  </si>
  <si>
    <t>Drainguard Wheel</t>
  </si>
  <si>
    <t>Mad Lab</t>
  </si>
  <si>
    <t>Level Coordinator</t>
  </si>
  <si>
    <t>DAV PUBLIC SCHOOL, SECTOR-14, GURUGRAM, HARYANA-122001</t>
  </si>
  <si>
    <t>SIM222562</t>
  </si>
  <si>
    <t>02052005402</t>
  </si>
  <si>
    <t>Generating Electricity
by Recycled Waste</t>
  </si>
  <si>
    <t>Laxmi bai
house</t>
  </si>
  <si>
    <t>PM SHRI GUSSS
DHARAMPUR DISTT
MANDI HP</t>
  </si>
  <si>
    <t>Government Senior Secondary Schools | Mandi, Government Of Himachal Pradesh | India</t>
  </si>
  <si>
    <t>Established in 1952, PM SHRI Govt. Utkrisht Sr. Sec. School, Dharampur (formerly GSSS Dharampur), has been a cornerstone of education in the Dharampur-2 block of Mandi district, Himachal Pradesh. Managed by the Department of Education, the school serves students from Grades 6 to 12 in a co-educational setting, with Hindi as the medium of instruction.</t>
  </si>
  <si>
    <t>SIM196968</t>
  </si>
  <si>
    <t>29280234402</t>
  </si>
  <si>
    <t>Green House</t>
  </si>
  <si>
    <t>Green house</t>
  </si>
  <si>
    <t>SJR PUBLIC SCHOOL</t>
  </si>
  <si>
    <t>S J R Public School H B R Layout - H.B.R Layout W No.24 Bengaluru U North (Karnataka)</t>
  </si>
  <si>
    <t>S J R PUBLIC SCHOOL H B R LAYOUT - H.b.r Layout W No.24 District Bengaluru U North (Karnataka)</t>
  </si>
  <si>
    <t>SIM40582</t>
  </si>
  <si>
    <t>Smart Traffic System</t>
  </si>
  <si>
    <t>Team
Technology</t>
  </si>
  <si>
    <t>Amratha Bharathi Vidyakendra Cbse. Hebri - Hebri Udupi (Karnataka)</t>
  </si>
  <si>
    <t>SIM122570</t>
  </si>
  <si>
    <t>32030300101</t>
  </si>
  <si>
    <t>Roadside Fire Safety
System</t>
  </si>
  <si>
    <t>RAINBOW</t>
  </si>
  <si>
    <t>GVHSS KALPETTA</t>
  </si>
  <si>
    <t>Gvhss  Kalpetta - Kalpetta Wayanad (Kerala)</t>
  </si>
  <si>
    <t>GVHSS KALPETTA was established in 1928 and it is managed by the Department of Education. It is located in Urban area. It is located in VYTHIRI block of WAYANAD district of Kerala. The school consists of Grades from 1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</si>
  <si>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SIM165929</t>
  </si>
  <si>
    <t>Solid Waste
Management</t>
  </si>
  <si>
    <t>NafiAmen</t>
  </si>
  <si>
    <t>SIM211801</t>
  </si>
  <si>
    <t>32140900505</t>
  </si>
  <si>
    <t>PG Energy</t>
  </si>
  <si>
    <t>GREEN
ENERGY</t>
  </si>
  <si>
    <t>GOVT HIGHER
SECONDARY SCHOOL
ANAVOOR</t>
  </si>
  <si>
    <t>Govt. Hss Anavoor - Kunnathukal Thiruvananthapuram (Kerala)</t>
  </si>
  <si>
    <t>GOVT. HSS ANAVOOR was established in 1948 and it is managed by the Department of Education. It is located in Rural area. It is located in PARASSALA block of THIRUVANANTHAPURAM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</si>
  <si>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SIM03772</t>
  </si>
  <si>
    <t>23260104913</t>
  </si>
  <si>
    <t>Rakshak Device</t>
  </si>
  <si>
    <t>Tech Busters</t>
  </si>
  <si>
    <t>SANMATI HIGHER
SECONDARY SCHOOL</t>
  </si>
  <si>
    <t>Sanmati Higher Secondary School, Radio Colony - Ward No.49 Indore (Madhya Pradesh)</t>
  </si>
  <si>
    <t>SANMATI HIGHER SECONDARY SCHOOL, RADIO COLONY - Ward No.49 District Indore (Madhya Pradesh)</t>
  </si>
  <si>
    <t>SIM194787</t>
  </si>
  <si>
    <t>27020420403</t>
  </si>
  <si>
    <t>Eco Circuit: Pioneering
Biodegradable
Electronics</t>
  </si>
  <si>
    <t>SmartTech</t>
  </si>
  <si>
    <t>AMRISHBHAI R PATEL
SCHOOL SHIRPUR</t>
  </si>
  <si>
    <t>SIM221790</t>
  </si>
  <si>
    <t>34020111106</t>
  </si>
  <si>
    <t>Organic food
consumption</t>
  </si>
  <si>
    <t>Ripen Right</t>
  </si>
  <si>
    <t>ST PATRICK HIGHER
SECONDARY SCHOOL</t>
  </si>
  <si>
    <t>SIM190850</t>
  </si>
  <si>
    <t>03090508627</t>
  </si>
  <si>
    <t>Smart automated ev
charging</t>
  </si>
  <si>
    <t>SPARK
INNOVATERS</t>
  </si>
  <si>
    <t>BHARTIYA VIDYA
MANDIR SENIOR
SECONDARY SCHOOL</t>
  </si>
  <si>
    <t>Bvm Judokas Shine Bright With Triple Gold At Tournament</t>
  </si>
  <si>
    <t>LUDHIANA-141010, Punjab, (India).</t>
  </si>
  <si>
    <t>SIM180928</t>
  </si>
  <si>
    <t>Dhartiputra</t>
  </si>
  <si>
    <t>DhartiMitra</t>
  </si>
  <si>
    <t>SIM55395</t>
  </si>
  <si>
    <t>36152001103</t>
  </si>
  <si>
    <t>Solar seeder</t>
  </si>
  <si>
    <t>Warriors</t>
  </si>
  <si>
    <t>ZPHS PALWANCHA</t>
  </si>
  <si>
    <t>Zphs Palvancha | Kamareddy, Government Of Telangana | India</t>
  </si>
  <si>
    <t>ZPHS PALONCHA was established in 1945 and it is managed by the Local body. It is located in Urban area. It is located in PALVONCHA block of KHAMMAM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</si>
  <si>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SIM190121</t>
  </si>
  <si>
    <t>36210790228</t>
  </si>
  <si>
    <t>smart medical kit</t>
  </si>
  <si>
    <t>The
Pharmacists</t>
  </si>
  <si>
    <t>ST MICHAELS SCHOOL
RANGAREDDY</t>
  </si>
  <si>
    <t>St.Michaels School - Uppal Kalan Ranga Reddy (Telangana)</t>
  </si>
  <si>
    <t>5-564/22, Ambedkar Nagar, Old Alwal, Secunderabad, Telangana - 500010</t>
  </si>
  <si>
    <t>SIM132185</t>
  </si>
  <si>
    <t>36230202383</t>
  </si>
  <si>
    <t>Blind capture in glass</t>
  </si>
  <si>
    <t>bhatnagar</t>
  </si>
  <si>
    <t>TRIVENI SCHOOL</t>
  </si>
  <si>
    <t>Triveni High School_ | Kamareddy, Government Of Telangana | India</t>
  </si>
  <si>
    <t>SIM155949</t>
  </si>
  <si>
    <t>Salinesense</t>
  </si>
  <si>
    <t>ANKITHA</t>
  </si>
  <si>
    <t>Mangaluru , Karnataka, India – 574259</t>
  </si>
  <si>
    <t>SIM07028</t>
  </si>
  <si>
    <t>Children's Nutritional
Status Follow-Up,
Physical Health and
Well-Being</t>
  </si>
  <si>
    <t>ISRO Girls</t>
  </si>
  <si>
    <t>SIM177882</t>
  </si>
  <si>
    <t>32080300801</t>
  </si>
  <si>
    <t>Low Glycemic Noodles:
Healthy, Sustained
Energy for all Dietary
Needs</t>
  </si>
  <si>
    <t>JGS</t>
  </si>
  <si>
    <t>HSS OF JESUS KOTHAD</t>
  </si>
  <si>
    <t>H S S Of Jesus Kothad | Ernakulam Website | India</t>
  </si>
  <si>
    <t>HSS OF JESUS KOTHAD was established in 1903 and it is managed by the Pvt. Aided. It is located in Rural area. It is located in ERNAKULAM block of ERNAKULAM district of Kerala. The school consists of Grades from 1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</si>
  <si>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SIM201469</t>
  </si>
  <si>
    <t>32010100416</t>
  </si>
  <si>
    <t>Floating House</t>
  </si>
  <si>
    <t>Earth Movers</t>
  </si>
  <si>
    <t>GHSS PAIVALIKE
NAGAR</t>
  </si>
  <si>
    <t>Kasaragod</t>
  </si>
  <si>
    <t>GHSS PAIVALIKE NAGAR was established in 1904 and it is managed by the Department of Education. It is located in Rural area. It is located in MANJESHWAR block of KASARAGOD district of Kerala. The school consists of Grades from 1 to 12. The school is Co-educational and it doesn't have an attached pre-primary section. The school is Not Applicable in nature and is not using school building as a shift-school. Kannada is the medium of instructions in this school. This school is approachable by all weather road. In this school academic session starts in April.</t>
  </si>
  <si>
    <t>SIM174800</t>
  </si>
  <si>
    <t>Smart cane</t>
  </si>
  <si>
    <t>Elemental
Crystals</t>
  </si>
  <si>
    <t>SIM137101</t>
  </si>
  <si>
    <t>33030903024</t>
  </si>
  <si>
    <t>An automatic door lock
system</t>
  </si>
  <si>
    <t>ALWAYS
WINNERS</t>
  </si>
  <si>
    <t>ST. DOMINICS ANGLO -
INDIAN HSS</t>
  </si>
  <si>
    <t>St Dominic Anglo Indian Hss, Mount - St.Thomas Mount Kancheepuram (Tamil Nadu)</t>
  </si>
  <si>
    <t>St Dominic Anglo Indian HSS, Mount was established in 1901 and it is managed by the Pvt. Aided. It is located in Urban area. It is located in St.Thomas Mount (Urban) block of KANCHEEPURAM district of Tamil Nadu. The school consists of Grades from 1 to 12. The school is Girls and it doesn't have an attached pre-primary section. The school is N/A in nature and is not using school building as a shift-school. English is the medium of instructions in this school. This school is approachable by all weather road. In this school academic session starts in April.</t>
  </si>
  <si>
    <t>SIM231410</t>
  </si>
  <si>
    <t>33122100403</t>
  </si>
  <si>
    <t>Wind Car</t>
  </si>
  <si>
    <t>Windcar</t>
  </si>
  <si>
    <t>KENDRIYA VIDYALAYA
SULUR</t>
  </si>
  <si>
    <t>G V Tanish Vettrivel participated in Young Scientist Programme under YUVIKA at ISRO Vikram Sarabhai Centre, Thiruvananthapuram. Selected as 1 of only 10 students from Tamil Nadu Region.</t>
  </si>
  <si>
    <t>SIM190770</t>
  </si>
  <si>
    <t>Ushamantar</t>
  </si>
  <si>
    <t>USHAMANTAR</t>
  </si>
  <si>
    <t>SIM161633</t>
  </si>
  <si>
    <t>29260703003</t>
  </si>
  <si>
    <t>PTFA[Perfect Traffic
Light For All]</t>
  </si>
  <si>
    <t>The Smart
Buddies</t>
  </si>
  <si>
    <t>ST JOSEPHS CENTRAL
SCHOOL</t>
  </si>
  <si>
    <t>SIM97358</t>
  </si>
  <si>
    <t>Replate (Food Equity:
Leftover
Redistribution
Network)</t>
  </si>
  <si>
    <t>Catevine</t>
  </si>
  <si>
    <t>SIM152209</t>
  </si>
  <si>
    <t>32100201605</t>
  </si>
  <si>
    <t>Gren</t>
  </si>
  <si>
    <t>A and K</t>
  </si>
  <si>
    <t>GVHSS THIDANAD</t>
  </si>
  <si>
    <t>Gvhss Thidanadu - Kondoor Kottayam (Kerala)</t>
  </si>
  <si>
    <t>GVHSS THIDANADU was established in 1914 and it is managed by the Department of Education. It is located in Rural area. It is located in ERATTUPETTA block of KOTTAYAM district of Kerala. The school consists of Grades from 1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</si>
  <si>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SIM144218</t>
  </si>
  <si>
    <t>03170511501</t>
  </si>
  <si>
    <t>Smart and resilient
cities</t>
  </si>
  <si>
    <t>Techno Titans
future
innovators 2</t>
  </si>
  <si>
    <t>KENDRIYA VIDYALAYA
NO II DMW PATIALA</t>
  </si>
  <si>
    <t>KV BADDOWAL CANTT, 17 FAD, BADDOWAL, LUDHIANA, PUNJAB-142021</t>
  </si>
  <si>
    <t>SIM07659</t>
  </si>
  <si>
    <t>08250404604</t>
  </si>
  <si>
    <t>Smart gloves</t>
  </si>
  <si>
    <t>Pythagoras</t>
  </si>
  <si>
    <t>SWAMI VIVEKANAND
GOVERNMENT MODEL
SCHOOL
KUMBHALGARH</t>
  </si>
  <si>
    <t>Block - Taladri, Rajsamand</t>
  </si>
  <si>
    <t>©2022. Website Developed &amp; Designed by Egurukulrajasthan</t>
  </si>
  <si>
    <t>SIM03181</t>
  </si>
  <si>
    <t>33020801713</t>
  </si>
  <si>
    <t>Multifunctional energy
box (mfb)</t>
  </si>
  <si>
    <t>INNOVATIVE
FUMES</t>
  </si>
  <si>
    <t>AMRITA VIDYALAYAM</t>
  </si>
  <si>
    <t>Heartbeats Of Hope: Uplifting The People In One Of India’S Most Underdeveloped S</t>
  </si>
  <si>
    <t>M. A. Math, 132, Arcot Road, Virugambakkam (Near Avichi School), Chennai 600092 Tamil Nadu</t>
  </si>
  <si>
    <t>SIM176168</t>
  </si>
  <si>
    <t>28173700809</t>
  </si>
  <si>
    <t>Automated fertilizer
dispensing system</t>
  </si>
  <si>
    <t>ISSAC
NEWTON</t>
  </si>
  <si>
    <t>NARAYANA EM
SCHOOL</t>
  </si>
  <si>
    <t>Select</t>
  </si>
  <si>
    <t>NARAYANA EM SCHOOL (28163791230), Krishna District, Government of Andhra Pradesh, India | The Collectorate is divided into 8 sections as per the administrative reforms taken up by the Government of Andhra Pradesh. An alphabet letter is given to each section for easy reference. | The Collectorate is divided into 4 sections as per the Administrative Reforms taken up by the Government of Andhra Pradesh. | Demography - 2011, Krishna District, Government of Andhra Pradesh, India</t>
  </si>
  <si>
    <t>SIM221418</t>
  </si>
  <si>
    <t>28231191665</t>
  </si>
  <si>
    <t>Smart spectacles for
blind people</t>
  </si>
  <si>
    <t>A P J KALAM</t>
  </si>
  <si>
    <t>PM SHRI KENDRIYA
VIDYALAYA NO 1
TIRUPATI</t>
  </si>
  <si>
    <t>KENDRIYA VIDYALAYA NO 1 Hare Krishna Road, near Iskcon Temple, MCR Colony, Ram Nagar Area, Tirupati, Andhra Pradesh 517507</t>
  </si>
  <si>
    <t>SIM124332</t>
  </si>
  <si>
    <t>07090915901</t>
  </si>
  <si>
    <t>Urban Harvest</t>
  </si>
  <si>
    <t>PM SHRI KENDRIYA
VIDYALAYA ANDREWS
GANJ</t>
  </si>
  <si>
    <t>Content Owned by PMShri Kendriya Vidyalaya Andrewsganj Shift 1 New Delhi</t>
  </si>
  <si>
    <t>SIM206427</t>
  </si>
  <si>
    <t>SSE (safe secure
elevator) the sentinel</t>
  </si>
  <si>
    <t>SSE THE
SENTINEL</t>
  </si>
  <si>
    <t>SIM216879</t>
  </si>
  <si>
    <t>24091501738</t>
  </si>
  <si>
    <t>Iot based modern
farming</t>
  </si>
  <si>
    <t>CreativeSolver
s</t>
  </si>
  <si>
    <t>MARKAZ PUBLIC
SCHOOL</t>
  </si>
  <si>
    <t>Markaz Public School - Upleta Rajkot (Gujrat)</t>
  </si>
  <si>
    <t>MARKAZ PUBLIC SCHOOL was established in 2014 and it is managed by the Pvt. Unaided. It is located in Urban area. It is located in UPLETA block of RAJKOT district of Gujrat. The school consists of Grades from 1 to 5. The school is Co-educational and it doesn't have an attached pre-primary section. The school is N/A in nature and is not using school building as a shift-school. Gujarati is the medium of instructions in this school. This school is approachable by all weather road. In this school academic session starts in April.</t>
  </si>
  <si>
    <t>SIM47272</t>
  </si>
  <si>
    <t>01041100208</t>
  </si>
  <si>
    <t>Project Title: Cleanbot:
Autonomous Indoor
Garbage Collector</t>
  </si>
  <si>
    <t>Iqbal</t>
  </si>
  <si>
    <t>HSS ARIGAM</t>
  </si>
  <si>
    <t>Hss Arigam - Arigam Badgam (Jammu And Kashmir)</t>
  </si>
  <si>
    <t>HSS ARIGAM was established in 1931 and it is managed by the Department of Education. It is located in Rural area. It is located in KHANSAHIB block of BADGAM district of Jammu and Kashmir. The school consists of Grades from 9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</si>
  <si>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SIM178177</t>
  </si>
  <si>
    <t>01140500101</t>
  </si>
  <si>
    <t>Eco-Link: Community-
Driven Biodiversity
Corridors</t>
  </si>
  <si>
    <t>Issac Newton</t>
  </si>
  <si>
    <t>GOVT HSS HATLI</t>
  </si>
  <si>
    <t>Govt. Hr. Sec. School Hatli - Hatli Kathua (Jammu And Kashmir)</t>
  </si>
  <si>
    <t>GOVT. HR. SEC. SCHOOL HATLI was established in 1907 and it is managed by the Department of Education. It is located in Rural area. It is located in LAKHANPUR block of KATHUA district of Jammu and Kashmir. The school consists of Grades from 1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</si>
  <si>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SIM167740</t>
  </si>
  <si>
    <t>Smart Helmet</t>
  </si>
  <si>
    <t>Technical
Avengers</t>
  </si>
  <si>
    <t>New Blossom Education Society, Lager Road, Yesvantpur Suburb Stage 2, Peenya Industrial Area Phase 2, Bengaluru, Karnataka, 560058</t>
  </si>
  <si>
    <t>SIM184274</t>
  </si>
  <si>
    <t>29260909205</t>
  </si>
  <si>
    <t>Soil Free Planter</t>
  </si>
  <si>
    <t>Einstein</t>
  </si>
  <si>
    <t>GHPS HADINARU
MOLE</t>
  </si>
  <si>
    <t>Government Higher Primary School Hadinaru Mole - Hadinaru Mysuru (Karnataka)</t>
  </si>
  <si>
    <t>GOVERNMENT HIGHER PRIMARY SCHOOL HADINARU MOLE was established in 1968 and it is managed by the Department of Education. It is located in Rural area. It is located in NANJANAGUD block of MYSURU district of Karnataka. The school consists of Grades from 1 to 7.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</si>
  <si>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SIM154352</t>
  </si>
  <si>
    <t>29010305317</t>
  </si>
  <si>
    <t>Multipurpose
Automatic Crop
Protector</t>
  </si>
  <si>
    <t>aryabhatta</t>
  </si>
  <si>
    <t>GOVERNMENT
HIGHSCHOOL
RAMATEERTHANAGA
R</t>
  </si>
  <si>
    <t>Government High School Ramteerth Nagar - W.No.53.Bgm.City. Belagavi (Karnataka)</t>
  </si>
  <si>
    <t>GOVERNMENT HIGH SCHOOL RAMTEERTH NAGAR - W.no.53.bgm.city. District Belagavi (Karnataka)</t>
  </si>
  <si>
    <t>SIM08881</t>
  </si>
  <si>
    <t>Empowering Farmers:
a Comprehensive E-
Commerce Solution for
Agricultural Challenges</t>
  </si>
  <si>
    <t>innovatech</t>
  </si>
  <si>
    <t>KENDRIYA VIDYALAYA,RUBBER BOARD P.O,KOTTAYAM-686009, KERALA STATE</t>
  </si>
  <si>
    <t>SIM40366</t>
  </si>
  <si>
    <t>32120500205</t>
  </si>
  <si>
    <t>Gas Alert Sensor</t>
  </si>
  <si>
    <t>NIMBUS</t>
  </si>
  <si>
    <t>MGHSS THUMPAMON</t>
  </si>
  <si>
    <t>Mghss, Thumpamon - Pandalam-Thekkekara Pathanamthitta (Kerala)</t>
  </si>
  <si>
    <t>MGHSS, THUMPAMON was established in 1949 and it is managed by the Pvt. Aided. It is located in Rural area. It is located in PANDALAM block of PATHANAMTHITTA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</si>
  <si>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SIM125339</t>
  </si>
  <si>
    <t>32130300402</t>
  </si>
  <si>
    <t>Incubator</t>
  </si>
  <si>
    <t>Rainbow</t>
  </si>
  <si>
    <t>EZHIPPURAMHSS</t>
  </si>
  <si>
    <t>Govt.Hss,South Ezhippuram | Ernakulam Website | India</t>
  </si>
  <si>
    <t>SIM146669</t>
  </si>
  <si>
    <t>23320216808</t>
  </si>
  <si>
    <t>Solar Connected
Bluetooth Speaker</t>
  </si>
  <si>
    <t>Mech Masters</t>
  </si>
  <si>
    <t>GHSS TUMDA</t>
  </si>
  <si>
    <t>Govt. Hss Tumda - Tumda Narsimhapur (Madhya Pradesh)</t>
  </si>
  <si>
    <t>GOVT. HSS TUMDA was established in 1964 and it is managed by the Department of Education. It is located in Rural area. It is located in SAIKHEDA block of NARSIMHAPUR district of Madhya Pradesh. The school consists of Grades from 9 to 12. The school is Co-educational and it doesn't have an attached pre-primary section. The school is Not Applicable in nature and is not using school building as a shift-school. Hindi is the medium of instructions in this school. This school is approachable by all weather road. In this school academic session starts in April.</t>
  </si>
  <si>
    <t>SIM184965</t>
  </si>
  <si>
    <t>08200209901</t>
  </si>
  <si>
    <t>Paddy cutting
harvester using solar
power</t>
  </si>
  <si>
    <t>CLASS 9</t>
  </si>
  <si>
    <t>GSSS RATADIYA</t>
  </si>
  <si>
    <t>G.Sec.S.,  Ratadiya - Ratadaiya Pali (Rajasthan)</t>
  </si>
  <si>
    <t>G.SEC.S., RATADIYA was established in 1960 and it is managed by the Department of Education. It is located in Rural area. It is located in RAIPUR block of PALI district of Rajasthan. The school consists of Grades from 1 to 12. The school is Co-educational and it doesn't have an attached pre-primary section. The school is Non-Ashram type (Govt.) in nature and is not using school building as a shift-school. Hindi is the medium of instructions in this school. This school is approachable by all weather road. In this school academic session starts in April.</t>
  </si>
  <si>
    <t>SIM168794</t>
  </si>
  <si>
    <t>08050610501</t>
  </si>
  <si>
    <t>Smart street light
sensing</t>
  </si>
  <si>
    <t>Kunjesh</t>
  </si>
  <si>
    <t>MGGS KHETRI</t>
  </si>
  <si>
    <t>Ysr , Kadapa (Cuddapah)</t>
  </si>
  <si>
    <t>SIM107042</t>
  </si>
  <si>
    <t>My idea is to stop
accidents on the
mountain road</t>
  </si>
  <si>
    <t>Charan and
team</t>
  </si>
  <si>
    <t>SIM55526</t>
  </si>
  <si>
    <t>09100108505</t>
  </si>
  <si>
    <t>Farmibid: Empowering
the nation from it's
roots.</t>
  </si>
  <si>
    <t>visinno8</t>
  </si>
  <si>
    <t>JAYPEE PUBLIC
SCHOOL NOIDA</t>
  </si>
  <si>
    <t>Wish Town, Jaypee Greens, Sector-128, Noida, Uttar Pradesh-201304</t>
  </si>
  <si>
    <t>SIM00668</t>
  </si>
  <si>
    <t>09681303919</t>
  </si>
  <si>
    <t>Hershield</t>
  </si>
  <si>
    <t>Craftoo</t>
  </si>
  <si>
    <t>BAL VIDYA MANDIR
SR SEC SCHOOL</t>
  </si>
  <si>
    <t>Jr. Wing: At- Near Pilibhit railway Station, Sugar factory Road, Pin no: 262001 Dist.-Pilibhit (Uttar Pradesh)</t>
  </si>
  <si>
    <t>SIM69452</t>
  </si>
  <si>
    <t>09020103613</t>
  </si>
  <si>
    <t>Seed sowing machine</t>
  </si>
  <si>
    <t>SeedSprout</t>
  </si>
  <si>
    <t>G D GOENKA PUBLIC
SCHOOL</t>
  </si>
  <si>
    <t>It ranks at the top in terms of quality of education, individual attention to students and infrastructure. The school ranks in the list of Top 5 Schools of Lucknow. It was rated the best CBSE School in Lucknow, in surveys conducted by Education World, Digital Learning Magazine, and ASSOCHAM for different years respectively. Our School emerged as the topmost school in the usage of modern technologies in entire North India, ranked as number one in all Uttar Pradesh state. | B-930, opp. Kukrail Bandha Road, Mahanagar, Lucknow, Uttar Pradesh 226006</t>
  </si>
  <si>
    <t>SIM15453</t>
  </si>
  <si>
    <t>28171801028</t>
  </si>
  <si>
    <t>Bio-degradable
waterproof gloves</t>
  </si>
  <si>
    <t>Kpd Warriors</t>
  </si>
  <si>
    <t>SIM202898</t>
  </si>
  <si>
    <t>24221531216</t>
  </si>
  <si>
    <t>Smart bridge</t>
  </si>
  <si>
    <t>smart
Technical</t>
  </si>
  <si>
    <t>SMT S H GAJERA
VIDHYABHAVAN
UTRAN</t>
  </si>
  <si>
    <t>Smt S H Gajera Gujarati Medium Primary School - Uttran Surat (Gujrat)</t>
  </si>
  <si>
    <t>SMT S H GAJERA GUJARATI MEDIUM PRIMARY SCHOOL was established in 2009 and it is managed by the Pvt. Unaided. It is located in Urban area. It is located in SURAT CORPO. block of SURAT district of Gujrat. The school consists of Grades from 1 to 8. The school is Co-educational and it have an attached pre-primary section. The school is N/A in nature and is not using school building as a shift-school. Gujarati is the medium of instructions in this school. This school is approachable by all weather road. In this school academic session starts in April.</t>
  </si>
  <si>
    <t>SIM15695</t>
  </si>
  <si>
    <t>01030401002</t>
  </si>
  <si>
    <t>Model to prevent Road
Accidents</t>
  </si>
  <si>
    <t>TeamRobo</t>
  </si>
  <si>
    <t>BHS CHATTABAL</t>
  </si>
  <si>
    <t>Bhs Chattabal - 25 - Chattabal Srinagar (Jammu And Kashmir)</t>
  </si>
  <si>
    <t>BHS CHATTABAL - 25 - Chattabal District Srinagar (Jammu And Kashmir)</t>
  </si>
  <si>
    <t>SIM182321</t>
  </si>
  <si>
    <t>29280502710</t>
  </si>
  <si>
    <t>Modified Hospital Bed</t>
  </si>
  <si>
    <t>EXPLORER</t>
  </si>
  <si>
    <t>PM SHRI KENDRIYA
VIDYALAYA MG RLY
COLONY</t>
  </si>
  <si>
    <t>SIM117789</t>
  </si>
  <si>
    <t>32061300111</t>
  </si>
  <si>
    <t>Automatic Rain
Sensing Car Wiper</t>
  </si>
  <si>
    <t>TEAM 1 AUPS
MALAMAKKA
VU</t>
  </si>
  <si>
    <t>AUPS MALAMAKKAVU</t>
  </si>
  <si>
    <t>Aups Malamakavu - Anakkara Palakkad (Kerala)</t>
  </si>
  <si>
    <t>AUPS MALAMAKAVU was established in 1949 and it is managed by the Pvt. Aided. It is located in Rural area. It is located in THRITHALA block of PALAKKAD district of Kerala. The school consists of Grades from 5 to 7.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</si>
  <si>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SIM205614</t>
  </si>
  <si>
    <t>32060200307</t>
  </si>
  <si>
    <t>Amrutham Nuutrimix
Plus</t>
  </si>
  <si>
    <t>Explorers</t>
  </si>
  <si>
    <t>SMMHS</t>
  </si>
  <si>
    <t>Smmhs Pazhambalacode - Tarur Palakkad (Kerala)</t>
  </si>
  <si>
    <t>The scholarship amount of Rs. 12000/- per annum is provided so that they could continue their secondary education in Government or Aided schools under Government of kerala other than special or residential schools.</t>
  </si>
  <si>
    <t>SIM229143</t>
  </si>
  <si>
    <t>32140300311</t>
  </si>
  <si>
    <t>Iku:Intelligent Kinetic
Utiliser</t>
  </si>
  <si>
    <t>KENDRIYA VIDYALAYA
CRPF PALLIPURAM</t>
  </si>
  <si>
    <t>SIM127209</t>
  </si>
  <si>
    <t>Traffic Management
and Air Pollution
Monitoring</t>
  </si>
  <si>
    <t>CitySync Crew</t>
  </si>
  <si>
    <t>SIM207908</t>
  </si>
  <si>
    <t>34020202003</t>
  </si>
  <si>
    <t>Word wheels-a
gamified solution for
enhancing english
pronunciation skills</t>
  </si>
  <si>
    <t>QUANTUM
SPARKS</t>
  </si>
  <si>
    <t>GHSS
KARAYAMPUTHUR</t>
  </si>
  <si>
    <t>Ghss Karayamputhur - Karaiyamputhur Pondicherry (Puducherry)</t>
  </si>
  <si>
    <t>GHSS KARAYAMPUTHUR was established in 1950 and it is managed by the Department of Education. It is located in Rural area. It is located in BRC-2 block of PONDICHERRY district of Puducherry. The school consists of Grades from 6 to 12. The school is Co-educational and it doesn't have an attached pre-primary section. The school is Not Applicable in nature and is not using school building as a shift-school. Tamil is the medium of instructions in this school. This school is approachable by all weather road. In this school academic session starts in April.</t>
  </si>
  <si>
    <t>SIM138469</t>
  </si>
  <si>
    <t>36280601205</t>
  </si>
  <si>
    <t>Solar power based
sand water filter</t>
  </si>
  <si>
    <t>faraday</t>
  </si>
  <si>
    <t>ZPHS VELDANDA
GIRLS</t>
  </si>
  <si>
    <t>Zphs Veldanda (Girls) - Veldanda Mahbubnagar (Telangana)</t>
  </si>
  <si>
    <t>ZPHS VELDANDA (GIRLS) was established in 2003 and it is managed by the Local body. It is located in Rural area. It is located in VELDANDA block of MAHBUBNAGAR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</si>
  <si>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SIM160005</t>
  </si>
  <si>
    <t>Agro innovate</t>
  </si>
  <si>
    <t>Agro Innovate</t>
  </si>
  <si>
    <t>SIM173927</t>
  </si>
  <si>
    <t>Agripath</t>
  </si>
  <si>
    <t>Agri Path</t>
  </si>
  <si>
    <t>SIM222644</t>
  </si>
  <si>
    <t>19191010801</t>
  </si>
  <si>
    <t>Auto River Cleaner</t>
  </si>
  <si>
    <t>Team Auto
River Cleaner</t>
  </si>
  <si>
    <t>SIMULBERIA
JOGENDRA VIDYAPITH
(H.S.) PURBA
MEDINIPUR</t>
  </si>
  <si>
    <t>Simulberia Jogendra Vidyapith (H.S) - Chaitnyapur Purba Medinipur (West Bengal)</t>
  </si>
  <si>
    <t>SIMULBERIA JOGENDRA VIDYAPITH (H.S) was established in 1964 and it is managed by the Department of Education. It is located in Rural area. It is located in SUTAHATA block of PURBA MEDINIPUR district of West Bengal. The school consists of Grades from 5 to 12. The school is Co-educational and it doesn't have an attached pre-primary section. The school is N/A in nature and is not using school building as a shift-school. Bengali is the medium of instructions in this school. This school is approachable by all weather road. In this school academic session starts in April.</t>
  </si>
  <si>
    <t>SIM14538</t>
  </si>
  <si>
    <t>Smart House Voice
Operating Lights</t>
  </si>
  <si>
    <t>SchoolSphereI
nnovators</t>
  </si>
  <si>
    <t>SIM07887</t>
  </si>
  <si>
    <t>06211012353</t>
  </si>
  <si>
    <t>Pollution Filtration
And Electricity
Generation Using Dc
Motors, Turbines, And
Traffic Management
With Ldr Sensors</t>
  </si>
  <si>
    <t>Gpps 04</t>
  </si>
  <si>
    <t>GOLAYA PROGRESSIVE
PUBLIC SCHOOL</t>
  </si>
  <si>
    <t>() Tj</t>
  </si>
  <si>
    <t>SIM175254</t>
  </si>
  <si>
    <t>32040200109</t>
  </si>
  <si>
    <t>Smart Washing
Machines: A
Sustainable Solution
for Resource Efficiency</t>
  </si>
  <si>
    <t>KIRALUR UPS</t>
  </si>
  <si>
    <t>KIRALUR AUP SCHOOL</t>
  </si>
  <si>
    <t>Kiralur Aups Kakkodi - Kakkodi Kozhikode (Kerala)</t>
  </si>
  <si>
    <t>KIRALUR AUPS KAKKODI was established in 1957 and it is managed by the Pvt. Aided. It is located in Rural area. It is located in CHELANNUR block of KOZHIKODE district of Kerala. The school consists of Grades from 1 to 7.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</si>
  <si>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SIM189217</t>
  </si>
  <si>
    <t>32080101711</t>
  </si>
  <si>
    <t>Bioplastic Production
from Agricultural by-
Products - Reducing
Plastic Waste with
Sustainable
Alternatives</t>
  </si>
  <si>
    <t>DIAMOND</t>
  </si>
  <si>
    <t>SNDP HSS ALUVA</t>
  </si>
  <si>
    <t>S N D P H S S Aluva | Ernakulam Website | India</t>
  </si>
  <si>
    <t>SNDP HSS ALUVA was established in 1954 and it is managed by the Pvt. Aided. It is located in Urban area. It is located in ALUVA block of ERNAKULAM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</si>
  <si>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SIM158943</t>
  </si>
  <si>
    <t>32131000608</t>
  </si>
  <si>
    <t>Oxygen Elevator
Rescue System</t>
  </si>
  <si>
    <t>EARTH</t>
  </si>
  <si>
    <t>RBM UPS</t>
  </si>
  <si>
    <t>Rbmups Kariyara - Vilakudy Kollam (Kerala)</t>
  </si>
  <si>
    <t>RBMUPS KARIYARA was established in 1979 and it is managed by the Pvt. Aided. It is located in Rural area. It is located in PUNALUR block of KOLLAM district of Kerala. The school consists of Grades from 5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</si>
  <si>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SIM210508</t>
  </si>
  <si>
    <t>23320214204</t>
  </si>
  <si>
    <t>Automatic Ladder for
the Old Age People in
Indian Railways</t>
  </si>
  <si>
    <t>Technocrates</t>
  </si>
  <si>
    <t>CARMEL CONVENT
SENIOR SECONDARY
SCHOOL</t>
  </si>
  <si>
    <t>SIM02653</t>
  </si>
  <si>
    <t>Safeway</t>
  </si>
  <si>
    <t>CURIOUS
INNOVATORS</t>
  </si>
  <si>
    <t>SIM217609</t>
  </si>
  <si>
    <t>21271400506</t>
  </si>
  <si>
    <t>Smart safety and
accessibility systems
for railways and
transportation</t>
  </si>
  <si>
    <t>innovation</t>
  </si>
  <si>
    <t>PM SHRI KV
RAYAGADA</t>
  </si>
  <si>
    <t>SIM100371</t>
  </si>
  <si>
    <t>33122100804</t>
  </si>
  <si>
    <t>Decompose and
recycle of plastic
[drop]</t>
  </si>
  <si>
    <t>Team D</t>
  </si>
  <si>
    <t>AIDED KADRI MILLS
HIGHER SECONDARY
SCHOOL
OTTARPALAYAM</t>
  </si>
  <si>
    <t>AIDED KADIR MILLS HIGHER SECONDARY SCHOOL OTTARPALAYAM was established in 1954 and it is managed by the Pvt. Aided. It is located in Rural area. It is located in SULUR block of COIMBATORE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</si>
  <si>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SIM121399</t>
  </si>
  <si>
    <t>33050104517</t>
  </si>
  <si>
    <t>The smart traffic light
system</t>
  </si>
  <si>
    <t>Transport and
Communicatio
n</t>
  </si>
  <si>
    <t>KENDRIYA VIDYALAYA
DHARMAPURI</t>
  </si>
  <si>
    <t>Kendriya Vidyalaya School – Dharmapuri | Dharmapuri , Government Of Tamil Nadu | India</t>
  </si>
  <si>
    <t>SIM207885</t>
  </si>
  <si>
    <t>09410109512</t>
  </si>
  <si>
    <t>Electric pole current
alarm</t>
  </si>
  <si>
    <t>curiousminds</t>
  </si>
  <si>
    <t>KENDRIYA VIDYALAYA
CHITRAKOOT</t>
  </si>
  <si>
    <t>Kendriya Vidyalaya Chitrakoot was established in 2011 on the initiative of the State Government to fulfill the educational needs of the children of Chitrakoot district of Uttar Pradesh state. Earlier this temporary building ranabaserea was operated in Sitapur and from 04-07-2018, the Government Girls Inter College is running in this temporary building in Karvi, Chitrakoot. As a result of the enthusiastic response of the people of the region, the session has reached class 10th in 2016-17. Class 11 Science and Humanities began in the session 2018-19. In the session 2019-20 class XII begins with Science and Humanities. Kendriya Vidyalaya Chitrakoot is running with the following objectives of Kendriya Vidyalaya Sangathan:</t>
  </si>
  <si>
    <t>SIM123880</t>
  </si>
  <si>
    <t>28184201608</t>
  </si>
  <si>
    <t>IoT based irrigation
project</t>
  </si>
  <si>
    <t>Sim 5</t>
  </si>
  <si>
    <t>APSWR JC KONDEPI</t>
  </si>
  <si>
    <t>Apswries Kondapi | Prakasam , Government Of Andhra Pradesh | India</t>
  </si>
  <si>
    <t>APSWRS Kondepi also known as APSWRS Kondepi. The school was established in 2002. It is managed by Andhra Pradesh Social Welfare Residential Educational Institutions Society.</t>
  </si>
  <si>
    <t>SIM23895</t>
  </si>
  <si>
    <t>29300111604</t>
  </si>
  <si>
    <t>Safest Vehicle</t>
  </si>
  <si>
    <t>ATL
AVENGERS</t>
  </si>
  <si>
    <t>KLE SOCIETYS SMT C B
RANAMODE SCHOOL
BELGAUM</t>
  </si>
  <si>
    <t>Tyagaveer Sirasangi Lingaraj College Road, Belagavi-590001, Karnataka | With 300 institutions spread across Karnataka, Maharashtra and Goa, each narrating their own amazing stories of enriching people’s lives, a harmony exists that is very palpable. Our alumni, settled in different parts of the world are a testimony to our achievements and endeavors and are ambassadors promoting the ‘Brand KLE’ throughout the world. Unmindful of the constraints, KLE ensures that every individual with a desire to learn, irrespective of which strata he/she belongs to in the society has access to infrastructure of international standards. Our well equipped hostels with modern facilities enable every student to enrich himself physically and mentally as well. To ensure that every student is keeping up with the latest developments in technology and the world, all the campuses house internet and IT facilities. | Karnatak Lingayat Education Society, Tyagaveer Sirasangi Lingaraj College Road, Belagavi-590001, Karnataka</t>
  </si>
  <si>
    <t>SIM168179</t>
  </si>
  <si>
    <t>29100809403</t>
  </si>
  <si>
    <t>X Survivor</t>
  </si>
  <si>
    <t>Techno
Hunters AP</t>
  </si>
  <si>
    <t>HOLY ROSARY
CONVENT HIGH
SCHOOL</t>
  </si>
  <si>
    <t>Holy Rosary Convent High School - Ward-2(Bandegadde) Uttara Kannada (Karnataka)</t>
  </si>
  <si>
    <t>HOLY ROSARY CONVENT HIGH SCHOOL - Ward-2(bandegadde) District Uttara Kannada (Karnataka)</t>
  </si>
  <si>
    <t>SIM04727</t>
  </si>
  <si>
    <t>Smart Hand Gloves For
Paralysis Patients</t>
  </si>
  <si>
    <t>Mech Maniacs</t>
  </si>
  <si>
    <t>SIM189862</t>
  </si>
  <si>
    <t>29200303618</t>
  </si>
  <si>
    <t>Green Implanting
Project</t>
  </si>
  <si>
    <t>Capsule Corp
Innovators</t>
  </si>
  <si>
    <t>ROYALE CONCORDE
INTERNATIONAL
SCHOOL</t>
  </si>
  <si>
    <t>Member Of Parliament Mandya</t>
  </si>
  <si>
    <t>SIM60117</t>
  </si>
  <si>
    <t>32071001001</t>
  </si>
  <si>
    <t>Remote Controlled
Solar Grass Cutter</t>
  </si>
  <si>
    <t>CREATIVE
EXPLORERS</t>
  </si>
  <si>
    <t>UPS KALARIPARAMBA</t>
  </si>
  <si>
    <t>Ups Kalariparamba Mathilakam - Pappinivattom Thrissur (Kerala)</t>
  </si>
  <si>
    <t>UPS KALARIPARAMBA MATHILAKAM was established in 1928 and it is managed by the Pvt. Aided. It is located in Rural area. It is located in MATHILAKAM block of THRISSUR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</si>
  <si>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SIM169567</t>
  </si>
  <si>
    <t>32090300409</t>
  </si>
  <si>
    <t>Better Tomorrow.</t>
  </si>
  <si>
    <t>Eureca</t>
  </si>
  <si>
    <t>GANDHIJI ENGLISH
MEDIUM HS
SANTHIGRAM</t>
  </si>
  <si>
    <t>Gemhs Santhigram - Kalkoonthal Idukki (Kerala)</t>
  </si>
  <si>
    <t>GEMHS SANTHIGRAM was established in 2011 and it is managed by the Department of Education. It is located in Rural area. It is located in KATTAPPANA block of IDUKKI district of Kerala. The school consists of Grades from 1 to 10. The school is Co-educational and it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</si>
  <si>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SIM11419</t>
  </si>
  <si>
    <t>08240327905</t>
  </si>
  <si>
    <t>Smart attendance
system</t>
  </si>
  <si>
    <t>SvgmsShahpur
aboys</t>
  </si>
  <si>
    <t>SWAMI VIVEKANAND
GOVT MODEL SCHOOL
SHAHPURA</t>
  </si>
  <si>
    <t>Established in year 2014, MODAL SCHOOL BLOCK SHAHPURA is located in Urban area of Rajasthan state of India. In Ward No.25 area of Shahpura block of Bhilwara district. Area pincode is 311404.School is providing Upper Primary, Secondary, High Secondary (6-12) level education and is being managed by Department of Education.Medium of instruction is English, Hindi language and school is Co-educational.School is affiliated with Central Board of Secondary Education (CBSE) for both secondary and high secondary level. Since July 2024 as per the state government ordered to start primary classes, now classes 1 to 5 are also started. | Swami Vivekanand Government Model School Shahpura is one of the foremost model schools, established at the initial stage of the first phase in 2014 of the model school concept. Model schools were established by central government in educationally backward area in Rajasthan. The school is permanently affiliated to CBSE New Delhi. Our school is equipped with all kinds of ultra modern infrastructural facilities as par the premium standards. All the government schemes for education are implemented in the schools. The school is working as “the Central of Excellence” in the field of education.</t>
  </si>
  <si>
    <t>SIM73744</t>
  </si>
  <si>
    <t>33030701503</t>
  </si>
  <si>
    <t>AI IOT FUTURE NEXUS</t>
  </si>
  <si>
    <t>OMEGA
KANDIGAIANS</t>
  </si>
  <si>
    <t>GOVERNMENT
HIGHER SECONDARY
KANDIGAI</t>
  </si>
  <si>
    <t>Govt Hss, K G Kandigai - K G Kandigai Thiruvallur (Tamil Nadu)</t>
  </si>
  <si>
    <t>GOVT HSS, K G KANDIGAI was established in 1938 and it is managed by the Department of Education. It is located in Rural area. It is located in TIRUTTANI block of THIRUVALLUR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</si>
  <si>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SIM193124</t>
  </si>
  <si>
    <t>33292001905</t>
  </si>
  <si>
    <t>AI autoguard printing
system</t>
  </si>
  <si>
    <t>PVM
Safehands
Crew</t>
  </si>
  <si>
    <t>PUSHPALATA VIDYA
MANDIR</t>
  </si>
  <si>
    <t>SIM95280</t>
  </si>
  <si>
    <t>33020801206</t>
  </si>
  <si>
    <t>Acceleration Break
Feedback On Tale Of
The Vehicle .</t>
  </si>
  <si>
    <t>DISCOVERY
DEN</t>
  </si>
  <si>
    <t>PCKG GOVT HSS
KODAMBAKKAM</t>
  </si>
  <si>
    <t>Pckg Govt Hss Kodambakkam - Ward 122 Chennai (Tamil Nadu)</t>
  </si>
  <si>
    <t>PCKG GOVT HSS KODAMBAKKAM - Ward 122 District Chennai (Tamil Nadu)</t>
  </si>
  <si>
    <t>SIM201449</t>
  </si>
  <si>
    <t>36210200306</t>
  </si>
  <si>
    <t>Worm tower</t>
  </si>
  <si>
    <t>Vigyan Vikas</t>
  </si>
  <si>
    <t>PM SHRI KENRIYA
VIDYALAYA NO 2 AFA</t>
  </si>
  <si>
    <t>SIM200489</t>
  </si>
  <si>
    <t>36090991201</t>
  </si>
  <si>
    <t>Smart indicator for
school bus</t>
  </si>
  <si>
    <t>EAGLES</t>
  </si>
  <si>
    <t>S C AIDED HIGH
SCHOOL YELLANDU</t>
  </si>
  <si>
    <t>Sc Aided Hs Yellandu - Yellandu (U) Khammam (Telangana)</t>
  </si>
  <si>
    <t>SC AIDED HS YELLANDU was established in 1976 and it is managed by the Pvt. Aided. It is located in Urban area. It is located in YELLANDU block of KHAMMAM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</si>
  <si>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SIM206851</t>
  </si>
  <si>
    <t>17020317202</t>
  </si>
  <si>
    <t>Solar water heater
project</t>
  </si>
  <si>
    <t>Loyola
Students A</t>
  </si>
  <si>
    <t>LOYOLA SECONDARY
SCHOOL</t>
  </si>
  <si>
    <t>Loyola Secondary School - Dawa Nengjata  East Garo Hills (Meghalaya)</t>
  </si>
  <si>
    <t>&lt;p&gt;&lt;span style="color: #800080;"&gt;&lt;strong&gt;Life skill training by ‘Aspire Meghalaya’&lt;/strong&gt;&lt;/span&gt;&lt;/p&gt;</t>
  </si>
  <si>
    <t>SIM00835</t>
  </si>
  <si>
    <t>06170200704</t>
  </si>
  <si>
    <t>Peizoelectric Shoes,
Peizoelectric Floor</t>
  </si>
  <si>
    <t>nexux ninjas</t>
  </si>
  <si>
    <t>CANAL VALLEY
PUBLIC SCHOOL</t>
  </si>
  <si>
    <t>Plot No. 78, Bhagwan Mahaveer Marg, Sector 44, Gurugram, Haryana 122003</t>
  </si>
  <si>
    <t>SIM229289</t>
  </si>
  <si>
    <t>Self Parking System</t>
  </si>
  <si>
    <t>Self Parking
System</t>
  </si>
  <si>
    <t>SIM125304</t>
  </si>
  <si>
    <t>01030100927</t>
  </si>
  <si>
    <t>Smart Blind Curve
Negotiation
Mechanism</t>
  </si>
  <si>
    <t>KOTHIBAGH
INNOVATORS</t>
  </si>
  <si>
    <t>GOVT GIRLS HIGHER
SECONDARY SCHOOL
KOTHIBAGH</t>
  </si>
  <si>
    <t>Govt. Girls Higher Secondary Kothibagh - 4 - Lal Chowk Srinagar (Jammu And Kashmir)</t>
  </si>
  <si>
    <t>GOVT. GIRLS HIGHER SECONDARY KOTHIBAGH - 4 - Lal Chowk District Srinagar (Jammu And Kashmir)</t>
  </si>
  <si>
    <t>SIM131214</t>
  </si>
  <si>
    <t>29180903209</t>
  </si>
  <si>
    <t>Wifi Operated Fully
Automated Goods
Delivery Robot</t>
  </si>
  <si>
    <t>DEVISION
EMPOWERED
BY
INNOVATION</t>
  </si>
  <si>
    <t>KENDRIYA VIDYALAYA
TUMKUR</t>
  </si>
  <si>
    <t>KENDRIYA VIDYALAYA NO.2, EKKUR, PO- KANKANADY, MANGALURU (KARNATAKA), PIN- 575002</t>
  </si>
  <si>
    <t>SIM172106</t>
  </si>
  <si>
    <t>32030101513</t>
  </si>
  <si>
    <t>Insect Repellent</t>
  </si>
  <si>
    <t>INNOVATORS
2</t>
  </si>
  <si>
    <t>GUPS NALLOORNADU</t>
  </si>
  <si>
    <t>Gups Nalloornadu - Porunnanoor Wayanad (Kerala)</t>
  </si>
  <si>
    <t>GUPS NALLOORNADU was established in 1969 and it is managed by the Department of Education. It is located in Rural area. It is located in MANANTHAVADY block of WAYANAD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</si>
  <si>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SIM167875</t>
  </si>
  <si>
    <t>32030200707</t>
  </si>
  <si>
    <t>Earldec</t>
  </si>
  <si>
    <t>HIGHER
SECONDARY</t>
  </si>
  <si>
    <t>JAYASREE HSS
KALLUVAYAL</t>
  </si>
  <si>
    <t>SIM218162</t>
  </si>
  <si>
    <t>32110800708</t>
  </si>
  <si>
    <t>Making Hydroponics
Lighting Better</t>
  </si>
  <si>
    <t>Hydroculture</t>
  </si>
  <si>
    <t>NSHS NEDUMUDY</t>
  </si>
  <si>
    <t>Nshss Nedumudy - Nedumudy Alappuzha (Kerala)</t>
  </si>
  <si>
    <t>NSHSS NEDUMUDY was established in 1916 and it is managed by the Pvt. Aided. It is located in Rural area. It is located in MONCOMPU block of ALAPPUZHA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</si>
  <si>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SIM127020</t>
  </si>
  <si>
    <t>32061000711</t>
  </si>
  <si>
    <t>Ecorocket: Next-Gen
Sustainable Satellite
Launch System</t>
  </si>
  <si>
    <t>Team
stdominics</t>
  </si>
  <si>
    <t>ST DOMINICS AUPS
EZHAKKAD</t>
  </si>
  <si>
    <t>. The school management sparked controversy after the death of Ashir Nanda, a class nine student of the school who hanged herself after writing a suicide note naming 5 teachers for mental torture and public humiliation. Almost all political parties in kerala organised protests against the school management.</t>
  </si>
  <si>
    <t>SIM54361</t>
  </si>
  <si>
    <t>32071300109</t>
  </si>
  <si>
    <t>Trash Tracker</t>
  </si>
  <si>
    <t>MAS</t>
  </si>
  <si>
    <t>LFGHS CHELAKKARA</t>
  </si>
  <si>
    <t>Lfghs Chelakkara - Chelakkara Thrissur (Kerala)</t>
  </si>
  <si>
    <t>LFGHS CHELAKKARA was established in 1930 and it is managed by the Pvt. Aided. It is located in Rural area. It is located in PAZHAYANNUR block of THRISSUR district of Kerala. The school consists of Grades from 5 to 12. The school is Girls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</si>
  <si>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SIM165339</t>
  </si>
  <si>
    <t>32041001510</t>
  </si>
  <si>
    <t>Oxyhydrogen Gas
Stove</t>
  </si>
  <si>
    <t>Galaxy</t>
  </si>
  <si>
    <t>BRINDAVANAM AUP
SCHOOL</t>
  </si>
  <si>
    <t>Brindavanam Aups - Menhaniam Kozhikode (Kerala)</t>
  </si>
  <si>
    <t>BRINDAVANAM AUPS was established in 1928 and it is managed by the Pvt. Aided. It is located in Rural area. It is located in PERAMBRA block of KOZHIKODE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</si>
  <si>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SIM191584</t>
  </si>
  <si>
    <t>32100100607</t>
  </si>
  <si>
    <t>Plastic to Fantastic</t>
  </si>
  <si>
    <t>KAVERI</t>
  </si>
  <si>
    <t>ST JOSEPH HIGH
SCHOOL PAIPPAD</t>
  </si>
  <si>
    <t>St. Joseph G.H.S Paippadu - Paippad Kottayam (Kerala)</t>
  </si>
  <si>
    <t>ST. JOSEPH G.H.S PAIPPADU was established in 1938 and it is managed by the Pvt. Aided. It is located in Rural area. It is located in CHANGANASSERY block of KOTTAYAM district of Kerala. The school consists of Grades from 1 to 10.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</si>
  <si>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SIM167094</t>
  </si>
  <si>
    <t>32060500506</t>
  </si>
  <si>
    <t>Controlled
Environment
Agriculture</t>
  </si>
  <si>
    <t>VRCMUPS
TEAM</t>
  </si>
  <si>
    <t>VRCMUPS VALLANGHY</t>
  </si>
  <si>
    <t>Vrcmups Vallengy - Nemmara Palakkad (Kerala)</t>
  </si>
  <si>
    <t>VRCMUPS VALLENGY was established in 1943 and it is managed by the Pvt. Aided. It is located in Rural area. It is located in KOLLENGODE block of PALAKKAD district of Kerala. The school consists of Grades from 1 to 7.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</si>
  <si>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SIM151452</t>
  </si>
  <si>
    <t>32070700201</t>
  </si>
  <si>
    <t>Mini Cool Pet Ac (Mcp)
Save Planet,Nurture
Future.</t>
  </si>
  <si>
    <t>SAS</t>
  </si>
  <si>
    <t>VHSS KARALAM</t>
  </si>
  <si>
    <t>SIM06260</t>
  </si>
  <si>
    <t>11040400101</t>
  </si>
  <si>
    <t>Automatic roof
enclosure</t>
  </si>
  <si>
    <t>ROOF
ENCLOSURE</t>
  </si>
  <si>
    <t>GOVERNMENT
CHUJACHEN SENIOR
SECONDARY SCHOOL
EAST SIKKIM</t>
  </si>
  <si>
    <t>Chujachen Sss - Chujachen East Sikkim (Sikkim)</t>
  </si>
  <si>
    <t>CHUJACHEN SSS was established in 1974 and it is managed by the Department of Education. It is located in Rural area. It is located in REGU block of EAST SIKKIM district of Sikkim. The school consists of Grades from 1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</si>
  <si>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SIM72611</t>
  </si>
  <si>
    <t>33290900907</t>
  </si>
  <si>
    <t>Ghee cutting machine</t>
  </si>
  <si>
    <t>Dalton</t>
  </si>
  <si>
    <t>GOVT HSS,VADAKKU
CHELIYANALLUR</t>
  </si>
  <si>
    <t>Govt Hss  Vadakku Chlianaloor         - Chelianallur Tirunelveli (Tamil Nadu)</t>
  </si>
  <si>
    <t>GOVT HSS VADAKKU CHLIANALOOR was established in 1997 and it is managed by the Department of Education. It is located in Rural area. It is located in MANUR block of TIRUNELVELI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</si>
  <si>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SIM212941</t>
  </si>
  <si>
    <t>28221000904</t>
  </si>
  <si>
    <t>Solar based medicine
sprayer</t>
  </si>
  <si>
    <t>TEAM2</t>
  </si>
  <si>
    <t>ZPHS
CHEEMALAVAGUPALL
I</t>
  </si>
  <si>
    <t>Zphs Cheemalavagu Palli - Narasapuram Anantapur (Andhra Pradesh)</t>
  </si>
  <si>
    <t>ZPHS CHEEMALAVAGU PALLI was established in 1951 and it is managed by the Local body. It is located in Rural area. It is located in PEDDAPAPPUR block of ANANTAPUR district of ANDHRA PRADESH.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</si>
  <si>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SIM223095</t>
  </si>
  <si>
    <t>28184100503</t>
  </si>
  <si>
    <t>Soil moisture monitor
ing system</t>
  </si>
  <si>
    <t>Vinay team</t>
  </si>
  <si>
    <t>ZPHS CHENNIPADU</t>
  </si>
  <si>
    <t>Zphs,Chennipadu  - Chennipadu Prakasam (Andhra Pradesh)</t>
  </si>
  <si>
    <t>ZPHS,CHENNIPADU was established in 2007 and it is managed by the Local body. It is located in Rural area. It is located in PONNALURU block of PRAKASAM district of ANDHRA PRADESH.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</si>
  <si>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SIM174363</t>
  </si>
  <si>
    <t>01161404219</t>
  </si>
  <si>
    <t>Automatic Car Parking
System</t>
  </si>
  <si>
    <t>AUTO PARK
SOLUTIONS</t>
  </si>
  <si>
    <t>NADIM MEMORIAL
GOVT BOYS HIGHER
SECONDARY SCHOOL
BANDIPORA</t>
  </si>
  <si>
    <t>SIM207395</t>
  </si>
  <si>
    <t>29250303704</t>
  </si>
  <si>
    <t>Sustainable Farming
;Soiless Cultivation of
Microgreens :</t>
  </si>
  <si>
    <t>SIR ISAAC
NEWTON</t>
  </si>
  <si>
    <t>GOVERNMENT HIGH
SCHOOL KONDANGERI</t>
  </si>
  <si>
    <t>Gov High School Kondangeri - Halugunda Kodagu (Karnataka)</t>
  </si>
  <si>
    <t>GOV HIGH SCHOOL KONDANGERI was established in 1994 and it is managed by the Department of Education. It is located in Rural area. It is located in VIRAJPET block of KODAGU district of Karnataka. The school consists of Grades from 9 to 10.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</si>
  <si>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SIM128338</t>
  </si>
  <si>
    <t>32030300601</t>
  </si>
  <si>
    <t>Smart Agricultural
Monitoring System for
Rural Villages</t>
  </si>
  <si>
    <t>Young techies</t>
  </si>
  <si>
    <t>GHSS
PADINHARATHARA</t>
  </si>
  <si>
    <t>Ghss Padinjarathara - Padinharathara Wayanad (Kerala)</t>
  </si>
  <si>
    <t>GHSS PADINJARATHARA was established in 1973 and it is managed by the Department of Education. It is located in Rural area. It is located in VYTHIRI block of WAYANAD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</si>
  <si>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SIM35783</t>
  </si>
  <si>
    <t>32081400404</t>
  </si>
  <si>
    <t>Solar Chinawala</t>
  </si>
  <si>
    <t>Eureka Squad</t>
  </si>
  <si>
    <t>SMHS</t>
  </si>
  <si>
    <t>S.M.H.S.S.,Cherai | Ernakulam Website | India</t>
  </si>
  <si>
    <t>COVID19 Kerala</t>
  </si>
  <si>
    <t>SIM03792</t>
  </si>
  <si>
    <t>Algobox</t>
  </si>
  <si>
    <t>Fast and
Furious</t>
  </si>
  <si>
    <t>SIM02269</t>
  </si>
  <si>
    <t>Renewable Energy-
Powered Microgrid</t>
  </si>
  <si>
    <t>idea ignitors</t>
  </si>
  <si>
    <t>SIM185343</t>
  </si>
  <si>
    <t>23460706804</t>
  </si>
  <si>
    <t>Automatic Water
Irrigation</t>
  </si>
  <si>
    <t>KALAM
INNOVATORS</t>
  </si>
  <si>
    <t>Name Of Head Quarter &amp; Its Distance From The Vidyalaya</t>
  </si>
  <si>
    <t>As per the policy of the Government, one Jawahar Navodaya Vidyalaya is to be established in each district. Accordingly, 62 new JNVs have been sanctioned during 2016-17 in various districts of the country. In addition to this,10 JNVs each have been sanctioned in districts having a large concentration of SC &amp; ST population. Besides this, 3 JNVs have been sanctioned in 03 districts i.e. Senapati-II (Manipur), Ukhrul-II (Manipur) &amp; Ratlam-II (Madhya Pradesh) as special case, bringing the total number of JNVs sanctioned to 661. Each Vidyalaya has provision for a full-fledged campus with sufficient building for classrooms, dormitories, staff-quarters, dining-hall and other infrastructural facilities viz. play-grounds, workshops, library and labs etc. The opening of new Navodaya Vidyalayas is based on the offer from the State Government to provide around 30 acres of suitable land (relaxable on case to case basis) free of cost, alongwith sufficient temporary accommodation to run the school till the completion of permanent Vidyalaya building. | Navodaya Vidyalaya Samiti A-135 A, Alkapuri, DRM Road, Habibganj, Bhopal - 462024 Madhya Pradesh</t>
  </si>
  <si>
    <t>SIM228561</t>
  </si>
  <si>
    <t>Eco-Drainage:
Compost-Powered
Water Management
Systems</t>
  </si>
  <si>
    <t>VehsSparker</t>
  </si>
  <si>
    <t>SIM209597</t>
  </si>
  <si>
    <t>27250509221</t>
  </si>
  <si>
    <t>Train Accident
Prevention System</t>
  </si>
  <si>
    <t>Manjari
Techno Beat</t>
  </si>
  <si>
    <t>KRUSHNAJI KHANDUJI
GHULE VIDYALAYA
MANJARI BK</t>
  </si>
  <si>
    <t>Krushnaji Khanduji Ghule Vidyalaya - Manjari Bk Pune (Maharashtra)</t>
  </si>
  <si>
    <t>KRUSHNAJI KHANDUJI GHULE VIDYALAYA was established in 1964 and it is managed by the Pvt. Aided. It is located in Rural area. It is located in HAVELI block of PUNE district of Maharashtra. The school consists of Grades from 5 to 12. The school is Co-educational and it doesn't have an attached pre-primary section. The school is N/A in nature and is not using school building as a shift-school. Marathi is the medium of instructions in this school. This school is approachable by all weather road. In this school academic session starts in April.</t>
  </si>
  <si>
    <t>SIM222596</t>
  </si>
  <si>
    <t>09100318301</t>
  </si>
  <si>
    <t>Agrimitra 4.0</t>
  </si>
  <si>
    <t>agrimitra</t>
  </si>
  <si>
    <t>GREATER NOIDA
WORLD SCHOOL
GAUTAM BUDDHA
NAGAR</t>
  </si>
  <si>
    <t>SIM25202</t>
  </si>
  <si>
    <t>28171500104</t>
  </si>
  <si>
    <t>Ambient street light
system</t>
  </si>
  <si>
    <t>ATL BOYS
SQUAD</t>
  </si>
  <si>
    <t>ZP HIGH SCHOOL
BHRUGUBANDA</t>
  </si>
  <si>
    <t>Zphs Bhrugubanda - Bhrugubanda Guntur (Andhra Pradesh)</t>
  </si>
  <si>
    <t>ZPHS BHRUGUBANDA was established in 1982 and it is managed by the Local body. It is located in Rural area. It is located in SATTENAPALLE block of GUNTUR district of ANDHRA PRADESH.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</si>
  <si>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SIM203254</t>
  </si>
  <si>
    <t>12080402802</t>
  </si>
  <si>
    <t>Ultrasonic farmers
alarm call</t>
  </si>
  <si>
    <t>ovi team</t>
  </si>
  <si>
    <t>VIVEKANANDA
KENDRA VIDYALAYA
OYAN</t>
  </si>
  <si>
    <t>Papumpare ,</t>
  </si>
  <si>
    <t>Vivekananda Kendra Vidyalayas Arunachal Pradesh Trust (VKVAPT) is running 44 Vidyalayas in Arunachal Pradesh. Since its inception in 1977, VKVs have been striving to provide an all-round nationalistic education to the tribal children of this remote Himalayan State of India. VKVs have been acknowledged throughout North-East India for their substantial contribution to improving the educational scenario in these States. A large number of 1st Generation learners, especially from poor tribal villages have emerged, working in various fields as Doctors, Engineers, Professionals in Fine Arts, Businessmen, and IAS Officers. | © 2022 Vivekananda Kendra Vidyalayas Arunachal Pradesh Trust. | Vivekananda Kendra has under Vivekananda Kendra Vidyalayas Arunachal Pradesh Trust (VKVAPT), 41 (Fourty One) Vidyalayas in Arunachal Pradesh. Since its inception in 1977, VKVs have been striving to provide an all-round nationalistic education to the tribal children of this remote Himalayan State of India. VKVs have been acknowledged throughout North-East India for their substantial contribution in improving the educational scenario in these States. A large number of 1st Generation learners, especially from poor tribal villages have emerged, working in various field as Doctors, Engineers, Professionals in Fine Arts, Businessmen, IAS Officers | The present Arunachal Pradesh was part of Assam and was known as the ‘North-East Frontier Agency (NEFA)’. It gained union territory status in 1972 and was renamed “Arunachal Pradesh”.It became a full-fledged State in 1987. Administratively the State is divided into 16 districts. The capital of the State is Itanagar in papumpare district. Arunachal Pradesh finds mention in the literature of Kalika Purana and Mahabharata. This place is the ‘Prabhu’ mountains of the Puranas. It was here that Sage Parasurama atoned for his sin, sage Vyasa meditated, king Bhishmaka founded his Kingdom and Lord Krishna married his consort Rukmini. The widely scattered archeological remains at different parts of the state bear testimony to its rich cultural heritage.</t>
  </si>
  <si>
    <t>SIM00893</t>
  </si>
  <si>
    <t>Solar efficient smart
city</t>
  </si>
  <si>
    <t>City Crafters</t>
  </si>
  <si>
    <t>SIM215795</t>
  </si>
  <si>
    <t>29280700407</t>
  </si>
  <si>
    <t>Homemade Portable
Oven for Home</t>
  </si>
  <si>
    <t>pmbteam</t>
  </si>
  <si>
    <t>GHS VIDYANAGARA</t>
  </si>
  <si>
    <t>Ghs Vidyanagara  - Vidyanagara Bengaluru U North (Karnataka)</t>
  </si>
  <si>
    <t>GHS VIDYANAGARA was established in 1993 and it is managed by the Department of Education. It is located in Urban area. It is located in NORTH4 block of BENGALURU U NORTH district of Karnataka. The school consists of Grades from 9 to 10.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</si>
  <si>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SIM32280</t>
  </si>
  <si>
    <t>32070601005</t>
  </si>
  <si>
    <t>Plastic Incinerator</t>
  </si>
  <si>
    <t>ALCHEMIST</t>
  </si>
  <si>
    <t>GKVHSS ERIYAD</t>
  </si>
  <si>
    <t>Gkvhss Eriyad - Eriyad Thrissur (Kerala)</t>
  </si>
  <si>
    <t>GKVHSS ERIYAD was established in 1912 and it is managed by the Department of Education. It is located in Rural area. It is located in KODUNGALLUR block of THRISSUR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</si>
  <si>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SIM214803</t>
  </si>
  <si>
    <t>32111100506</t>
  </si>
  <si>
    <t>Water Scarcity in
Ramankary
Panchayath</t>
  </si>
  <si>
    <t>Eco warriors</t>
  </si>
  <si>
    <t>NSS HSS RAMANKARY</t>
  </si>
  <si>
    <t>Nss Hss Ramankary - Ramankary Alappuzha (Kerala)</t>
  </si>
  <si>
    <t>NSS HSS RAMANKARY was established in 1938 and it is managed by the Pvt. Aided. It is located in Rural area. It is located in VELIYANADU block of ALAPPUZHA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</si>
  <si>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SIM188940</t>
  </si>
  <si>
    <t>Arduino Based Smart</t>
  </si>
  <si>
    <t>Retro Team</t>
  </si>
  <si>
    <t>is a Senior Secondary, affiliated to CBSE. Affiliation ID is 930342. Address of the school is: Nettirachira Nedumangad Po Thiruvananthapuram Kerala. PIN Code: 695541. Email address of the school is lekhasantha@gmail.com. The school is being managed by Friends Association For Cul &amp; Edn.</t>
  </si>
  <si>
    <t>SIM223446</t>
  </si>
  <si>
    <t>32071300108</t>
  </si>
  <si>
    <t>Automated Intrusion
Detection And Alert
System Using Arduino-
Based Radar
Technology</t>
  </si>
  <si>
    <t>lord of the
system</t>
  </si>
  <si>
    <t>ARAFA ENGLISH
SCHOOL THRISSUR</t>
  </si>
  <si>
    <t>Arafa English School is a Co-ed school affiliated to Central Board of Secondary Education (CBSE) No. 930181.. founded in May, 1994 and managed by the Arafa Charitable Trust. Located in the picturesque location and proximity of Valathol Nagar, Kerala Kalamandalam- the veritable cradle of KERALA’s cultural reawakening , the school offers a vibrant and inclusive environment where each child is encouraged to explore their potential and develop a lifelong love for learning. Our experienced and passionate educators are committed to providing a well-rounded education that balances academic excellence with social, emotional, and physical growth. We believe in fostering creativity, critical thinking, and collaboration, ensuring that our students are well | Arafa English School is a Co-ed school affiliated to Central Board of Secondary Education (CBSE) No. 930181 founded in May, 1994 and managed by the Arafa Charitable Trust. Located in the picturesque location and proximity of Valathol Nagar, Kerala Kalamandalam- the veritable cradle of KERALA’s cultural reawakening , the school offers a vibrant and inclusive environment where each child is encouraged to explore their potential and develop a lifelong love for learning. Our experienced and passionate educators are committed to providing a well-rounded education that balances academic excellence with social, emotional, and physical growth. We believe in fostering creativity, critical thinking, and collaboration, ensuring that our students are well-prepared for the challenges of</t>
  </si>
  <si>
    <t>SIM218789</t>
  </si>
  <si>
    <t>Abandoned object
detection</t>
  </si>
  <si>
    <t>Silent
Guardians</t>
  </si>
  <si>
    <t>SIM192219</t>
  </si>
  <si>
    <t>33101600904</t>
  </si>
  <si>
    <t>Vehicle and passenger
safety from confined
water logging</t>
  </si>
  <si>
    <t>TECH TITANS</t>
  </si>
  <si>
    <t>BANNARI AMMAN
VIDYA NIKETAN
MATRICULATIO</t>
  </si>
  <si>
    <t>Erode , Tamil Nadu.</t>
  </si>
  <si>
    <t>BANNARI AMMAN VIDYA NIKETAN MATRICULATION HIGHER SECONDARY SCHOOL, ALATHUKOMBAI was established in 1989 and it is managed by the Pvt. Unaided. It is located in Rural area. It is located in SATHY block of ERODE district of Tamil Nadu. The school consists of Grades from 1 to 12. The school is Co-educational and it have an attached pre-primary section. The school is N/A in nature and is not using school building as a shift-school. English is the medium of instructions in this school. This school is approachable by all weather road. In this school academic session starts in April.</t>
  </si>
  <si>
    <t>SIM14964</t>
  </si>
  <si>
    <t>36171501905</t>
  </si>
  <si>
    <t>Digital bus-card</t>
  </si>
  <si>
    <t>Suhana</t>
  </si>
  <si>
    <t>ZPHS THUNIKI</t>
  </si>
  <si>
    <t>Zphs Thuniki | Medak, Government Of Telangana | India</t>
  </si>
  <si>
    <t>SIM09103</t>
  </si>
  <si>
    <t>Train platform gap
filler slider</t>
  </si>
  <si>
    <t>NationChamps</t>
  </si>
  <si>
    <t>SIM200726</t>
  </si>
  <si>
    <t>24060202510</t>
  </si>
  <si>
    <t>Radar System Using
Arduino Uno</t>
  </si>
  <si>
    <t>Jr scientist</t>
  </si>
  <si>
    <t>PM SHRI K V CRPF
GANDHINAGAR</t>
  </si>
  <si>
    <t>SIM13442</t>
  </si>
  <si>
    <t>01200700813</t>
  </si>
  <si>
    <t>Medi_Eye Glasses</t>
  </si>
  <si>
    <t>Tech titans</t>
  </si>
  <si>
    <t>GOVT HIGHER
SECONDARY SCHOOL
MANZGAM</t>
  </si>
  <si>
    <t>Hss Manzgam - Manzgam Kulgam (Jammu And Kashmir)</t>
  </si>
  <si>
    <t>HSS MANZGAM was established in 1959 and it is managed by the Department of Education. It is located in Rural area. It is located in D H PORA block of KULGAM district of Jammu and Kashmir. The school consists of Grades from 9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</si>
  <si>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SIM191729</t>
  </si>
  <si>
    <t>29060511409</t>
  </si>
  <si>
    <t>Eco Irrigation</t>
  </si>
  <si>
    <t>AgriGlad</t>
  </si>
  <si>
    <t>MORARJI DESAI
RESIDENTIAL SCHOOL
ADAVIBHAVI</t>
  </si>
  <si>
    <t>To provide quality education for the SC, ST and BC Rural students, the State Goverment has Sanctioned 821 MORARJI DESAI / KITTUR RANI CHENNAMMA / Dr. B R AMBEDKAR / ATAL BIHARI VAJAPAYEE / Smt. INDIRA GANDHI/ MASTI VENKATESH AYYANGAR Residential Schools and MORARJI DESAI /KITTUR RANI CHENNAMMA/ ATAL BIHARI VAJAPAYEE Pre University colleges. All the schools and colleges are working under KARNATAKA RESIDENTIAL EDUCATIONAL INSTITUTIONS SOCIETY. | 2)ಈ ಇಮೇಲ್‌ಗೆ ವಿನಂತಿಸುವ ಮೂಲಕ ಇ-ಆಡಳಿತಕ್ಕಾಗಿ ಕೇಂದ್ರದಿಂದ ಅನುಮತಿಯನ್ನು ಪಡೆಯಬಹುದು. pd.webportal@karnataka.gov.in</t>
  </si>
  <si>
    <t>SIM48752</t>
  </si>
  <si>
    <t>32041100122</t>
  </si>
  <si>
    <t>Urban Farming</t>
  </si>
  <si>
    <t>scientia</t>
  </si>
  <si>
    <t>SNHSS THIRUVALLUR</t>
  </si>
  <si>
    <t>Santhinikethan  Sec School - Thiruvallur Gp Kozhikode (Kerala)</t>
  </si>
  <si>
    <t>SANTHINIKETHAN SEC SCHOOL was established in 1928 and it is managed by the Pvt. Aided. It is located in Rural area. It is located in THODANNUR block of KOZHIKODE district of Kerala. The school consists of Grades from 5 to 11.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</si>
  <si>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SIM150790</t>
  </si>
  <si>
    <t>Pdas</t>
  </si>
  <si>
    <t>ONE X</t>
  </si>
  <si>
    <t>SIM197506</t>
  </si>
  <si>
    <t>Metal Detector</t>
  </si>
  <si>
    <t>Team 13</t>
  </si>
  <si>
    <t>SIM224972</t>
  </si>
  <si>
    <t>21250211405</t>
  </si>
  <si>
    <t>Arduino automatic toll
gates collection open</t>
  </si>
  <si>
    <t>Team Saviour</t>
  </si>
  <si>
    <t>GOVT HIGH SCHOOL
TUKLA</t>
  </si>
  <si>
    <t>Proactive disclosure of 17 manuals under section-4(1)(b) of RTI Act, 2005 are published in the state RTI portal of Government of Odisha.</t>
  </si>
  <si>
    <t>SIM76466</t>
  </si>
  <si>
    <t>33200504803</t>
  </si>
  <si>
    <t>Transportation robot</t>
  </si>
  <si>
    <t>ROBO RIDE
HACKER</t>
  </si>
  <si>
    <t>SAIRAM MATRIC HR
SEC SCHOOL
THIRUVARUR</t>
  </si>
  <si>
    <t>On July 11, 2025, The Sairam Chapter Of Initiative…</t>
  </si>
  <si>
    <t>Agriculture is the principal occupation in Thiruvarur district. More than 70% of the total work force is dependent upon agriculture. Paddy is the principal crop of the district. This district forms part of the rice bowl of Tamil Nadu. The district has occupied a predominent place in agricultural sector due to its alluvial soil blessed by “Mother Cauvery” and her numerous branches, which serve as main source of irrigation.</t>
  </si>
  <si>
    <t>SIM23173</t>
  </si>
  <si>
    <t>33110301121</t>
  </si>
  <si>
    <t>Earthquake detector</t>
  </si>
  <si>
    <t>Abthul Kalam7</t>
  </si>
  <si>
    <t>ST.MARYS GIRLS HSS
KOTAGIRI</t>
  </si>
  <si>
    <t>St.Marys Girls Higher Secondary School, Kotagiri - Kotagiri The Nilgiris (Tamil Nadu)</t>
  </si>
  <si>
    <t>ST.MARYS GIRLS HIGHER SECONDARY SCHOOL, KOTAGIRI was established in 1947 and it is managed by the Pvt. Aided. It is located in Urban area. It is located in KOTAGIRI block of THE NILGIRIS district of Tamil Nadu. The school consists of Grades from 6 to 12. The school is Girls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</si>
  <si>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SIM162765</t>
  </si>
  <si>
    <t>36070600604</t>
  </si>
  <si>
    <t>Health and well-being</t>
  </si>
  <si>
    <t>ZPHS ROMPIKUNTA</t>
  </si>
  <si>
    <t>Zphs Rompikunta - Rompikunta Karimnagar (Telangana)</t>
  </si>
  <si>
    <t>ZPHS ROMPIKUNTA was established in 2003 and it is managed by the Local body. It is located in Rural area. It is located in KAMANPUR block of KARIMNAGAR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</si>
  <si>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SIM230201</t>
  </si>
  <si>
    <t>36210990249</t>
  </si>
  <si>
    <t>Verdani</t>
  </si>
  <si>
    <t>STARLIT</t>
  </si>
  <si>
    <t>THE HYDERABAD
PUBLIC SCHOOL
RAMANTHAPUR</t>
  </si>
  <si>
    <t>SIM217743</t>
  </si>
  <si>
    <t>Isreei (india
sustainable rail energy
empowerment
initiative)</t>
  </si>
  <si>
    <t>Isree</t>
  </si>
  <si>
    <t>SIM184840</t>
  </si>
  <si>
    <t>09360101129</t>
  </si>
  <si>
    <t>Automatic irrigation
system using moisture
level of soil.</t>
  </si>
  <si>
    <t>Aqua
Innovators</t>
  </si>
  <si>
    <t>ARMY PUBLIC SCHOOL
BABINA</t>
  </si>
  <si>
    <t>Army Public School Babina - Babina Jhansi (Uttar Pradesh)</t>
  </si>
  <si>
    <t>ARMY PUBLIC SCHOOL BABINA was established in 1992 and it is managed by the Pvt. Unaided. It is located in Rural area. It is located in BABINA block of JHANSI district of Uttar Pradesh. The school consists of Grades from 1 to 12. The school is Co-educational and it doesn't have an attached pre-primary section. The school is N/A in nature and is not using school building as a shift-school. English is the medium of instructions in this school. This school is approachable by all weather road. In this school academic session starts in April.</t>
  </si>
  <si>
    <t>SIM185112</t>
  </si>
  <si>
    <t>Rendezvous with
future</t>
  </si>
  <si>
    <t>Space root
Team</t>
  </si>
  <si>
    <t>SIM167229</t>
  </si>
  <si>
    <t>32051500129</t>
  </si>
  <si>
    <t>Hawkvision : The Eye
And Guard</t>
  </si>
  <si>
    <t>Hawkvision</t>
  </si>
  <si>
    <t>TECHNICAL HSS
PERINTHALMANNA</t>
  </si>
  <si>
    <t>Tecnical Hss Perinthalmanna - Angadippuram Malappuram (Kerala)</t>
  </si>
  <si>
    <t>TECNICAL HSS PERINTHALMANNA was established in 2001 and it is managed by the Department of Education. It is located in Rural area. It is located in MANKADA block of MALAPPURAM district of Kerala. The school consists of Grades from 8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</si>
  <si>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SIM134700</t>
  </si>
  <si>
    <t>32120801907</t>
  </si>
  <si>
    <t>Preparation of
BiopestiCIDes for the
Effective Control of
Pests</t>
  </si>
  <si>
    <t>GOVT NEW U P
SCHOOL
VADASSERIKARA</t>
  </si>
  <si>
    <t>Gnups, Vadasserikara - Vadasserikara Pathanamthitta (Kerala)</t>
  </si>
  <si>
    <t>GNUPS, VADASSERIKARA was established in 1923 and it is managed by the Department of Education. It is located in Rural area. It is located in RANNI block of PATHANAMTHITTA district of Kerala. The school consists of Grades from 1 to 7.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</si>
  <si>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SIM70753</t>
  </si>
  <si>
    <t>Smart Sight: Enhancing
Bus Safety with Blind
Spot Detection
Technology</t>
  </si>
  <si>
    <t>CARGAIN</t>
  </si>
  <si>
    <t>SIM170121</t>
  </si>
  <si>
    <t>32040300311</t>
  </si>
  <si>
    <t>Wrong Way Defender
of Vehicles for Road
Safety Using Arduino
and Sensor</t>
  </si>
  <si>
    <t>KDYTEAM 4</t>
  </si>
  <si>
    <t>GHSS KODUVALLY</t>
  </si>
  <si>
    <t>Ghss Koduvally - Koduvally Kozhikode (Kerala)</t>
  </si>
  <si>
    <t>GHSS KODUVALLY was established in 1957 and it is managed by the Department of Education. It is located in Urban area. It is located in KODUVALLY block of KOZHIKODE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</si>
  <si>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SIM219926</t>
  </si>
  <si>
    <t>32071703604</t>
  </si>
  <si>
    <t>Integrated farming</t>
  </si>
  <si>
    <t>MRS TEAM UP</t>
  </si>
  <si>
    <t>GOVT MODEL
RESIDENTIAL SCHOOL
FOR BOYS</t>
  </si>
  <si>
    <t>Offices</t>
  </si>
  <si>
    <t>The Department of Scheduled Tribes Development, which was formed by separating the Harijan Welfare Department in 1975, began functioning independently and fully in 1980. The department works with the goal of the overall upliftment of the Scheduled Caste community in Kerala. | 2002(Act 10 of 2003) Vide Part-VII-Kerala-Second Scheduled noticed in the Gazette of India.Dated 8/1/2003 | 4TH FLOOR, VIKAS BHAVAN, THIRUVANANTHAPURAM - 695033, KERALA.</t>
  </si>
  <si>
    <t>SIM171313</t>
  </si>
  <si>
    <t>27251901806</t>
  </si>
  <si>
    <t>Eco-Friendly Modern
Indian Railway
Management</t>
  </si>
  <si>
    <t>Innovative
students</t>
  </si>
  <si>
    <t>PCMC MADHYAMIK
VIDYALAYA
PIMPLEGURAV</t>
  </si>
  <si>
    <t>Pcmc Med Vidyalay Pimpale Gura - Pimpale Gurav Pune (Maharashtra)</t>
  </si>
  <si>
    <t>PCMC MED VIDYALAY PIMPALE GURA was established in 1999 and it is managed by the Local body. It is located in Urban area. It is located in PIMPRI block of PUNE district of Maharashtra. The school consists of Grades from 8 to 10. The school is Co-educational and it doesn't have an attached pre-primary section. The school is N/A in nature and is not using school building as a shift-school. Marathi is the medium of instructions in this school. This school is approachable by all weather road. In this school academic session starts in April.</t>
  </si>
  <si>
    <t>SIM155765</t>
  </si>
  <si>
    <t>21141000903</t>
  </si>
  <si>
    <t>Cybersafe: a game for
teenagers</t>
  </si>
  <si>
    <t>NOVA
EXPLORERS</t>
  </si>
  <si>
    <t>KV DHENKANAL</t>
  </si>
  <si>
    <t>Kendriya Vidyalaya Dhenkanal established in the year 1994 is the unique institute of its kind affiliated to CBSE New Delhi and has been catering to the needs of children belonging to transferable Central Govt. employees,Defence employees as well as floating population of Dhenkanal District since its inception. It provides excellent academics from class I to XII both in primary and secondary education with NCERT and CBSE courses. Training is imparted for the development of the personality through various co-curricular activities. A sense of patriotism and leadership quality is developed among the students through sports and games, scout and guide , regional science exhibition and quiz competition. Important values such as honesty, sincerity, punctuality and national integration are inculcated among the students with the help of a group of dedicated, devoted and highly qualified teachers and principal. Kendriya Vidyalaya dhenkanal is situated in the lap of nature, surrounded by beautiful hills at Banamali Prasad(by the site of NH-55, Bhapur) in the district headquartes of Dhenkanal, in the eastern Indian state, Odisha. The NH 55 Dhenkanal to the major cities of the state and the country. The state capital Bhubaneswsar is 70 Kms away from the school. K V Dhenkanal is 4 Kilometers away from the Bus Stand and 7 Kilometers away from the Railway station Dhenkanal. | PM Shri Kendriya Vidyalaya Dhenkanal Banamali Prasad, Dhenkanal Pin-759015, Odisha</t>
  </si>
  <si>
    <t>SIM224891</t>
  </si>
  <si>
    <t>36281700503</t>
  </si>
  <si>
    <t>No cost flood safety
boat</t>
  </si>
  <si>
    <t>M SHAILAJA</t>
  </si>
  <si>
    <t>ZPHS MUSTIPALLI</t>
  </si>
  <si>
    <t>Zphs Mustipally - Mustipalle Mahbubnagar (Telangana)</t>
  </si>
  <si>
    <t>ZPHS MUSTIPALLY was established in 2009 and it is managed by the Local body. It is located in Rural area. It is located in PEDDAKOTHAPALLY block of MAHBUBNAGAR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</si>
  <si>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SIM199808</t>
  </si>
  <si>
    <t>Ecodry - sustainable
clothes drying solution</t>
  </si>
  <si>
    <t>clothes drier</t>
  </si>
  <si>
    <t>SIM192929</t>
  </si>
  <si>
    <t>05120407204</t>
  </si>
  <si>
    <t>Floting plastic cleaner
(on water)</t>
  </si>
  <si>
    <t>Originators</t>
  </si>
  <si>
    <t>KENDRIYA VIDYALAYA
KHATIMA</t>
  </si>
  <si>
    <t>KENDRIYA VIDYALAYA KHATIMA, VILLAGE BANDIA, POST JAMOUR PINCODE 262308 DIST UDHAM SINGH NAGAR, UTTARAKHAND</t>
  </si>
  <si>
    <t>SIM86221</t>
  </si>
  <si>
    <t>22133002510</t>
  </si>
  <si>
    <t>Flame guard: fire
safety system for cow
shed</t>
  </si>
  <si>
    <t>GHSS
SAMBALPUR
SCHOOL
INOGRATION
4</t>
  </si>
  <si>
    <t>GOVT HIGHER
SECONDARY SCHOOL
SAMBALPUR</t>
  </si>
  <si>
    <t>Govt Higher Secondary School Sambalpur - Sambalpur Bemetara (Chhattisgarh)</t>
  </si>
  <si>
    <t>GOVT HIGHER SECONDARY SCHOOL SAMBALPUR was established in 1961 and it is managed by the Department of Education. It is located in Rural area. It is located in NAWAGARH block of BEMETARA district of Chhattisgarh. The school consists of Grades from 9 to 12. The school is Co-educational and it doesn't have an attached pre-primary section. The school is N/A in nature and is not using school building as a shift-school. Hindi is the medium of instructions in this school. This school is approachable by all weather road. In this school academic session starts in April.</t>
  </si>
  <si>
    <t>SIM133817</t>
  </si>
  <si>
    <t>Herhealth</t>
  </si>
  <si>
    <t>Techeducators</t>
  </si>
  <si>
    <t>SIM190466</t>
  </si>
  <si>
    <t>02090100302</t>
  </si>
  <si>
    <t>Innovative Footpath
Design for Health and
Hygiene: Preventing
Mosquito Breeding and
Enhancing Sewage
Cleanup</t>
  </si>
  <si>
    <t>lab rats</t>
  </si>
  <si>
    <t>KENDRIYA VIDYALAYA
SUBATHU</t>
  </si>
  <si>
    <t>Solan</t>
  </si>
  <si>
    <t>PM SHRI Kendriya Vidyalaya 14 GTC Subathu, Solan, Himachal Pradesh</t>
  </si>
  <si>
    <t>SIM13775</t>
  </si>
  <si>
    <t>Braillemat: Bridging
Communication for
The Visually Impaired
and Deaf</t>
  </si>
  <si>
    <t>SKEI Tech
Sleepers</t>
  </si>
  <si>
    <t>SIM170074</t>
  </si>
  <si>
    <t>Automated
Temperature
Measuring Devise</t>
  </si>
  <si>
    <t>HOLYAHD</t>
  </si>
  <si>
    <t>SIM147261</t>
  </si>
  <si>
    <t>32050500910</t>
  </si>
  <si>
    <t>Connected: Integrated
Attendance And
Communication
System</t>
  </si>
  <si>
    <t>Phoenix</t>
  </si>
  <si>
    <t>GHSS VETTATHUR</t>
  </si>
  <si>
    <t>Ghss Vettathur - Vettathur Malappuram (Kerala)</t>
  </si>
  <si>
    <t>GHSS VETTATHUR was established in 1974 and it is managed by the Department of Education. It is located in Rural area. It is located in PERINTHALMANNA block of MALAPPURAM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</si>
  <si>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SIM167593</t>
  </si>
  <si>
    <t>32030100110</t>
  </si>
  <si>
    <t>Low Glycemic Index
Millet Pasta</t>
  </si>
  <si>
    <t>ALPHA</t>
  </si>
  <si>
    <t>ST JOSEPHS HSS
KALLODY</t>
  </si>
  <si>
    <t>St. Josephs Hss Kallody - Edavaka Wayanad (Kerala)</t>
  </si>
  <si>
    <t>ST. JOSEPHS HSS KALLODY was established in 1976 and it is managed by the Pvt. Aided. It is located in Rural area. It is located in MANANTHAVADY block of WAYANAD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</si>
  <si>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SIM73072</t>
  </si>
  <si>
    <t>33031402606</t>
  </si>
  <si>
    <t>Accessible escalator
for physically
challenged peoples</t>
  </si>
  <si>
    <t>SITHAL
TITANS</t>
  </si>
  <si>
    <t>GOVT HIGH SCHOOL
SITHALAPAKKAM.</t>
  </si>
  <si>
    <t>Ghs, Sithalapakkam - Sithalapakkam Kancheepuram (Tamil Nadu)</t>
  </si>
  <si>
    <t>GHS, Sithalapakkam was established in 2009 and it is managed by the Department of Education. It is located in Rural area. It is located in St. Thomas Mount (Rural) block of KANCHEEPURAM district of Tamil Nadu. The school consists of Grades from 6 to 10.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</si>
  <si>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SIM09007</t>
  </si>
  <si>
    <t>Engine cooling system
when temperature
increases</t>
  </si>
  <si>
    <t>SIM151861</t>
  </si>
  <si>
    <t>36171100304</t>
  </si>
  <si>
    <t>Seed rotator in
agriculture/litter
(husk) rotator in
poultry farm</t>
  </si>
  <si>
    <t>Blinking stars</t>
  </si>
  <si>
    <t>ZPHS MIRZAPALLY</t>
  </si>
  <si>
    <t>Zphs Mirzapalle | Medak, Government Of Telangana | India</t>
  </si>
  <si>
    <t>ZPHS MIRZAPALLE was established in 1954 and it is managed by the Local body. It is located in Rural area. It is located in SHANKARAMPET(R) block of MEDAK district of Telangana. The school consists of Grades from 6 to 10. The school is Co-educational and it doesn't have an attached pre-primary section. The school is Not Applicable in nature and is not using school building as a shift-school. Telugu is the medium of instructions in this school. This school is approachable by all weather road. In this school academic session starts in April.</t>
  </si>
  <si>
    <t>SIM124458</t>
  </si>
  <si>
    <t>28161201508</t>
  </si>
  <si>
    <t>Aerial mind reader</t>
  </si>
  <si>
    <t>KSMU</t>
  </si>
  <si>
    <t>AP MODEL SCHOOL
PEDAKOMERA</t>
  </si>
  <si>
    <t>A.P.Model School Pedakomera (28161201508) | Ntr | India</t>
  </si>
  <si>
    <t>A.P.MODEL SCHOOL PEDAKOMERA was established in 2013 and it is managed by the Department of Education. It is located in Rural area. It is located in GAMPALAGUDEM block of KRISHNA district of ANDHRA PRADESH. The school consists of Grades from 6 to 12. The school is Co-educational and it doesn't have an attached pre-primary section. The school is Model School in nature and is not using school building as a shift-school. English is the medium of instructions in this school. This school is approachable by all weather road. In this school academic session starts in April.</t>
  </si>
  <si>
    <t>SIM09661</t>
  </si>
  <si>
    <t>Distance measure
sensor</t>
  </si>
  <si>
    <t>Safety
Warriors</t>
  </si>
  <si>
    <t>SIM156996</t>
  </si>
  <si>
    <t>06060408502</t>
  </si>
  <si>
    <t>Safepass: Real-Time
Visibility System For
Safer Overtaking</t>
  </si>
  <si>
    <t>VIIIA GROUP</t>
  </si>
  <si>
    <t>KENDRIYA VIDYALAYA
KARNAL</t>
  </si>
  <si>
    <t>PM SHRI KENDRIYA VIDYALAYA NO.1, NEAR PATEL PARK , AMBALA CANTT-133001 (HARYANA)</t>
  </si>
  <si>
    <t>SIM197131</t>
  </si>
  <si>
    <t>29020209003</t>
  </si>
  <si>
    <t>New Wind Tree</t>
  </si>
  <si>
    <t>Sunrays</t>
  </si>
  <si>
    <t>GHS YANKANCHI</t>
  </si>
  <si>
    <t>Subject: Minutes of the meeting of the Project Approval Board held on 19tb May, 2020to consider the Annual Work PIan &amp; Budget (AWP&amp;B) 2020-21 of Samagra Shikshafor the State of Karnataka.</t>
  </si>
  <si>
    <t>SIM141167</t>
  </si>
  <si>
    <t>Detecting Ambulance</t>
  </si>
  <si>
    <t>EBG</t>
  </si>
  <si>
    <t>SIM169403</t>
  </si>
  <si>
    <t>32040501704</t>
  </si>
  <si>
    <t>Power Generation
from Green Methanol</t>
  </si>
  <si>
    <t>ANGLO 2024</t>
  </si>
  <si>
    <t>ST JOSEPHS ANGLO
INDIAN GIRLS H S S</t>
  </si>
  <si>
    <t>St. Joseph'S Anglo Indian Girls Hss - Nagaram Kozhikode (Kerala)</t>
  </si>
  <si>
    <t>In 1906, the school came under the Code of Regulations for European Schools. In 1972, the School got affiliated to the Council for Indian School Certificate Examinations, New Delhi, and continued in the I.C.S.E. Scheme until March 1984. In 1984, we adopted the Kerala syllabus and the code of regulations for Anglo-Indian Schools. From 1985 onwards, our students have been answering the S.S.L.C. examination with hundred percent passes and several ranks. In 2000, the Higher Secondary Section was started with Science and Commerce batches. The medium of instruction in all classes is English.</t>
  </si>
  <si>
    <t>SIM78133</t>
  </si>
  <si>
    <t>32110900106</t>
  </si>
  <si>
    <t>Sun Tracker Solar
Panel Dual Axis</t>
  </si>
  <si>
    <t>DBHSS THAKAZHY</t>
  </si>
  <si>
    <t>Dbhss Thakazhy - Thakazhy Alappuzha (Kerala)</t>
  </si>
  <si>
    <t>DBHSS THAKAZHY was established in 1950 and it is managed by the Pvt. Aided. It is located in Rural area. It is located in THALAVADY block of ALAPPUZHA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</si>
  <si>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SIM210055</t>
  </si>
  <si>
    <t>27110418207</t>
  </si>
  <si>
    <t>Blind Safety Belt</t>
  </si>
  <si>
    <t>ROBO BOYS</t>
  </si>
  <si>
    <t>SAKET PUBLIC
SCHOOL GONDIA</t>
  </si>
  <si>
    <t>SIM133784</t>
  </si>
  <si>
    <t>Faithguard: secure and
smart sanctuaries</t>
  </si>
  <si>
    <t>samsung pro</t>
  </si>
  <si>
    <t>SIM150883</t>
  </si>
  <si>
    <t>29220201820</t>
  </si>
  <si>
    <t>Rfid-Based
Authentication System</t>
  </si>
  <si>
    <t>Bright Minds</t>
  </si>
  <si>
    <t>JNV MANDYA</t>
  </si>
  <si>
    <t>Jawahar Navodaya Vidyalaya, Shivaragudda, Maddur Taluk, Mandya, Karnataka Pin -571419</t>
  </si>
  <si>
    <t>NAVODAYA VIDYALAYA SHIVARAGUDDA was established in 1986 and it is managed by the Central Govt.. It is located in Rural area. It is located in MADDUR block of MANDYA district of Karnataka. The school consists of Grades from 6 to 12. The school is Co-educational and it doesn't have an attached pre-primary section. The school is Non-Ashram type (Govt.) in nature and is not using school building as a shift-school. English is the medium of instructions in this school. This school is approachable by all weather road. In this school academic session starts in April.</t>
  </si>
  <si>
    <t>SIM196959</t>
  </si>
  <si>
    <t>29070319801</t>
  </si>
  <si>
    <t>Vehicle Reverse
Parking System</t>
  </si>
  <si>
    <t>Vehicles
parking
system</t>
  </si>
  <si>
    <t>SMT BASAMMA
KATARKI PUBLIC
SCHOOL KOPPAL</t>
  </si>
  <si>
    <t>SIM150188</t>
  </si>
  <si>
    <t>32040400412</t>
  </si>
  <si>
    <t>Auto Electricity
Generator for
Streetlights</t>
  </si>
  <si>
    <t>Team3</t>
  </si>
  <si>
    <t>FAROOK HIGHER
SECONDARY SCHOOL</t>
  </si>
  <si>
    <t>SIM219339</t>
  </si>
  <si>
    <t>32040900724</t>
  </si>
  <si>
    <t>Walkroute - The Line-
Following Table</t>
  </si>
  <si>
    <t>MPS Team B</t>
  </si>
  <si>
    <t>MARKAZ PUBLIC
SCHOOL KOYILANDY</t>
  </si>
  <si>
    <t>SIM188485</t>
  </si>
  <si>
    <t>Rfid-Based Access
Control System For
Army Vehicle Security</t>
  </si>
  <si>
    <t>Touch sensor</t>
  </si>
  <si>
    <t>SIM173663</t>
  </si>
  <si>
    <t>13060203402</t>
  </si>
  <si>
    <t>Automatic Toll Gate</t>
  </si>
  <si>
    <t>DELHI PUBLIC
SCHOOL DIMAPUR</t>
  </si>
  <si>
    <t>Nagaland</t>
  </si>
  <si>
    <t>Delhi Public School Dimapur | Dimapur, Government Of Nagaland | India</t>
  </si>
  <si>
    <t>797115 (Nagaland) | Dimapur district was inaugurated as the eighth district of Nagaland in December, 1997, through a Government of Nagaland, Home Department notification no. GAB-5/29/78(pt) dated 02-12-1997. Earlier it was a sub-division under Kohima district. Besides being referred to as a gateway of Nagaland and Manipur, main commercial activities of the State, is centered around Dimapur, the district headquarter.</t>
  </si>
  <si>
    <t>SIM30121</t>
  </si>
  <si>
    <t>33072403602</t>
  </si>
  <si>
    <t>Gas leakage alarm
detector</t>
  </si>
  <si>
    <t>Flaming team</t>
  </si>
  <si>
    <t>GOVERNMENT MODEL
GIRLS HIGHER
SECONDARY
SCHOOL,VILLUPURAM -
MODEL</t>
  </si>
  <si>
    <t>Education | Viluppuram , Govt Of Tamil Nadu | India</t>
  </si>
  <si>
    <t>Viluppuram (also Villupuram and Vizhupuram) is one of the thirty two districts of Tamil Nadu state located on the southern tip of India. The district headquarters is located at Viluppuram. Viluppuram district came into existence on 30th September 1993 when it was created out of South Arcot district. Viluppuram is the largest district in the state. The district lies in the middle of Tiruchirapalli to Chennai National Highways No. 45. It is well connected by the rail, road and it is a major junction. One can go to any corner of the Tamil Nadu as well as to other parts of India from here. The district has temples, mosques and churches which are very old and famous. Villupuram is located on the bank of thenpennai river.</t>
  </si>
  <si>
    <t>SIM172750</t>
  </si>
  <si>
    <t>33030805303</t>
  </si>
  <si>
    <t>We are doing army
safety security gate
system</t>
  </si>
  <si>
    <t>ATL
CHAMPIONS</t>
  </si>
  <si>
    <t>K.V.NO.2, SADRAS</t>
  </si>
  <si>
    <t>Kendriya Vidyalaya No. 2 Kalpakkam, a project sector Vidyalaya established in 1980 in the Department of Atomic Energy Township, Kalpakkam is a leading educational institution in Chengalpattu District of Tamil Nadu. Located on the tranquil and serene backdrop of the Bay of Bengal, this Vidyalaya caters to the educational needs from Balvatika-3 to Class XII of the wards employees working in the Department of Atomic Energy and other central government employees posted in the Townships of Kalpakkam and Anupuram. Children eligible under Right to Education Act residing in the nearby villages, are also enrolled into this Vidyalaya for a quality education. The Vidyalaya is run by KVS under the Ministry of Education, Government of India. It is affiliated to CBSE and follows NCERT syllabus. The school comes under the Chennai region of Kendriya Vidyalaya Sangathan.</t>
  </si>
  <si>
    <t>SIM140958</t>
  </si>
  <si>
    <t>33210103101</t>
  </si>
  <si>
    <t>Decarbonisation of
industrial exhaust
fumes</t>
  </si>
  <si>
    <t>THIRUMAGAL AIDED
HSS - THANJAVUR</t>
  </si>
  <si>
    <t>Thirumagal Hss - M.C.Road - Ward - 37 Thanjavur (Tamil Nadu)</t>
  </si>
  <si>
    <t>THIRUMAGAL HSS - M.C.ROAD - Ward - 37 District Thanjavur (Tamil Nadu)</t>
  </si>
  <si>
    <t>SIM161623</t>
  </si>
  <si>
    <t>19060611703</t>
  </si>
  <si>
    <t>Emergency grass
cutter</t>
  </si>
  <si>
    <t>Motor Minds</t>
  </si>
  <si>
    <t>KV NTPC FARAKKA</t>
  </si>
  <si>
    <t>K. V. NO. 1 BINNAGURI CANTT. DISTT. JALPAIGURI WEST BENGAL - 735232</t>
  </si>
  <si>
    <t>SIM39257</t>
  </si>
  <si>
    <t>13020400401</t>
  </si>
  <si>
    <t>Bamboo pen for
sustainable future</t>
  </si>
  <si>
    <t>Team
Tsuyanla K</t>
  </si>
  <si>
    <t>GMS SHAMATOR A</t>
  </si>
  <si>
    <t>Shamator | Brotherhood | India</t>
  </si>
  <si>
    <t>GHS SHAMATOR was established in 1964 and it is managed by the Department of Education. It is located in Rural area. It is located in SHAMATOR block of TUENSANG district of Nagaland. The school consists of Grades from 7 to 12. The school is Co-educational and it doesn't have an attached pre-primary section. The school is N/A in nature and is not using school building as a shift-school. English is the medium of instructions in this school. This school is approachable by all weather road. In this school academic session starts in April.</t>
  </si>
  <si>
    <t>SIM133739</t>
  </si>
  <si>
    <t>Soil doctor</t>
  </si>
  <si>
    <t>Dadsqueens</t>
  </si>
  <si>
    <t>SIM197253</t>
  </si>
  <si>
    <t>Farmotool</t>
  </si>
  <si>
    <t>FARMOTOOL</t>
  </si>
  <si>
    <t>SIM212322</t>
  </si>
  <si>
    <t>29180721903</t>
  </si>
  <si>
    <t>Cow Solar Missionary</t>
  </si>
  <si>
    <t>A P J Abdul
khalam</t>
  </si>
  <si>
    <t>GPUC HS</t>
  </si>
  <si>
    <t>SIM168928</t>
  </si>
  <si>
    <t>32041400908</t>
  </si>
  <si>
    <t>Carbon Monoxide
Leaking in AC Vehicles</t>
  </si>
  <si>
    <t>CHINMAYI</t>
  </si>
  <si>
    <t>GG MODEL GIRLS HSS</t>
  </si>
  <si>
    <t>Govt. Model Hss For Girls, Thrissur | Thrissur, Government Of Kerala | India</t>
  </si>
  <si>
    <t>SIM29165</t>
  </si>
  <si>
    <t>32120802105</t>
  </si>
  <si>
    <t>Malnutrition in
children</t>
  </si>
  <si>
    <t>Team5</t>
  </si>
  <si>
    <t>G T H S KATTACHIRA</t>
  </si>
  <si>
    <t>Gths, Kattachira - Chittar Pathanamthitta (Kerala)</t>
  </si>
  <si>
    <t>GTHS, KATTACHIRA was established in 1957 and it is managed by the Department of Education. It is located in Rural area. It is located in RANNI block of PATHANAMTHITTA district of Kerala. The school consists of Grades from 1 to 10.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</si>
  <si>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SIM13035</t>
  </si>
  <si>
    <t>34020307606</t>
  </si>
  <si>
    <t>Intelligent plant doctor</t>
  </si>
  <si>
    <t>MASTER
MIND</t>
  </si>
  <si>
    <t>SAIRAM VIDYALAYA -
CBSE SCHOOL</t>
  </si>
  <si>
    <t>Sairam Vidyalaya - Cbse School - Olavaikkal Pondicherry (Puducherry)</t>
  </si>
  <si>
    <t>SAIRAM VIDYALAYA - CBSE SCHOOL was established in 2013 and it is managed by the Pvt. Unaided. It is located in Rural area. It is located in BRC-3 block of PONDICHERRY district of Puducherry. The school consists of Grades from 1 to 8. The school is Co-educational and it have an attached pre-primary section. The school is N/A in nature and is not using school building as a shift-school. English is the medium of instructions in this school. This school is approachable by all weather road. In this school academic session starts in April.</t>
  </si>
  <si>
    <t>SIM07357</t>
  </si>
  <si>
    <t>Automatic dog feeder
(dispenser)</t>
  </si>
  <si>
    <t>Technos</t>
  </si>
  <si>
    <t>SIM207139</t>
  </si>
  <si>
    <t>Transmission Line
Fault Detection System</t>
  </si>
  <si>
    <t>Team B1</t>
  </si>
  <si>
    <t>SIM154149</t>
  </si>
  <si>
    <t>32120701611</t>
  </si>
  <si>
    <t>Installation of an
Upside-Down Turbine
on a Highway</t>
  </si>
  <si>
    <t>AAF</t>
  </si>
  <si>
    <t>ST GEORGE HS
KOTTANGAL</t>
  </si>
  <si>
    <t>St.George Hs Kottangal - Kottangal Pathanamthitta (Kerala)</t>
  </si>
  <si>
    <t>ST.GEORGE HS KOTTANGAL was established in 1938 and it is managed by the Pvt. Aided. It is located in Rural area. It is located in MALLAPALLY block of PATHANAMTHITTA district of Kerala. The school consists of Grades from 5 to 10.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</si>
  <si>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SIM195531</t>
  </si>
  <si>
    <t>32141103101</t>
  </si>
  <si>
    <t>Automatic Street Light
Using Ldr</t>
  </si>
  <si>
    <t>Automatic
Street Light for
Electricity
Saving</t>
  </si>
  <si>
    <t>SARASWATHI
VIDYALAYA</t>
  </si>
  <si>
    <t>was established which aims to bring about a social transformation through education. At present VidyaBharathi have more than 45,000 educational institutions. Bharatiya VidyaNiketan is the Kerala charter of VidyaBharathi.</t>
  </si>
  <si>
    <t>SIM191072</t>
  </si>
  <si>
    <t>32070901801</t>
  </si>
  <si>
    <t>Oldies Corner</t>
  </si>
  <si>
    <t>Technospark</t>
  </si>
  <si>
    <t>UHSS MAMBRA</t>
  </si>
  <si>
    <t>Union Hs Mambra - Kallur Thekkumury Thrissur (Kerala)</t>
  </si>
  <si>
    <t>UNION HS MAMBRA was established in 1954 and it is managed by the Pvt. Aided. It is located in Rural area. It is located in MALA block of THRISSUR district of Kerala. The school consists of Grades from 5 to 12.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</si>
  <si>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SIM03253</t>
  </si>
  <si>
    <t>34040613005</t>
  </si>
  <si>
    <t>All in one health app</t>
  </si>
  <si>
    <t>Learning
Queens</t>
  </si>
  <si>
    <t>JAWAHAR NAVODAYA
VIDYALAYA KARAIKAL</t>
  </si>
  <si>
    <t>Karaikal , Puducherry Pin Code-609609</t>
  </si>
  <si>
    <t>As per the National eGovernance Policy (NeGP), in 2013, the Puducherry UT Government set up core IT infrastructure in the form of Puducherry State Wide Area Network (PSWAN), State Data Centre (SDC) and Common Service Centres (CSCs) for the entire Puducherry UT. | As there is a saying Health is Wealth, in 5 needless to emphasis to help the health in a sound manner so that the people can lead a peaceful life. With this view, the Govt. of Puducherry is running a General Hospital at Karaikal and one Community Health Centre at thenoor, Thirunallar, 11 Primary Health Centres, 17 Sub-Centres, one ESI Dispensary at Nedungadu. The General Hospital is equipped with modern instruments to address the health care of the people. In order to control diseases like Malaria, Filaria, a separate office as Immunization under the control of Deputy Director is functioning in this region. A private Medical College namely Vinayaga Mission Medical College and a Branch of JIPMER has opened a College at Karaikal.</t>
  </si>
  <si>
    <t>SIM171538</t>
  </si>
  <si>
    <t>05030100110</t>
  </si>
  <si>
    <t>From waste to worth: a
sustainable energy
solution</t>
  </si>
  <si>
    <t>Innovative jbb
team</t>
  </si>
  <si>
    <t>KENDRIYA VIDYALAYA
AUGUSTYAMUNI</t>
  </si>
  <si>
    <t>SIM202690</t>
  </si>
  <si>
    <t>05130810706</t>
  </si>
  <si>
    <t>Hydroponics for good
future</t>
  </si>
  <si>
    <t>hydronics</t>
  </si>
  <si>
    <t>KENDRIYA VIDYALAYA
NUMBER TWO
ROORKEE</t>
  </si>
  <si>
    <t>Website of Kendriya Vidyalaya No.2, B.E.G and Centre, Roorkee, Uttarakhand, National Portal of India</t>
  </si>
  <si>
    <t>SIM222415</t>
  </si>
  <si>
    <t>19210100308</t>
  </si>
  <si>
    <t>Sewage to electricity</t>
  </si>
  <si>
    <t>THE TWO</t>
  </si>
  <si>
    <t>TECHNO INDIA GROUP
PUBLIC SCHOOL</t>
  </si>
  <si>
    <t>TOPSHIKHATA,NEAR:- PARARPAR GRAM PANCHAYET,ALIPURDUAR Pin no: 736121 West Bengal | tomorrow. With nearly 20 prestigious Schools across West Bengal, our commitment to excellence in education is | Office - DN 25, DN Block, Sector V, Bidhannagar, Kolkata, West Bengal 700091</t>
  </si>
  <si>
    <t>SIM153968</t>
  </si>
  <si>
    <t>29240408104</t>
  </si>
  <si>
    <t>Multi-Purpose Smart
Farming</t>
  </si>
  <si>
    <t>VEMS1</t>
  </si>
  <si>
    <t>VIVEKANANDA
ENGLISH MEDIUM
SCHOOL</t>
  </si>
  <si>
    <t>Dakshina Kannada , Karnataka, India</t>
  </si>
  <si>
    <t>Vivekananda Vidyavardhaka Sangha Puttur (formerly known as Puttur Education Society) was established on 23rd of December 1915. For the past 96 years, Vidyavardhaka Sangha has been the forerunner in the field of education in the coastal region of Karnataka. It is committed to impart quality education by maintaining high standards of discipline, sense of duty and moral values among its students and to inculcate faith and pride in Indian culture and tradition.</t>
  </si>
  <si>
    <t>SIM207133</t>
  </si>
  <si>
    <t>AI Based Banana
Ripeness Detection
System</t>
  </si>
  <si>
    <t>Team A1</t>
  </si>
  <si>
    <t>SIM166183</t>
  </si>
  <si>
    <t>32050200405</t>
  </si>
  <si>
    <t>Mathpreneur</t>
  </si>
  <si>
    <t>Launch Lab</t>
  </si>
  <si>
    <t>AKHMUP SCHOOL
KANNAMVETTIKAVE</t>
  </si>
  <si>
    <t>Akhmups Kannamvettikave - Cherukavu Malappuram (Kerala)</t>
  </si>
  <si>
    <t>AKHMUPS KANNAMVETTIKAVE was established in 1944 and it is managed by the Pvt. Aided. It is located in Rural area. It is located in KONDOTTY block of MALAPPURAM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</si>
  <si>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SIM212575</t>
  </si>
  <si>
    <t>Integrated Waste
Management System</t>
  </si>
  <si>
    <t>Atom</t>
  </si>
  <si>
    <t>MGMHSS THIRUVALLA</t>
  </si>
  <si>
    <t>MGMHSS,THIRUVALLA was established in 1903 and it is managed by the Pvt. Aided. It is located in Urban area. It is located in THIRUVALLA block of PATHANAMTHITTA district of Kerala. The school consists of Grades from 5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</si>
  <si>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SIM207514</t>
  </si>
  <si>
    <t>23320304406</t>
  </si>
  <si>
    <t>Univision</t>
  </si>
  <si>
    <t>UNIVISION</t>
  </si>
  <si>
    <t>DELHI PUBLIC
SCHOOL KOLAR ROAD
BHOPAL</t>
  </si>
  <si>
    <t>SIM182167</t>
  </si>
  <si>
    <t>27290512704</t>
  </si>
  <si>
    <t>Smart Breaker</t>
  </si>
  <si>
    <t>Active Yeoti G</t>
  </si>
  <si>
    <t>SHRI SAMRTH
MADHYAMIK
ASHRAMSHALA YEOTI
DIST OSMANABAD</t>
  </si>
  <si>
    <t>Samarth Ashram P.School, Yevti - Yevti Osmanabad (Maharashtra)</t>
  </si>
  <si>
    <t>SAMARTH ASHRAM P.SCHOOL, YEVTI was established in 1996 and it is managed by the Pvt. Aided. It is located in Rural area. It is located in OSMANABAD block of OSMANABAD district of Maharashtra. The school consists of Grades from 1 to 7. The school is Co-educational and it doesn't have an attached pre-primary section. The school is Private in nature and is not using school building as a shift-school. Marathi is the medium of instructions in this school. This school is approachable by all weather road. In this school academic session starts in April.</t>
  </si>
  <si>
    <t>SIM174416</t>
  </si>
  <si>
    <t>03090509323</t>
  </si>
  <si>
    <t>Smart cycle</t>
  </si>
  <si>
    <t>Drastic cyclers</t>
  </si>
  <si>
    <t>BHARTIYA VIDYA
MANDIR SR SEC
SCHOOL</t>
  </si>
  <si>
    <t>SIM126860</t>
  </si>
  <si>
    <t>Cleanchoice energies -
smart window panel
control system for
urban houses</t>
  </si>
  <si>
    <t>Hackerera</t>
  </si>
  <si>
    <t>SIM05459</t>
  </si>
  <si>
    <t>12180300801</t>
  </si>
  <si>
    <t>MANAGEMENT OF
PLASTIC WASTE</t>
  </si>
  <si>
    <t>XiGirls</t>
  </si>
  <si>
    <t>GOVERNMENT
HIGHER SECONDARY
SCHOOL CHOWKHAM</t>
  </si>
  <si>
    <t>A Co-Educational Institution In The Village Chowkham Under Namsai , Arunachal Pradesh</t>
  </si>
  <si>
    <t>GOVT. HR. SEC. SCHOOL CHONGKHA was established in 1948 and it is managed by the Department of Education. It is located in Rural area. It is located in CHONGKHAM block of NAMSAI district of Arunachal Pradesh. The school consists of Grades from 6 to 12. The school is Co-educational and it doesn't have an attached pre-primary section. The school is N/A in nature and is not using school building as a shift-school. English is the medium of instructions in this school. This school is approachable by all weather road. In this school academic session starts in April.</t>
  </si>
  <si>
    <t>SIM148132</t>
  </si>
  <si>
    <t>25020102102</t>
  </si>
  <si>
    <t>Transforming Waste
Plastics</t>
  </si>
  <si>
    <t>GUPS BHIMPORE
ENGLISH AND
GUJARATI</t>
  </si>
  <si>
    <t>Pwd, Panchayat, Daman: Various Nos. Of Works</t>
  </si>
  <si>
    <t>SIM121007</t>
  </si>
  <si>
    <t>Stepit up ai</t>
  </si>
  <si>
    <t>PP</t>
  </si>
  <si>
    <t>SIM130707</t>
  </si>
  <si>
    <t>01131707404</t>
  </si>
  <si>
    <t>Nexgen Car: Smarter,
Safer, Secure</t>
  </si>
  <si>
    <t>FutureForge</t>
  </si>
  <si>
    <t>ARMY PUBLIC SCHOOL
JAMMU CANTT</t>
  </si>
  <si>
    <t>Army School Jammu Cantt - Old Satwari Jammu (Jammu And Kashmir)</t>
  </si>
  <si>
    <t>ARMY SCHOOL JAMMU CANTT was established in 1984 and it is managed by the Pvt. Unaided. It is located in Urban area. It is located in SATWARI block of JAMMU district of Jammu and Kashmir. The school consists of Grades from 1 to 12. The school is Co-educational and it doesn't have an attached pre-primary section. The school is Not Applicable in nature and is not using school building as a shift-school. English is the medium of instructions in this school. This school is approachable by all weather road. In this school academic session starts in April.</t>
  </si>
  <si>
    <t>SIM174292</t>
  </si>
  <si>
    <t>32080102307</t>
  </si>
  <si>
    <t>Object Detector</t>
  </si>
  <si>
    <t>PHOTONS</t>
  </si>
  <si>
    <t>ST JOSEPHS GHS
CHENGAL</t>
  </si>
  <si>
    <t>St.Joseph'S Ghs Chengal Kalady - Vadakkumbhagam Ernakulam (Kerala)</t>
  </si>
  <si>
    <t>Dispelling the darkness of ignorance and spreading the light of knowledge, the temple of knowledge, St.Joseph G.H.s chengal stepping towards with great enthusiasm. The school has it’s humble beginning in 1911 which is owned,managed and maintained by C.M.C Sisters the first indigenous congregation for women in kerala founded by saint chavara Kuriakose Elias the grate missionary of the time The christian formation of the people especially the women and children is the charism of the congregation and the education is the main apostolate.</t>
  </si>
  <si>
    <t>SIM204521</t>
  </si>
  <si>
    <t>32141000108</t>
  </si>
  <si>
    <t>Spark Detecting Sensor</t>
  </si>
  <si>
    <t>Elite Warriors</t>
  </si>
  <si>
    <t>ST ROCHS HIGH
SCHOOL</t>
  </si>
  <si>
    <t>St.Roch'S Hs, Thope - Pettah Thiruvananthapuram (Kerala)</t>
  </si>
  <si>
    <t>ST.ROCH'S HS, THOPE was established in 1945 and it is managed by the Pvt. Aided. It is located in Urban area. It is located in TRIVANDRUM NORTH block of THIRUVANANTHAPURAM district of Kerala. The school consists of Grades from 5 to 10. The school is Girls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</si>
  <si>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SIM89671</t>
  </si>
  <si>
    <t>21190600352</t>
  </si>
  <si>
    <t>Modern Irrigation</t>
  </si>
  <si>
    <t>Techno</t>
  </si>
  <si>
    <t>KENDRIYA VIDLAYA
CHATRAPUR</t>
  </si>
  <si>
    <t>Winners Of Competition With State Cabinet Minister</t>
  </si>
  <si>
    <t>SIM63649</t>
  </si>
  <si>
    <t>33150901302</t>
  </si>
  <si>
    <t>Frobot( farming robot)</t>
  </si>
  <si>
    <t>Albert bhhss</t>
  </si>
  <si>
    <t>BISHOP HEBER BOYS
HSS,
TEPPAKULAM,TRICHY-
2</t>
  </si>
  <si>
    <t>Ahss, Bishop Heber, Teppakkulam - Ward13 Tiruchirappalli (Tamil Nadu)</t>
  </si>
  <si>
    <t>AHSS, BISHOP HEBER, TEPPAKKULAM - Ward13 District Tiruchirappalli (Tamil Nadu)</t>
  </si>
  <si>
    <t>SIM17246</t>
  </si>
  <si>
    <t>33120200805</t>
  </si>
  <si>
    <t>Sensor in ship</t>
  </si>
  <si>
    <t>Tilak</t>
  </si>
  <si>
    <t>GHSS -
CHETTIPALAYAM</t>
  </si>
  <si>
    <t>Government Higher Secondary School -Chettipalayam - Chettipalayam Coimbatore (Tamil Nadu)</t>
  </si>
  <si>
    <t>GOVERNMENT HIGHER SECONDARY SCHOOL -CHETTIPALAYAM was established in 1969 and it is managed by the Department of Education. It is located in Rural area. It is located in MADUKKARAI block of COIMBATORE district of Tamil Nadu. The school consists of Grades from 6 to 12.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</si>
  <si>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SIM165820</t>
  </si>
  <si>
    <t>33271107302</t>
  </si>
  <si>
    <t>Automated teller
machine and banking
app with efficient
fingerprint technology
with security features</t>
  </si>
  <si>
    <t>ROENTGEN
RADIATORS</t>
  </si>
  <si>
    <t>GOVERNMENT
HIGHER SECONDARY
SCHOOL, MANDAPAM
CAMP</t>
  </si>
  <si>
    <t>Ramanathapuram</t>
  </si>
  <si>
    <t>GT.HSS (BOYS), MANDAPAM CAMP was established in 1962 and it is managed by the Department of Education. It is located in Urban area. It is located in MANDAPAM block of RAMANATHAPURAM district of Tamil Nadu. The school consists of Grades from 6 to 12. The school is Boys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</si>
  <si>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SIM74269</t>
  </si>
  <si>
    <t>33151004709</t>
  </si>
  <si>
    <t>Voice based sign
language generator</t>
  </si>
  <si>
    <t>SJ RAKSHA</t>
  </si>
  <si>
    <t>ST.JOSEPHS ANGLO
INDIAN GIRLS HR.
SEC.SCHOOL</t>
  </si>
  <si>
    <t>And One Of The Most Coveted Institutions In The .</t>
  </si>
  <si>
    <t>. The school follows Anglo-Indian Board of education accreditation system (currently the Tamil Nadu State Board) from K-10, with the Higher secondary education automatically rolled over to Tamil Nadu State Board.</t>
  </si>
  <si>
    <t>SIM195965</t>
  </si>
  <si>
    <t>14030109904</t>
  </si>
  <si>
    <t>Automatic Dustbin or
Eco-friendly dustbin</t>
  </si>
  <si>
    <t>Chinlianmang
Suante</t>
  </si>
  <si>
    <t>ST PAULS INSTITUTE</t>
  </si>
  <si>
    <t>Manipur</t>
  </si>
  <si>
    <t>St. Paul'S Institute - New Lamka Churachandpur (Manipur)</t>
  </si>
  <si>
    <t>ST. PAUL'S INSTITUTE was established in 1986 and it is managed by the Pvt. Unaided. It is located in Rural area. It is located in CHURACHANDPUR block of CHURACHANDPUR district of Manipur. The school consists of Grades from 1 to 12. The school is Co-educational and it have an attached pre-primary section. The school is N/A in nature and is not using school building as a shift-school. English is the medium of instructions in this school. This school is approachable by all weather road. In this school academic session starts in April.</t>
  </si>
  <si>
    <t>SIM79865</t>
  </si>
  <si>
    <t>Pest control solutions:
reducing grasshopper
and insect damage to
crops in agricultural
communities</t>
  </si>
  <si>
    <t>CROP
PROTECTOR
TEAM</t>
  </si>
  <si>
    <t>SIM213553</t>
  </si>
  <si>
    <t>09100205414</t>
  </si>
  <si>
    <t>Ecofuel: transforming
plastic waste into
sustainable energy</t>
  </si>
  <si>
    <t>RVNIS2</t>
  </si>
  <si>
    <t>R V NORTHLAND
INTERNATIONAL
SCHOOL</t>
  </si>
  <si>
    <t>SIM188386</t>
  </si>
  <si>
    <t>Team legends</t>
  </si>
  <si>
    <t>SIM38171</t>
  </si>
  <si>
    <t>28112502213</t>
  </si>
  <si>
    <t>Smart toilet</t>
  </si>
  <si>
    <t>Robert hook</t>
  </si>
  <si>
    <t>ANDHRA PRADESH
SOCIAL WELFARE
RESIDENTIAL SCHOOL
JR COLLEGE GIRLS</t>
  </si>
  <si>
    <t>Ap Social Welfare Jr. College For Girls - Rayachoti Kadapa (Andhra Pradesh)</t>
  </si>
  <si>
    <t>AP SOCIAL WELFARE JR. COLLEGE FOR GIRLS was established in 2015 and it is managed by the Tribal/Social Welfare Department. It is located in Urban area. It is located in RAYACHOTY block of KADAPA district of ANDHRA PRADESH. The school consists of Grades from 11 to 12. The school is Girls and it doesn't have an attached pre-primary section. The school is Non-Ashram type (Govt.) in nature and is not using school building as a shift-school. English is the medium of instructions in this school. This school is approachable by all weather road. In this school academic session starts in April.</t>
  </si>
  <si>
    <t>SIM163937</t>
  </si>
  <si>
    <t>28130900205</t>
  </si>
  <si>
    <t>Smart eye</t>
  </si>
  <si>
    <t>Onuru Harika</t>
  </si>
  <si>
    <t>GTW ASHRAM SCHOOL
GIRLS TATIPARTHI</t>
  </si>
  <si>
    <t>Gtw Ashram School(G), Tatiparthi - Tatiparthi Visakhapatnam (Andhra Pradesh)</t>
  </si>
  <si>
    <t>GTW Ashram School(G), TATIPARTHI was established in 1975 and it is managed by the Tribal/Social Welfare Department. It is located in Rural area. It is located in V.MADUGULA block of VISAKHAPATNAM district of ANDHRA PRADESH. The school consists of Grades from 3 to 10. The school is Girls and it doesn't have an attached pre-primary section. The school is Ashram (Govt.) in nature and is not using school building as a shift-school. Telugu is the medium of instructions in this school. This school is approachable by all weather road. In this school academic session starts in April.</t>
  </si>
  <si>
    <t>SIM07924</t>
  </si>
  <si>
    <t>10201000119</t>
  </si>
  <si>
    <t>Feeding system</t>
  </si>
  <si>
    <t>smart
Innovators</t>
  </si>
  <si>
    <t>DELHI PUBLIC
SECONDARY SCHOOL</t>
  </si>
  <si>
    <t>SIM212348</t>
  </si>
  <si>
    <t>10130205002</t>
  </si>
  <si>
    <t>Automation train
coupling to avoid
human causality.</t>
  </si>
  <si>
    <t>TEAM RAMAN</t>
  </si>
  <si>
    <t>KENDRIYA
VIDAYALAYA AFS
DARBHANGA</t>
  </si>
  <si>
    <t>Kendriya Vidyalaya No.1, Gaya R.M.Building, Bageshwari Road Post : Gaya, Dist : Gaya, State : Bihar, Pin No.- 823002</t>
  </si>
  <si>
    <t>SIM203752</t>
  </si>
  <si>
    <t>22100726105</t>
  </si>
  <si>
    <t>Non Conventional eco-
friendly mobile
charger for sustainable
living</t>
  </si>
  <si>
    <t>Dhairya</t>
  </si>
  <si>
    <t>D.A.V.PUBLIC SCHOOL
HUDCO BHILAI</t>
  </si>
  <si>
    <t>SIM221422</t>
  </si>
  <si>
    <t>7010306804</t>
  </si>
  <si>
    <t>Acemaker -
multipurpose machine
for cottage industries</t>
  </si>
  <si>
    <t>Acemaker</t>
  </si>
  <si>
    <t>SIM214095</t>
  </si>
  <si>
    <t>Space Grip</t>
  </si>
  <si>
    <t>SIM21163</t>
  </si>
  <si>
    <t>7080317203</t>
  </si>
  <si>
    <t>F2P</t>
  </si>
  <si>
    <t>D.A.V. PUBLIC SCHOOL, Sector – B, Pocket – 1, VASANT KUNJ, NEW DELHI - 110070 | D A V PUBLIC SCHOOL , SECTOR-B, PKT-1, VASANT KUNJ, NEW DELHI-11000 | Sector- B Pocket-1 Vasant Kunj, New Delhi110070</t>
  </si>
  <si>
    <t>SIM07566</t>
  </si>
  <si>
    <t>7090917001</t>
  </si>
  <si>
    <t>U-turn accident
prevention</t>
  </si>
  <si>
    <t>Boomers</t>
  </si>
  <si>
    <t>SIM165140</t>
  </si>
  <si>
    <t>Sparta - multipurpose
military robot</t>
  </si>
  <si>
    <t>Skanda</t>
  </si>
  <si>
    <t>Kulachi Hansraj Model School, Ashok Vihar Phase-III Delhi - 068-ashok Vihar District North West Delhi (Delhi)</t>
  </si>
  <si>
    <t>SIM164865</t>
  </si>
  <si>
    <t>6180106416</t>
  </si>
  <si>
    <t>Fluidogram</t>
  </si>
  <si>
    <t>01G43</t>
  </si>
  <si>
    <t>SIM206308</t>
  </si>
  <si>
    <t>6180106421</t>
  </si>
  <si>
    <t>Sustainable, Smart &amp;
Renewable Energy City</t>
  </si>
  <si>
    <t>Electric JPJ</t>
  </si>
  <si>
    <t>DELHI PUBLIC
SCHOOL SUSHANT LOK</t>
  </si>
  <si>
    <t>Delhi Public School Sushant Lok Ranked Number 1 in Both Haryana and Gurugram for Holistic Education</t>
  </si>
  <si>
    <t>SIM13216</t>
  </si>
  <si>
    <t>2050602003</t>
  </si>
  <si>
    <t>Sunlit Glide</t>
  </si>
  <si>
    <t>Science
panther</t>
  </si>
  <si>
    <t>SIM13806</t>
  </si>
  <si>
    <t>2020210102</t>
  </si>
  <si>
    <t>Glucose Monitoring
System</t>
  </si>
  <si>
    <t>Kinetic
Innovators</t>
  </si>
  <si>
    <t>RAINBOW WORLD
SCHOOL KANGRA</t>
  </si>
  <si>
    <t>Nagrota Bagwan, Kangra, Himachal Pradesh  - 176047</t>
  </si>
  <si>
    <t>, Rainbow International School (RIS) has an enrollment of around 2000 students and offers a strong foundation in both academics and values. As a leading day boarding school in Himachal Pradesh, RIS promotes holistic development, combining modern teaching methods with a focus on ethics, leadership, and creativity. With its strategic location and exceptional facilities, RIS is a preferred choice for parents seeking the best school in Nagrota Bagwan, Kangra, and surrounding areas.</t>
  </si>
  <si>
    <t>SIM17405</t>
  </si>
  <si>
    <t>1191504101</t>
  </si>
  <si>
    <t>Iot Based Patient
Health Monitoring
System</t>
  </si>
  <si>
    <t>Rising Star</t>
  </si>
  <si>
    <t>GOVERNMENT BOYS
HIGHER SECONDARY
SCHOOL WANGATH</t>
  </si>
  <si>
    <t>Education | Ganderbal, Government Of Jammu And Kashmir | India</t>
  </si>
  <si>
    <t>SIM159191</t>
  </si>
  <si>
    <t>29300701605</t>
  </si>
  <si>
    <t>Bluetooth powered
gateway</t>
  </si>
  <si>
    <t>BHARATESH</t>
  </si>
  <si>
    <t>BHARATESH COMP PU
COLLEGE HIGH
SCHOOL SECTION
BELLAD BAGEWADI</t>
  </si>
  <si>
    <t>Bharatesh Pu Coll Bellad Bagewadi - Bellad  Bagewadi Belagavi Chikkodi (Karnataka)</t>
  </si>
  <si>
    <t>BHARATESH PU COLL BELLAD BAGEWADI was established in 1984 and it is managed by the Pvt. Unaided. It is located in Rural area. It is located in HUKKERI block of BELAGAVI CHIKKODI district of Karnataka. The school consists of Grades from 11 to 12. The school is Co-educational and it doesn't have an attached pre-primary section. The school is others in nature and is not using school building as a shift-school. English is the medium of instructions in this school. This school is approachable by all weather road. In this school academic session starts in April.</t>
  </si>
  <si>
    <t>SIM197373</t>
  </si>
  <si>
    <t>29181034601</t>
  </si>
  <si>
    <t>Overload Alert System</t>
  </si>
  <si>
    <t>CodeCatalysts</t>
  </si>
  <si>
    <t>MAHATMA GANDHI
GOVT JUNIOR
COLLEGE TUMKUR</t>
  </si>
  <si>
    <t>GOVT. JUNIOR COLLEGE MAHATHMA GANDHI KUNIGAL Ward-21 - Kunigal (tmc) Ward 21 District Tumakuru (Karnataka)</t>
  </si>
  <si>
    <t>SIM192396</t>
  </si>
  <si>
    <t>29240204806</t>
  </si>
  <si>
    <t>Laser Security System
Using Ldr, Laser,
Arduino, and Buzzer</t>
  </si>
  <si>
    <t>Team Laser
security</t>
  </si>
  <si>
    <t>GHS NADA</t>
  </si>
  <si>
    <t>Consultants Details</t>
  </si>
  <si>
    <t>SIM213616</t>
  </si>
  <si>
    <t>Z9200111536</t>
  </si>
  <si>
    <t>Warming to Wah!</t>
  </si>
  <si>
    <t>Viren and
Sparsh</t>
  </si>
  <si>
    <t>NATIONAL HILL VIEW
PUBLIC SCHOOL</t>
  </si>
  <si>
    <t>SIM187862</t>
  </si>
  <si>
    <t>29240501310</t>
  </si>
  <si>
    <t>Accident Alert Wheel
Chair</t>
  </si>
  <si>
    <t>Star birds</t>
  </si>
  <si>
    <t>GOVERNMENT HIGH
SCHOOL ELIMALE</t>
  </si>
  <si>
    <t>Dkzp Govt. High School Elimale - Devachalla Dakshina Kannada (Karnataka)</t>
  </si>
  <si>
    <t>DKZP GOVT. HIGH SCHOOL ELIMALE was established in 1982 and it is managed by the Department of Education. It is located in Rural area. It is located in SULLIA block of DAKSHINA KANNADA district of Karnataka. The school consists of Grades from 8 to 10. The school is Co-educational and it doesn't have an attached pre-primary section. The school is N/A in nature and is not using school building as a shift-school. Kannada is the medium of instructions in this school. This school is approachable by all weather road. In this school academic session starts in April.</t>
  </si>
  <si>
    <t>SIM152558</t>
  </si>
  <si>
    <t>32050700406</t>
  </si>
  <si>
    <t>Hydrogen Generated
Through The
Electrolysis Of Water
Using Renewable
Energy</t>
  </si>
  <si>
    <t>SSMUPS
VADAKKUMMURI</t>
  </si>
  <si>
    <t>Ssmups Vadakkumuri - Nannamukku Malappuram (Kerala)</t>
  </si>
  <si>
    <t>SSMUPS VADAKKUMURI was established in 1976 and it is managed by the Pvt. Aided. It is located in Rural area. It is located in EDAPPAL block of MALAPPURAM district of Kerala. The school consists of Grades from 5 to 7.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</si>
  <si>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SIM85880</t>
  </si>
  <si>
    <t>32070802101</t>
  </si>
  <si>
    <t>Cyber Security And
Future Energy</t>
  </si>
  <si>
    <t>Soul thinkers</t>
  </si>
  <si>
    <t>DEEPTHI H S
THALORE</t>
  </si>
  <si>
    <t>Deepthi Higher Secondary School | Thrissur, Government Of Kerala | India</t>
  </si>
  <si>
    <t>DEEPTHI HS THALORE was established in 1976 and it is managed by the Pvt. Aided. It is located in Rural area. It is located in KODAKARA block of THRISSUR district of Kerala. The school consists of Grades from 8 to 12.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</si>
  <si>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SIM144033</t>
  </si>
  <si>
    <t>32030301304</t>
  </si>
  <si>
    <t>Traffic Electricity</t>
  </si>
  <si>
    <t>CHENNALODE
MARATHON</t>
  </si>
  <si>
    <t>GUPS CHENNALODE</t>
  </si>
  <si>
    <t>Gups Chennalode - Kavumannam Wayanad (Kerala)</t>
  </si>
  <si>
    <t>GUPS CHENNALODE was established in 1955 and it is managed by the Department of Education. It is located in Rural area. It is located in VYTHIRI block of WAYANAD district of Kerala. The school consists of Grades from 1 to 7. The school is Co-educational and it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</si>
  <si>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SIM191487</t>
  </si>
  <si>
    <t>Techgate</t>
  </si>
  <si>
    <t>TechGate
Innovator Duo</t>
  </si>
  <si>
    <t>SIM21053</t>
  </si>
  <si>
    <t>32141000814</t>
  </si>
  <si>
    <t>Micro Hydropower
System</t>
  </si>
  <si>
    <t>BETA</t>
  </si>
  <si>
    <t>ST GORETTIS H S
NALANCHIRA</t>
  </si>
  <si>
    <t>St.Gorttis Hs Nalanchira - Kudappanakunnu Thiruvananthapuram (Kerala)</t>
  </si>
  <si>
    <t>ST.GORTTIS HS NALANCHIRA was established in 1955 and it is managed by the Pvt. Aided. It is located in Urban area. It is located in TRIVANDRUM NORTH block of THIRUVANANTHAPURAM district of Kerala. The school consists of Grades from 5 to 10.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</si>
  <si>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SIM169625</t>
  </si>
  <si>
    <t>32040900408</t>
  </si>
  <si>
    <t>Heavy Rainfall Alerter</t>
  </si>
  <si>
    <t>APJ</t>
  </si>
  <si>
    <t>KARAYAD A U P
SCHOOL</t>
  </si>
  <si>
    <t>Karayad Aups - Arikkulam Kozhikode (Kerala)</t>
  </si>
  <si>
    <t>KARAYAD AUPS was established in 1965 and it is managed by the Pvt. Aided. It is located in Rural area. It is located in PANTHALAYANI block of KOZHIKODE district of Kerala. The school consists of Grades from 5 to 7. The school is Co-educational and it doesn't have an attached pre-primary section. The school is Not Applicable in nature and is not using school building as a shift-school. Malayalam is the medium of instructions in this school. This school is approachable by all weather road. In this school academic session starts in April.</t>
  </si>
  <si>
    <t>SIM224372</t>
  </si>
  <si>
    <t>32071205402</t>
  </si>
  <si>
    <t>Brawny</t>
  </si>
  <si>
    <t>Ghss Pattikkad
hss</t>
  </si>
  <si>
    <t>GHSS PATTIKKAD</t>
  </si>
  <si>
    <t>Merit</t>
  </si>
  <si>
    <t>Govt. Higher Secondary School, Pattikkad, Malappuram was established in 1910 and it is managed by the Department of Education, Govt. of Kerala. The school is situated in a beautiful residential area with peaceful surroundings at Pattikkad, nearly six kilometers from Perinthalmanna town. It is the one and only Govt. HSS in Keezhattur Grama Panchayath of Manjeri Assembly Constituency.</t>
  </si>
  <si>
    <t>SIM192030</t>
  </si>
  <si>
    <t>13030102701</t>
  </si>
  <si>
    <t>Smart Cane</t>
  </si>
  <si>
    <t>MGHSS
MOKOKCHUN
G</t>
  </si>
  <si>
    <t>PM SHRI MGHSS
MOKOKCHUNG</t>
  </si>
  <si>
    <t>Mokokchung</t>
  </si>
  <si>
    <t>The International Day of Yoga (IDY) was observed across the 9 (Nine) PM SHRI Schools in Nagaland on 21 | Upper Bayavu Hill, Kohima-797001, Nagaland.</t>
  </si>
  <si>
    <t>SIM223181</t>
  </si>
  <si>
    <t>21281004202</t>
  </si>
  <si>
    <t>Over temp alarm to
avoid sunstroke.</t>
  </si>
  <si>
    <t>PATHANI
SAMANTA
GROUP
BAKODA</t>
  </si>
  <si>
    <t>GOVT UG HIGH
SCHOOL BAKODA</t>
  </si>
  <si>
    <t>Ug High School Bokada - Bokada Nabarangpur (Orissa)</t>
  </si>
  <si>
    <t>DIET, At- Gudianali, (Near Town Police Station), 759001, Dhenkanal, Odisha | RTI CMM is a Central Monitoring Mechanism by Govt. of Odisha to ensure the implementation of Right to Information Act, 2005 at all public authorities of Govt. of Odisha. This is developed with an objective to provide single point access of all RTI related information catering to Section-4, Section-25 of RTI Act, 2005 in an uniform manner. This project is monitored by Department of Information &amp; Public Relations, Govt. of Odisha [Nodal Department of Govt. of Odisha for RTI Implementation] in collaboration with Luminous Infoways. Content on this website is published by respective public authorities and managed by Information &amp; Public Relations Department, Govt. of Odisha. For any query regarding this website please contact Web Information Leader : Sri Gurbir Singh, Technical Director(RTI), RTI Implementation, Odisha. e-mail: rti-ori[at]nic[dot]in. | Government of Odisha has evolved this dedicated portal for "Right to Information" (RTI). Information &amp; Public Relations Department is monitoring it. It has been developed with an objective to provide single point access to all information and services mandatory under the RTI Act, 2005 in respect of all Public Authorities/ Government Offices/ Autonomous Bodies under Government of Odisha.</t>
  </si>
  <si>
    <t>SIM202449</t>
  </si>
  <si>
    <t>3090508627</t>
  </si>
  <si>
    <t>Automated gate for
overflow</t>
  </si>
  <si>
    <t>Earth
avengers</t>
  </si>
  <si>
    <t>SIM55883</t>
  </si>
  <si>
    <t>8250606305</t>
  </si>
  <si>
    <t>Wrist watch inhaler</t>
  </si>
  <si>
    <t>JNVRAJ</t>
  </si>
  <si>
    <t>PM SHRI SCHOOL JNV
RAJSAMAND</t>
  </si>
  <si>
    <t>Rajsamand Was Constituted On 10</t>
  </si>
  <si>
    <t>Jawahar Navodaya Vidyalaya, Gadriyawas, Rajnagar Bypass, NH - 8, Rajsamand, District Rajsamand, Rajasthan, INDIA PIN - 313324 | The 22th Dec, 1986 was the most auspicious day when the foundation stone of Jawahar Navodaya Vidyalaya, Rajsamand, was laid down by Hon Sh. Hiralal Devpura, State Manister of Rajsamand. The school campus covers around 30 acres of forested hillside with its buildings connected by steep and windy paths and offering spectacular views at every turn. These buildings include the beautiful old Quad, the modern state of art infrastructure and the newly-refurbished student hostels and staff houses. The academic buildings including several classrooms are linked by a computer network. The widespread use of email and an intranet system shrinks the distances and keeps staff, students and administration in quick and easy contact with one another. The Vidyalaya is surrounded by the grove of pine trees on the main Ajmer-Udaipur National Highway (NH-08), at Rajsamand. The school is located on the lap of hill area, at Rajnagar Bypass, village Gadriyawas (Its inside Rajsamand municipality area), Rajsamand, distt- Rajsamand, Rajasthan. | NAVODAYA VIDYALAYA SAMITI: JAIPUR REGION, SECTOR-5, NEAR PARISHKAR COLLEGE, BEHIND HCG HOSPITAL, MANSAROVAR, JAIPUR -302020 (Rajasthan)</t>
  </si>
  <si>
    <t>SIM72950</t>
  </si>
  <si>
    <t>33031403301</t>
  </si>
  <si>
    <t>Bicycle weeder</t>
  </si>
  <si>
    <t>SILVER MBM</t>
  </si>
  <si>
    <t>GHSS MADAMBAKKAM</t>
  </si>
  <si>
    <t>Ghss, Madambakkam - Madambakkam Kancheepuram (Tamil Nadu)</t>
  </si>
  <si>
    <t>GHSS, Madambakkam was established in 1975 and it is managed by the Department of Education. It is located in Rural area. It is located in St. Thomas Mount (Rural) block of KANCHEEPURAM district of Tamil Nadu. The school consists of Grades from 6 to 12. The school is Co-educational and it doesn't have an attached pre-primary section. The school is Non-Ashram type (Govt.) in nature and is not using school building as a shift-school. Tamil is the medium of instructions in this school. This school is approachable by all weather road. In this school academic session starts in April.</t>
  </si>
  <si>
    <t>SIM216100</t>
  </si>
  <si>
    <t>33151004603</t>
  </si>
  <si>
    <t>Grace - global response
for accessible care and
empowerment</t>
  </si>
  <si>
    <t>KN09T14</t>
  </si>
  <si>
    <t>KAMALA NIKETAN
MONTESSORI SCHOOL</t>
  </si>
  <si>
    <t>Established in 1991, Kamala Niketan Montessori school is a pre-eminent individual co-educational day school(with a boarding facility for senior students) in Trichy, Tamil Nadu.</t>
  </si>
  <si>
    <t>SIM187376</t>
  </si>
  <si>
    <t>33020100604</t>
  </si>
  <si>
    <t>Green energy from
highways</t>
  </si>
  <si>
    <t>GOAT</t>
  </si>
  <si>
    <t>CHENNAI HIGHER
SECONDARY SCHOOL,
731, T.H. ROAD, CH-81.</t>
  </si>
  <si>
    <t>731, Thiruvottiyur High Rd, New Washermenpet, Tondiarpet, Chennai, Tamil Nadu 600081, , Chennai, Tamil Nadu, 600081</t>
  </si>
  <si>
    <t>SIM56517</t>
  </si>
  <si>
    <t>33140301510</t>
  </si>
  <si>
    <t>River cleaning robot</t>
  </si>
  <si>
    <t>Lavender</t>
  </si>
  <si>
    <t>USWATHUN HASANA
ORIENTAL
ARABIC,PALLAPATTI</t>
  </si>
  <si>
    <t>Of Tamil Nadu State. Out Of About 75,000 Of The Town'S Population, Almost</t>
  </si>
  <si>
    <t>USWATHUN HASANA ORIENTAL ARABI was established in 1974 and it is managed by the Pvt. Aided. It is located in Urban area. It is located in ARAVAKURICHI block of KARUR district of Tamil Nadu. The school consists of Grades from 6 to 12. The school is Girls and it doesn't have an attached pre-primary section. The school is N/A in nature and is not using school building as a shift-school. Tamil is the medium of instructions in this school. This school is approachable by all weather road. In this school academic session starts in April.</t>
  </si>
  <si>
    <t>SIM186586</t>
  </si>
  <si>
    <t>36120700736</t>
  </si>
  <si>
    <t>Sound scape assists :
empowering silence</t>
  </si>
  <si>
    <t>TELANGANA SOCIAL
WELFARE
RESIDENTIAL SCHOOL
WARDHANNAPET AT
MADIKONDA</t>
  </si>
  <si>
    <t>Ts Social Welfare Residential Schools (Tswreis) In Hanumakonda</t>
  </si>
  <si>
    <t>SIM186552</t>
  </si>
  <si>
    <t>Safemove: Enhancing
mobility and safety for
the visually impaired</t>
  </si>
  <si>
    <t>Team 4</t>
  </si>
  <si>
    <t>SIM04114</t>
  </si>
  <si>
    <t>9670909806</t>
  </si>
  <si>
    <t>Swasth - mobility aids
for senior and disabled
individuals consisting
of advanced features
and personalized
functionalities.</t>
  </si>
  <si>
    <t>Technowares</t>
  </si>
  <si>
    <t>SIM01414</t>
  </si>
  <si>
    <t>9670104102</t>
  </si>
  <si>
    <t>Instructus drive</t>
  </si>
  <si>
    <t>SBSBGN
Instructus
Drive</t>
  </si>
  <si>
    <t>SIM188127</t>
  </si>
  <si>
    <t>19170107529</t>
  </si>
  <si>
    <t>Fuel flow sense</t>
  </si>
  <si>
    <t>FUEL FLOW
SENSE</t>
  </si>
  <si>
    <t>KENDRIYA VIDYALAYA
BALLYGUNGE</t>
  </si>
  <si>
    <t>Kendriya Vidyalaya Ballygunge, Ballygunge Maidan Camp, Ballygunge Circular Road, Kolkata – 700019 (West Bengal)</t>
  </si>
  <si>
    <t>SIM197028</t>
  </si>
  <si>
    <t>12140703101</t>
  </si>
  <si>
    <t>Amchi Chikne Nam -
seed sower</t>
  </si>
  <si>
    <t>The incredible</t>
  </si>
  <si>
    <t>PM SHRI KGBV
NYAPIN</t>
  </si>
  <si>
    <t>KGBV, NYAPIN was established in 2008 and it is managed by the Department of Education. It is located in Rural area. It is located in NYAPIN-PHASSANG block of KURUNG KUMEY district of Arunachal Pradesh. The school consists of Grades from 6 to 8. The school is Girls and it doesn't have an attached pre-primary section. The school is Kasturba Gandhi Balika Vidhyalaya (KGBV) in nature and is not using school building as a shift-school. English is the medium of instructions in this school. This school is approachable by all weather road. In this school academic session starts in April.</t>
  </si>
  <si>
    <t>SIM01413</t>
  </si>
  <si>
    <t>18140501001</t>
  </si>
  <si>
    <t>FLOATING
VEGETABLE GARDEN</t>
  </si>
  <si>
    <t>Progyan</t>
  </si>
  <si>
    <t>SARVAJANIN H S
VALIKA VIDYALAYA
TINSUKIA</t>
  </si>
  <si>
    <t>Sarvajanin Hs Valika Vidyalaya - Ward No-10, Tinsukia Tinsukia (Assam)</t>
  </si>
  <si>
    <t>SARVAJANIN HS VALIKA VIDYALAYA - Ward No-10, Tinsukia District Tinsukia (Assam)</t>
  </si>
  <si>
    <t>SIM203392</t>
  </si>
  <si>
    <t>14060208301</t>
  </si>
  <si>
    <t>Arduino Based Smart
Parking System</t>
  </si>
  <si>
    <t>SIM team 1
Nilapadma</t>
  </si>
  <si>
    <t>NILAPADMA HIGHER
SECONDARY SCHOOL
IMPHAL WEST</t>
  </si>
  <si>
    <t>Nilapadama Hr. Sec.School -  Sekmai Ward No. 1 Imphal West (Manipur)</t>
  </si>
  <si>
    <t>NILAPADAMA HR. SEC.SCHOOL - Sekmai Ward No. 1 District Imphal West (Manipur)</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</si>
</sst>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color theme="1"/>
      <name val="Calibri"/>
      <scheme val="minor"/>
    </font>
    <font>
      <u/>
      <color rgb="FF0000FF"/>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3" numFmtId="0" xfId="0" applyAlignment="1" applyFont="1">
      <alignment shrinkToFit="0" wrapText="1"/>
    </xf>
    <xf borderId="0" fillId="0" fontId="4"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10.86"/>
    <col customWidth="1" min="3" max="3" width="13.29"/>
    <col customWidth="1" min="4" max="4" width="21.0"/>
    <col customWidth="1" min="5" max="5" width="14.0"/>
    <col customWidth="1" min="6" max="6" width="21.0"/>
    <col customWidth="1" min="7" max="7" width="13.0"/>
    <col customWidth="1" min="8" max="8" width="85.86"/>
    <col customWidth="1" min="9" max="9" width="83.43"/>
    <col customWidth="1" min="10" max="10" width="16.0"/>
    <col customWidth="1" min="11" max="11" width="48.29"/>
    <col customWidth="1" min="12" max="12" width="91.57"/>
    <col customWidth="1" min="13" max="26" width="8.71"/>
  </cols>
  <sheetData>
    <row r="1">
      <c r="A1" s="1" t="s">
        <v>0</v>
      </c>
      <c r="B1" s="1" t="s">
        <v>1</v>
      </c>
      <c r="C1" s="1" t="s">
        <v>2</v>
      </c>
      <c r="D1" s="1" t="s">
        <v>3</v>
      </c>
      <c r="E1" s="1" t="s">
        <v>4</v>
      </c>
      <c r="F1" s="1" t="s">
        <v>5</v>
      </c>
      <c r="G1" s="1" t="s">
        <v>6</v>
      </c>
      <c r="H1" s="2" t="s">
        <v>7</v>
      </c>
      <c r="I1" s="1" t="s">
        <v>8</v>
      </c>
      <c r="J1" s="1" t="s">
        <v>9</v>
      </c>
      <c r="K1" s="1" t="s">
        <v>10</v>
      </c>
      <c r="L1" s="2" t="s">
        <v>11</v>
      </c>
    </row>
    <row r="2">
      <c r="A2" s="3">
        <v>1.0</v>
      </c>
      <c r="B2" s="3" t="s">
        <v>12</v>
      </c>
      <c r="C2" s="3" t="s">
        <v>13</v>
      </c>
      <c r="D2" s="3" t="s">
        <v>14</v>
      </c>
      <c r="E2" s="3" t="s">
        <v>15</v>
      </c>
      <c r="F2" s="3" t="s">
        <v>16</v>
      </c>
      <c r="G2" s="3" t="s">
        <v>17</v>
      </c>
      <c r="H2" s="4" t="str">
        <f>HYPERLINK("https://spicschool.com/", "https://spicschool.com/")</f>
        <v>https://spicschool.com/</v>
      </c>
      <c r="I2" s="3" t="s">
        <v>18</v>
      </c>
      <c r="J2" s="3" t="str">
        <f>HYPERLINK("tel:+914612355066", "+914612355066")</f>
        <v>+914612355066</v>
      </c>
      <c r="K2" s="5" t="str">
        <f>HYPERLINK("mailto:contact@spicschool.com", "contact@spicschool.com")</f>
        <v>contact@spicschool.com</v>
      </c>
      <c r="L2" s="6" t="s">
        <v>18</v>
      </c>
    </row>
    <row r="3">
      <c r="A3" s="3">
        <v>2.0</v>
      </c>
      <c r="B3" s="3" t="s">
        <v>19</v>
      </c>
      <c r="C3" s="3" t="s">
        <v>20</v>
      </c>
      <c r="D3" s="3" t="s">
        <v>21</v>
      </c>
      <c r="E3" s="3" t="s">
        <v>22</v>
      </c>
      <c r="F3" s="3" t="s">
        <v>23</v>
      </c>
      <c r="G3" s="3" t="s">
        <v>24</v>
      </c>
      <c r="H3" s="4" t="str">
        <f>HYPERLINK("https://mris.edu.in/", "https://mris.edu.in/")</f>
        <v>https://mris.edu.in/</v>
      </c>
      <c r="J3" s="3" t="str">
        <f>HYPERLINK("tel:+919098991000", "+919098991000")</f>
        <v>+919098991000</v>
      </c>
      <c r="K3" s="5" t="str">
        <f>HYPERLINK("mailto:counsellor.mris14@mris.edu.in", "counsellor.mris14@mris.edu.in")</f>
        <v>counsellor.mris14@mris.edu.in</v>
      </c>
      <c r="L3" s="6" t="s">
        <v>25</v>
      </c>
    </row>
    <row r="4">
      <c r="A4" s="3">
        <v>3.0</v>
      </c>
      <c r="B4" s="3" t="s">
        <v>26</v>
      </c>
      <c r="C4" s="3" t="s">
        <v>27</v>
      </c>
      <c r="D4" s="3" t="s">
        <v>28</v>
      </c>
      <c r="E4" s="3" t="s">
        <v>29</v>
      </c>
      <c r="F4" s="3" t="s">
        <v>30</v>
      </c>
      <c r="G4" s="3" t="s">
        <v>31</v>
      </c>
      <c r="H4" s="4" t="str">
        <f>HYPERLINK("https://excelpublicschool.com/", "https://excelpublicschool.com/")</f>
        <v>https://excelpublicschool.com/</v>
      </c>
      <c r="J4" s="3" t="str">
        <f>HYPERLINK("tel:+918212971004", "+918212971004")</f>
        <v>+918212971004</v>
      </c>
      <c r="K4" s="5" t="str">
        <f>HYPERLINK("mailto:eps@excelpublicschool.com", "eps@excelpublicschool.com")</f>
        <v>eps@excelpublicschool.com</v>
      </c>
      <c r="L4" s="6" t="s">
        <v>32</v>
      </c>
    </row>
    <row r="5">
      <c r="A5" s="3">
        <v>4.0</v>
      </c>
      <c r="B5" s="3" t="s">
        <v>33</v>
      </c>
      <c r="C5" s="3" t="s">
        <v>34</v>
      </c>
      <c r="D5" s="3" t="s">
        <v>35</v>
      </c>
      <c r="E5" s="3" t="s">
        <v>36</v>
      </c>
      <c r="F5" s="3" t="s">
        <v>37</v>
      </c>
      <c r="G5" s="3" t="s">
        <v>38</v>
      </c>
      <c r="H5" s="4" t="str">
        <f>HYPERLINK("https://www.justdial.com/Nashik/Vainateya-Vidyalaya-Jr-College-Of-Science-Niphad/0253PX253-X253-250805135625-Z7X5_BZDET", "https://www.justdial.com/Nashik/Vainateya-Vidyalaya-Jr-College-Of-Science-Niphad/0253PX253-X253-250805135625-Z7X5_BZDET")</f>
        <v>https://www.justdial.com/Nashik/Vainateya-Vidyalaya-Jr-College-Of-Science-Niphad/0253PX253-X253-250805135625-Z7X5_BZDET</v>
      </c>
      <c r="I5" s="3" t="s">
        <v>39</v>
      </c>
      <c r="J5" s="3" t="str">
        <f>HYPERLINK("tel:nan", "nan")</f>
        <v>nan</v>
      </c>
      <c r="K5" s="5" t="str">
        <f>HYPERLINK("mailto:nan", "nan")</f>
        <v>nan</v>
      </c>
      <c r="L5" s="6" t="s">
        <v>39</v>
      </c>
    </row>
    <row r="6">
      <c r="A6" s="3">
        <v>5.0</v>
      </c>
      <c r="B6" s="3" t="s">
        <v>40</v>
      </c>
      <c r="C6" s="3" t="s">
        <v>41</v>
      </c>
      <c r="D6" s="3" t="s">
        <v>42</v>
      </c>
      <c r="E6" s="3" t="s">
        <v>43</v>
      </c>
      <c r="F6" s="3" t="s">
        <v>44</v>
      </c>
      <c r="G6" s="3" t="s">
        <v>17</v>
      </c>
      <c r="H6" s="4" t="str">
        <f>HYPERLINK("https://www.stxaviershsspalay.com/", "https://www.stxaviershsspalay.com/")</f>
        <v>https://www.stxaviershsspalay.com/</v>
      </c>
      <c r="I6" s="3" t="s">
        <v>45</v>
      </c>
      <c r="J6" s="3" t="str">
        <f>HYPERLINK("tel:+914622560274", "+914622560274")</f>
        <v>+914622560274</v>
      </c>
      <c r="K6" s="5" t="str">
        <f>HYPERLINK("mailto:sxhss@hotmail.com", "sxhss@hotmail.com")</f>
        <v>sxhss@hotmail.com</v>
      </c>
      <c r="L6" s="6"/>
    </row>
    <row r="7">
      <c r="A7" s="3">
        <v>6.0</v>
      </c>
      <c r="B7" s="3" t="s">
        <v>46</v>
      </c>
      <c r="C7" s="3" t="s">
        <v>47</v>
      </c>
      <c r="D7" s="3" t="s">
        <v>48</v>
      </c>
      <c r="E7" s="3" t="s">
        <v>49</v>
      </c>
      <c r="F7" s="3" t="s">
        <v>50</v>
      </c>
      <c r="G7" s="3" t="s">
        <v>51</v>
      </c>
      <c r="H7" s="4" t="str">
        <f>HYPERLINK("http://davbilaspur.in/", "http://davbilaspur.in/")</f>
        <v>http://davbilaspur.in/</v>
      </c>
      <c r="I7" s="3" t="s">
        <v>52</v>
      </c>
      <c r="J7" s="3" t="str">
        <f>HYPERLINK("tel:+919805153496", "+919805153496")</f>
        <v>+919805153496</v>
      </c>
      <c r="K7" s="5" t="str">
        <f>HYPERLINK("mailto:davblp2008@rediffmail.com", "davblp2008@rediffmail.com")</f>
        <v>davblp2008@rediffmail.com</v>
      </c>
      <c r="L7" s="6"/>
    </row>
    <row r="8">
      <c r="A8" s="3">
        <v>7.0</v>
      </c>
      <c r="B8" s="3" t="s">
        <v>53</v>
      </c>
      <c r="C8" s="3" t="s">
        <v>54</v>
      </c>
      <c r="D8" s="3" t="s">
        <v>55</v>
      </c>
      <c r="E8" s="3" t="s">
        <v>56</v>
      </c>
      <c r="F8" s="3" t="s">
        <v>57</v>
      </c>
      <c r="G8" s="3" t="s">
        <v>58</v>
      </c>
      <c r="H8" s="4" t="str">
        <f>HYPERLINK("https://schools.org.in/malappuram/32050700302/kmgups-thavanur.html", "https://schools.org.in/malappuram/32050700302/kmgups-thavanur.html")</f>
        <v>https://schools.org.in/malappuram/32050700302/kmgups-thavanur.html</v>
      </c>
      <c r="I8" s="3" t="s">
        <v>59</v>
      </c>
      <c r="J8" s="3" t="str">
        <f>HYPERLINK("tel:+912334643866", "+912334643866")</f>
        <v>+912334643866</v>
      </c>
      <c r="K8" s="5" t="str">
        <f>HYPERLINK("mailto:nan", "nan")</f>
        <v>nan</v>
      </c>
      <c r="L8" s="6" t="s">
        <v>59</v>
      </c>
    </row>
    <row r="9">
      <c r="A9" s="3">
        <v>8.0</v>
      </c>
      <c r="B9" s="3" t="s">
        <v>60</v>
      </c>
      <c r="C9" s="3" t="s">
        <v>61</v>
      </c>
      <c r="D9" s="3" t="s">
        <v>62</v>
      </c>
      <c r="E9" s="3" t="s">
        <v>63</v>
      </c>
      <c r="F9" s="3" t="s">
        <v>64</v>
      </c>
      <c r="G9" s="3" t="s">
        <v>38</v>
      </c>
      <c r="H9" s="4" t="str">
        <f>HYPERLINK("http://svrdjalgaonjamod.edu.in/7th/", "http://svrdjalgaonjamod.edu.in/7th/")</f>
        <v>http://svrdjalgaonjamod.edu.in/7th/</v>
      </c>
      <c r="J9" s="3" t="str">
        <f>HYPERLINK("tel:nan", "nan")</f>
        <v>nan</v>
      </c>
      <c r="K9" s="5" t="str">
        <f>HYPERLINK("mailto:info@careers360.com", "info@careers360.com")</f>
        <v>info@careers360.com</v>
      </c>
      <c r="L9" s="6"/>
    </row>
    <row r="10">
      <c r="A10" s="3">
        <v>9.0</v>
      </c>
      <c r="B10" s="3" t="s">
        <v>65</v>
      </c>
      <c r="C10" s="3" t="s">
        <v>66</v>
      </c>
      <c r="D10" s="3" t="s">
        <v>67</v>
      </c>
      <c r="E10" s="3" t="s">
        <v>68</v>
      </c>
      <c r="F10" s="3" t="s">
        <v>69</v>
      </c>
      <c r="G10" s="3" t="s">
        <v>70</v>
      </c>
      <c r="H10" s="4" t="str">
        <f>HYPERLINK("https://www.modernschooldpr.com/", "https://www.modernschooldpr.com/")</f>
        <v>https://www.modernschooldpr.com/</v>
      </c>
      <c r="I10" s="3" t="s">
        <v>71</v>
      </c>
      <c r="J10" s="3" t="str">
        <f>HYPERLINK("tel:+912964233397", "+912964233397")</f>
        <v>+912964233397</v>
      </c>
      <c r="K10" s="5" t="str">
        <f>HYPERLINK("mailto:modernschooldpr@yahoo.com", "modernschooldpr@yahoo.com")</f>
        <v>modernschooldpr@yahoo.com</v>
      </c>
      <c r="L10" s="6" t="s">
        <v>72</v>
      </c>
    </row>
    <row r="11">
      <c r="A11" s="3">
        <v>10.0</v>
      </c>
      <c r="B11" s="3" t="s">
        <v>73</v>
      </c>
      <c r="C11" s="3" t="s">
        <v>74</v>
      </c>
      <c r="D11" s="3" t="s">
        <v>75</v>
      </c>
      <c r="E11" s="3" t="s">
        <v>76</v>
      </c>
      <c r="F11" s="3" t="s">
        <v>77</v>
      </c>
      <c r="G11" s="3" t="s">
        <v>17</v>
      </c>
      <c r="H11" s="4" t="str">
        <f>HYPERLINK("https://www.justdial.com/Chennai/Annai-Vailankanni-Matriculation-School-Shastri-Nagar-Vyasarpadi/044PXX44-XX44-200628072130-Q3F2_BZDET", "https://www.justdial.com/Chennai/Annai-Vailankanni-Matriculation-School-Shastri-Nagar-Vyasarpadi/044PXX44-XX44-200628072130-Q3F2_BZDET")</f>
        <v>https://www.justdial.com/Chennai/Annai-Vailankanni-Matriculation-School-Shastri-Nagar-Vyasarpadi/044PXX44-XX44-200628072130-Q3F2_BZDET</v>
      </c>
      <c r="I11" s="3" t="s">
        <v>78</v>
      </c>
      <c r="J11" s="3" t="str">
        <f>HYPERLINK("tel:+914222595550", "+914222595550")</f>
        <v>+914222595550</v>
      </c>
      <c r="K11" s="5" t="str">
        <f>HYPERLINK("mailto:annaimhs@gmail.com", "annaimhs@gmail.com")</f>
        <v>annaimhs@gmail.com</v>
      </c>
      <c r="L11" s="6" t="s">
        <v>79</v>
      </c>
    </row>
    <row r="12">
      <c r="A12" s="3">
        <v>11.0</v>
      </c>
      <c r="B12" s="3" t="s">
        <v>80</v>
      </c>
      <c r="C12" s="3" t="s">
        <v>81</v>
      </c>
      <c r="D12" s="3" t="s">
        <v>82</v>
      </c>
      <c r="E12" s="3" t="s">
        <v>83</v>
      </c>
      <c r="F12" s="3" t="s">
        <v>84</v>
      </c>
      <c r="G12" s="3" t="s">
        <v>85</v>
      </c>
      <c r="H12" s="4" t="str">
        <f>HYPERLINK("https://khagaul.kvs.ac.in/en/", "https://khagaul.kvs.ac.in/en/")</f>
        <v>https://khagaul.kvs.ac.in/en/</v>
      </c>
      <c r="I12" s="3" t="s">
        <v>86</v>
      </c>
      <c r="J12" s="3" t="str">
        <f>HYPERLINK("tel:+916115295818", "+916115295818")</f>
        <v>+916115295818</v>
      </c>
      <c r="K12" s="5" t="str">
        <f t="shared" ref="K12:K13" si="1">HYPERLINK("mailto:kvntpcclg1829@gmail.com", "kvntpcclg1829@gmail.com")</f>
        <v>kvntpcclg1829@gmail.com</v>
      </c>
      <c r="L12" s="6" t="s">
        <v>87</v>
      </c>
    </row>
    <row r="13">
      <c r="A13" s="3">
        <v>12.0</v>
      </c>
      <c r="B13" s="3" t="s">
        <v>88</v>
      </c>
      <c r="C13" s="3" t="s">
        <v>89</v>
      </c>
      <c r="D13" s="3" t="s">
        <v>90</v>
      </c>
      <c r="E13" s="3" t="s">
        <v>91</v>
      </c>
      <c r="F13" s="3" t="s">
        <v>92</v>
      </c>
      <c r="G13" s="3" t="s">
        <v>85</v>
      </c>
      <c r="H13" s="4" t="str">
        <f>HYPERLINK("https://mashrak.kvs.ac.in/en/", "https://mashrak.kvs.ac.in/en/")</f>
        <v>https://mashrak.kvs.ac.in/en/</v>
      </c>
      <c r="I13" s="3" t="s">
        <v>93</v>
      </c>
      <c r="J13" s="3" t="str">
        <f>HYPERLINK("tel:+916159224202", "+916159224202")</f>
        <v>+916159224202</v>
      </c>
      <c r="K13" s="5" t="str">
        <f t="shared" si="1"/>
        <v>kvntpcclg1829@gmail.com</v>
      </c>
      <c r="L13" s="6" t="s">
        <v>94</v>
      </c>
    </row>
    <row r="14">
      <c r="A14" s="3">
        <v>13.0</v>
      </c>
      <c r="B14" s="3" t="s">
        <v>95</v>
      </c>
      <c r="C14" s="3" t="s">
        <v>96</v>
      </c>
      <c r="D14" s="3" t="s">
        <v>97</v>
      </c>
      <c r="E14" s="3" t="s">
        <v>98</v>
      </c>
      <c r="F14" s="3" t="s">
        <v>99</v>
      </c>
      <c r="G14" s="3" t="s">
        <v>100</v>
      </c>
      <c r="H14" s="4" t="str">
        <f>HYPERLINK("https://dmnewdelhi.delhi.gov.in/public-utility/sarvodaya-co-ed-senior-secondary-school/", "https://dmnewdelhi.delhi.gov.in/public-utility/sarvodaya-co-ed-senior-secondary-school/")</f>
        <v>https://dmnewdelhi.delhi.gov.in/public-utility/sarvodaya-co-ed-senior-secondary-school/</v>
      </c>
      <c r="I14" s="3" t="s">
        <v>101</v>
      </c>
      <c r="J14" s="3" t="str">
        <f>HYPERLINK("tel:+911123381080", "+911123381080")</f>
        <v>+911123381080</v>
      </c>
      <c r="K14" s="5" t="str">
        <f>HYPERLINK("mailto:nan", "nan")</f>
        <v>nan</v>
      </c>
      <c r="L14" s="6" t="s">
        <v>102</v>
      </c>
    </row>
    <row r="15">
      <c r="A15" s="3">
        <v>14.0</v>
      </c>
      <c r="B15" s="3" t="s">
        <v>103</v>
      </c>
      <c r="C15" s="3" t="s">
        <v>104</v>
      </c>
      <c r="D15" s="3" t="s">
        <v>105</v>
      </c>
      <c r="E15" s="3" t="s">
        <v>106</v>
      </c>
      <c r="F15" s="3" t="s">
        <v>107</v>
      </c>
      <c r="G15" s="3" t="s">
        <v>24</v>
      </c>
      <c r="H15" s="4" t="str">
        <f>HYPERLINK("https://www.scottishigh.com/", "https://www.scottishigh.com/")</f>
        <v>https://www.scottishigh.com/</v>
      </c>
      <c r="I15" s="3" t="s">
        <v>108</v>
      </c>
      <c r="J15" s="3" t="str">
        <f>HYPERLINK("tel:+919953849226", "+919953849226")</f>
        <v>+919953849226</v>
      </c>
      <c r="K15" s="5" t="str">
        <f>HYPERLINK("mailto:info@scottishigh.com", "info@scottishigh.com")</f>
        <v>info@scottishigh.com</v>
      </c>
      <c r="L15" s="6" t="s">
        <v>109</v>
      </c>
    </row>
    <row r="16">
      <c r="A16" s="3">
        <v>15.0</v>
      </c>
      <c r="B16" s="3" t="s">
        <v>110</v>
      </c>
      <c r="C16" s="3" t="s">
        <v>111</v>
      </c>
      <c r="D16" s="3" t="s">
        <v>112</v>
      </c>
      <c r="E16" s="3" t="s">
        <v>113</v>
      </c>
      <c r="F16" s="3" t="s">
        <v>114</v>
      </c>
      <c r="G16" s="3" t="s">
        <v>115</v>
      </c>
      <c r="H16" s="4" t="str">
        <f>HYPERLINK("https://spsbhopal.ac.in/", "https://spsbhopal.ac.in/")</f>
        <v>https://spsbhopal.ac.in/</v>
      </c>
      <c r="I16" s="3" t="s">
        <v>116</v>
      </c>
      <c r="J16" s="3" t="str">
        <f>HYPERLINK("tel:+917553523719", "+917553523719")</f>
        <v>+917553523719</v>
      </c>
      <c r="K16" s="5" t="str">
        <f>HYPERLINK("mailto:spssn@spsbhopal.ac.in", "spssn@spsbhopal.ac.in")</f>
        <v>spssn@spsbhopal.ac.in</v>
      </c>
      <c r="L16" s="6" t="s">
        <v>117</v>
      </c>
    </row>
    <row r="17">
      <c r="A17" s="3">
        <v>16.0</v>
      </c>
      <c r="B17" s="3" t="s">
        <v>118</v>
      </c>
      <c r="C17" s="3" t="s">
        <v>119</v>
      </c>
      <c r="D17" s="3" t="s">
        <v>120</v>
      </c>
      <c r="E17" s="3" t="s">
        <v>121</v>
      </c>
      <c r="F17" s="3" t="s">
        <v>122</v>
      </c>
      <c r="G17" s="3" t="s">
        <v>17</v>
      </c>
      <c r="H17" s="4" t="str">
        <f>HYPERLINK("https://schools.org.in/virudhunagar/33260108129/s-t-r-n-g-h-s-s-apk.html", "https://schools.org.in/virudhunagar/33260108129/s-t-r-n-g-h-s-s-apk.html")</f>
        <v>https://schools.org.in/virudhunagar/33260108129/s-t-r-n-g-h-s-s-apk.html</v>
      </c>
      <c r="I17" s="3" t="s">
        <v>123</v>
      </c>
      <c r="J17" s="3" t="str">
        <f>HYPERLINK("tel:nan", "nan")</f>
        <v>nan</v>
      </c>
      <c r="K17" s="5" t="str">
        <f>HYPERLINK("mailto:nan", "nan")</f>
        <v>nan</v>
      </c>
      <c r="L17" s="6" t="s">
        <v>124</v>
      </c>
    </row>
    <row r="18">
      <c r="A18" s="3">
        <v>17.0</v>
      </c>
      <c r="B18" s="3" t="s">
        <v>125</v>
      </c>
      <c r="C18" s="3" t="s">
        <v>126</v>
      </c>
      <c r="D18" s="3" t="s">
        <v>127</v>
      </c>
      <c r="E18" s="3" t="s">
        <v>128</v>
      </c>
      <c r="F18" s="3" t="s">
        <v>129</v>
      </c>
      <c r="G18" s="3" t="s">
        <v>130</v>
      </c>
      <c r="H18" s="4" t="str">
        <f>HYPERLINK("https://www.justdial.com/Hyderabad/Zilla-Parishad-High-School-Kondapur/040PXX40-XX40-200221204457-A4R2_BZDET", "https://www.justdial.com/Hyderabad/Zilla-Parishad-High-School-Kondapur/040PXX40-XX40-200221204457-A4R2_BZDET")</f>
        <v>https://www.justdial.com/Hyderabad/Zilla-Parishad-High-School-Kondapur/040PXX40-XX40-200221204457-A4R2_BZDET</v>
      </c>
      <c r="I18" s="3" t="s">
        <v>131</v>
      </c>
      <c r="J18" s="3" t="str">
        <f>HYPERLINK("tel:+919908628600", "+919908628600")</f>
        <v>+919908628600</v>
      </c>
      <c r="K18" s="5" t="str">
        <f>HYPERLINK("mailto:siddipetdro@gmail.com", "siddipetdro@gmail.com")</f>
        <v>siddipetdro@gmail.com</v>
      </c>
      <c r="L18" s="6" t="s">
        <v>132</v>
      </c>
    </row>
    <row r="19">
      <c r="A19" s="3">
        <v>18.0</v>
      </c>
      <c r="B19" s="3" t="s">
        <v>133</v>
      </c>
      <c r="C19" s="3" t="s">
        <v>134</v>
      </c>
      <c r="D19" s="3" t="s">
        <v>135</v>
      </c>
      <c r="E19" s="3" t="s">
        <v>136</v>
      </c>
      <c r="F19" s="3" t="s">
        <v>137</v>
      </c>
      <c r="G19" s="3" t="s">
        <v>138</v>
      </c>
      <c r="H19" s="4" t="str">
        <f>HYPERLINK("https://www.shrisurajprasaddagasvmickasganj.com/", "https://www.shrisurajprasaddagasvmickasganj.com/")</f>
        <v>https://www.shrisurajprasaddagasvmickasganj.com/</v>
      </c>
      <c r="J19" s="3" t="str">
        <f>HYPERLINK("tel:+919412520368", "+919412520368")</f>
        <v>+919412520368</v>
      </c>
      <c r="K19" s="5" t="str">
        <f>HYPERLINK("mailto:svm13kasganj@gmail.com", "svm13kasganj@gmail.com")</f>
        <v>svm13kasganj@gmail.com</v>
      </c>
      <c r="L19" s="6"/>
    </row>
    <row r="20">
      <c r="A20" s="3">
        <v>19.0</v>
      </c>
      <c r="B20" s="3" t="s">
        <v>139</v>
      </c>
      <c r="C20" s="3" t="s">
        <v>140</v>
      </c>
      <c r="D20" s="3" t="s">
        <v>141</v>
      </c>
      <c r="E20" s="3" t="s">
        <v>142</v>
      </c>
      <c r="F20" s="3" t="s">
        <v>143</v>
      </c>
      <c r="G20" s="3" t="s">
        <v>58</v>
      </c>
      <c r="H20" s="4" t="str">
        <f>HYPERLINK("https://schools.org.in/kollam/32130300603/s-n-v-g-h-s-paravoor.html", "https://schools.org.in/kollam/32130300603/s-n-v-g-h-s-paravoor.html")</f>
        <v>https://schools.org.in/kollam/32130300603/s-n-v-g-h-s-paravoor.html</v>
      </c>
      <c r="I20" s="3" t="s">
        <v>144</v>
      </c>
      <c r="J20" s="3" t="str">
        <f>HYPERLINK("tel:+914842442196", "+914842442196")</f>
        <v>+914842442196</v>
      </c>
      <c r="K20" s="5" t="str">
        <f>HYPERLINK("mailto:example@gmail.com", "example@gmail.com")</f>
        <v>example@gmail.com</v>
      </c>
      <c r="L20" s="6" t="s">
        <v>145</v>
      </c>
    </row>
    <row r="21" ht="15.75" customHeight="1">
      <c r="A21" s="3">
        <v>20.0</v>
      </c>
      <c r="B21" s="3" t="s">
        <v>146</v>
      </c>
      <c r="C21" s="3" t="s">
        <v>147</v>
      </c>
      <c r="D21" s="3" t="s">
        <v>148</v>
      </c>
      <c r="E21" s="3" t="s">
        <v>149</v>
      </c>
      <c r="F21" s="3" t="s">
        <v>150</v>
      </c>
      <c r="G21" s="3" t="s">
        <v>24</v>
      </c>
      <c r="H21" s="4" t="str">
        <f>HYPERLINK("https://amityschools.in/gurugram46/", "https://amityschools.in/gurugram46/")</f>
        <v>https://amityschools.in/gurugram46/</v>
      </c>
      <c r="J21" s="3" t="str">
        <f>HYPERLINK("tel:+919810024354", "+919810024354")</f>
        <v>+919810024354</v>
      </c>
      <c r="K21" s="5" t="str">
        <f>HYPERLINK("mailto:aisg46@amity.edu", "aisg46@amity.edu")</f>
        <v>aisg46@amity.edu</v>
      </c>
      <c r="L21" s="6" t="s">
        <v>151</v>
      </c>
    </row>
    <row r="22" ht="15.75" customHeight="1">
      <c r="A22" s="3">
        <v>21.0</v>
      </c>
      <c r="B22" s="3" t="s">
        <v>152</v>
      </c>
      <c r="C22" s="3" t="s">
        <v>153</v>
      </c>
      <c r="D22" s="3" t="s">
        <v>154</v>
      </c>
      <c r="E22" s="3" t="s">
        <v>155</v>
      </c>
      <c r="F22" s="3" t="s">
        <v>156</v>
      </c>
      <c r="G22" s="3" t="s">
        <v>17</v>
      </c>
      <c r="H22" s="4" t="str">
        <f>HYPERLINK("https://schools.org.in/namakkal/33090900105/ghs-r-pudupatti.html", "https://schools.org.in/namakkal/33090900105/ghs-r-pudupatti.html")</f>
        <v>https://schools.org.in/namakkal/33090900105/ghs-r-pudupatti.html</v>
      </c>
      <c r="I22" s="3" t="s">
        <v>157</v>
      </c>
      <c r="J22" s="3" t="str">
        <f>HYPERLINK("tel:+918925809382", "+918925809382")</f>
        <v>+918925809382</v>
      </c>
      <c r="K22" s="5" t="str">
        <f t="shared" ref="K22:K23" si="2">HYPERLINK("mailto:nan", "nan")</f>
        <v>nan</v>
      </c>
      <c r="L22" s="6" t="s">
        <v>158</v>
      </c>
    </row>
    <row r="23" ht="15.75" customHeight="1">
      <c r="A23" s="3">
        <v>22.0</v>
      </c>
      <c r="B23" s="3" t="s">
        <v>159</v>
      </c>
      <c r="C23" s="3" t="s">
        <v>160</v>
      </c>
      <c r="D23" s="3" t="s">
        <v>161</v>
      </c>
      <c r="E23" s="3" t="s">
        <v>162</v>
      </c>
      <c r="F23" s="3" t="s">
        <v>163</v>
      </c>
      <c r="G23" s="3" t="s">
        <v>17</v>
      </c>
      <c r="H23" s="4" t="str">
        <f>HYPERLINK("https://www.ibphub.com/companyDesc/virudhunagar/sng-girls-higher-secondary-school/1374452", "https://www.ibphub.com/companyDesc/virudhunagar/sng-girls-higher-secondary-school/1374452")</f>
        <v>https://www.ibphub.com/companyDesc/virudhunagar/sng-girls-higher-secondary-school/1374452</v>
      </c>
      <c r="I23" s="3" t="s">
        <v>164</v>
      </c>
      <c r="J23" s="3" t="str">
        <f>HYPERLINK("tel:+914562232676", "+914562232676")</f>
        <v>+914562232676</v>
      </c>
      <c r="K23" s="5" t="str">
        <f t="shared" si="2"/>
        <v>nan</v>
      </c>
      <c r="L23" s="6"/>
    </row>
    <row r="24" ht="15.75" customHeight="1">
      <c r="A24" s="3">
        <v>24.0</v>
      </c>
      <c r="B24" s="3" t="s">
        <v>165</v>
      </c>
      <c r="C24" s="3" t="s">
        <v>166</v>
      </c>
      <c r="D24" s="3" t="s">
        <v>167</v>
      </c>
      <c r="E24" s="3" t="s">
        <v>168</v>
      </c>
      <c r="F24" s="3" t="s">
        <v>169</v>
      </c>
      <c r="G24" s="3" t="s">
        <v>100</v>
      </c>
      <c r="H24" s="4" t="str">
        <f>HYPERLINK("https://davpushpanjali.in/", "https://davpushpanjali.in/")</f>
        <v>https://davpushpanjali.in/</v>
      </c>
      <c r="J24" s="3" t="str">
        <f>HYPERLINK("tel:+919654985509", "+919654985509")</f>
        <v>+919654985509</v>
      </c>
      <c r="K24" s="5" t="str">
        <f>HYPERLINK("mailto:internationalcurriculum@davpushpanjali.com", "internationalcurriculum@davpushpanjali.com")</f>
        <v>internationalcurriculum@davpushpanjali.com</v>
      </c>
      <c r="L24" s="6"/>
    </row>
    <row r="25" ht="15.75" customHeight="1">
      <c r="A25" s="3">
        <v>25.0</v>
      </c>
      <c r="B25" s="3" t="s">
        <v>170</v>
      </c>
      <c r="C25" s="3" t="s">
        <v>171</v>
      </c>
      <c r="D25" s="3" t="s">
        <v>172</v>
      </c>
      <c r="E25" s="3" t="s">
        <v>173</v>
      </c>
      <c r="F25" s="3" t="s">
        <v>174</v>
      </c>
      <c r="G25" s="3" t="s">
        <v>175</v>
      </c>
      <c r="H25" s="4" t="str">
        <f>HYPERLINK("https://anandniketanmaninagar.org/", "https://anandniketanmaninagar.org/")</f>
        <v>https://anandniketanmaninagar.org/</v>
      </c>
      <c r="J25" s="3" t="str">
        <f>HYPERLINK("tel:+919662115555", "+919662115555")</f>
        <v>+919662115555</v>
      </c>
      <c r="K25" s="5" t="str">
        <f>HYPERLINK("mailto:anmaninagar@anandniketan.org", "anmaninagar@anandniketan.org")</f>
        <v>anmaninagar@anandniketan.org</v>
      </c>
      <c r="L25" s="6" t="s">
        <v>176</v>
      </c>
    </row>
    <row r="26" ht="15.75" customHeight="1">
      <c r="A26" s="3">
        <v>26.0</v>
      </c>
      <c r="B26" s="3" t="s">
        <v>177</v>
      </c>
      <c r="C26" s="3" t="s">
        <v>178</v>
      </c>
      <c r="D26" s="3" t="s">
        <v>179</v>
      </c>
      <c r="E26" s="3" t="s">
        <v>180</v>
      </c>
      <c r="F26" s="3" t="s">
        <v>181</v>
      </c>
      <c r="G26" s="3" t="s">
        <v>182</v>
      </c>
      <c r="H26" s="4" t="str">
        <f>HYPERLINK("https://schools.org.in/kupwara/01011304001/bhss-ashpora.html", "https://schools.org.in/kupwara/01011304001/bhss-ashpora.html")</f>
        <v>https://schools.org.in/kupwara/01011304001/bhss-ashpora.html</v>
      </c>
      <c r="I26" s="3" t="s">
        <v>183</v>
      </c>
      <c r="J26" s="3" t="str">
        <f>HYPERLINK("tel:+911942403202", "+911942403202")</f>
        <v>+911942403202</v>
      </c>
      <c r="K26" s="5" t="str">
        <f>HYPERLINK("mailto:nan", "nan")</f>
        <v>nan</v>
      </c>
      <c r="L26" s="6" t="s">
        <v>184</v>
      </c>
    </row>
    <row r="27" ht="15.75" customHeight="1">
      <c r="A27" s="3">
        <v>27.0</v>
      </c>
      <c r="B27" s="3" t="s">
        <v>185</v>
      </c>
      <c r="C27" s="3" t="s">
        <v>186</v>
      </c>
      <c r="D27" s="3" t="s">
        <v>187</v>
      </c>
      <c r="E27" s="3" t="s">
        <v>188</v>
      </c>
      <c r="F27" s="3" t="s">
        <v>189</v>
      </c>
      <c r="G27" s="3" t="s">
        <v>182</v>
      </c>
      <c r="H27" s="4" t="str">
        <f>HYPERLINK("http://wuzur.armygoodwillschool.in/", "http://wuzur.armygoodwillschool.in/")</f>
        <v>http://wuzur.armygoodwillschool.in/</v>
      </c>
      <c r="I27" s="3" t="s">
        <v>190</v>
      </c>
      <c r="J27" s="3" t="str">
        <f>HYPERLINK("tel:+919906537753", "+919906537753")</f>
        <v>+919906537753</v>
      </c>
      <c r="K27" s="5" t="str">
        <f>HYPERLINK("mailto:agswuzurqzd@gmail.com", "agswuzurqzd@gmail.com")</f>
        <v>agswuzurqzd@gmail.com</v>
      </c>
      <c r="L27" s="6" t="s">
        <v>191</v>
      </c>
    </row>
    <row r="28" ht="15.75" customHeight="1">
      <c r="A28" s="3">
        <v>28.0</v>
      </c>
      <c r="B28" s="3" t="s">
        <v>192</v>
      </c>
      <c r="C28" s="3" t="s">
        <v>193</v>
      </c>
      <c r="D28" s="3" t="s">
        <v>194</v>
      </c>
      <c r="E28" s="3" t="s">
        <v>195</v>
      </c>
      <c r="F28" s="3" t="s">
        <v>196</v>
      </c>
      <c r="G28" s="3" t="s">
        <v>31</v>
      </c>
      <c r="H28" s="4" t="str">
        <f>HYPERLINK("https://npsypr.edu.in/", "https://npsypr.edu.in/")</f>
        <v>https://npsypr.edu.in/</v>
      </c>
      <c r="J28" s="3" t="str">
        <f>HYPERLINK("tel:+919311455776", "+919311455776")</f>
        <v>+919311455776</v>
      </c>
      <c r="K28" s="5" t="str">
        <f>HYPERLINK("mailto:info@npsypr.com", "info@npsypr.com")</f>
        <v>info@npsypr.com</v>
      </c>
      <c r="L28" s="6"/>
    </row>
    <row r="29" ht="15.75" customHeight="1">
      <c r="A29" s="3">
        <v>29.0</v>
      </c>
      <c r="B29" s="3" t="s">
        <v>197</v>
      </c>
      <c r="C29" s="3" t="s">
        <v>198</v>
      </c>
      <c r="D29" s="3" t="s">
        <v>199</v>
      </c>
      <c r="E29" s="3" t="s">
        <v>200</v>
      </c>
      <c r="F29" s="3" t="s">
        <v>201</v>
      </c>
      <c r="G29" s="3" t="s">
        <v>58</v>
      </c>
      <c r="H29" s="4" t="str">
        <f>HYPERLINK("https://navodaya.gov.in/nvs/nvs-school/KASARAGOD/en/home/", "https://navodaya.gov.in/nvs/nvs-school/KASARAGOD/en/home/")</f>
        <v>https://navodaya.gov.in/nvs/nvs-school/KASARAGOD/en/home/</v>
      </c>
      <c r="I29" s="3" t="s">
        <v>202</v>
      </c>
      <c r="J29" s="3" t="str">
        <f>HYPERLINK("tel:+914029700571", "+914029700571")</f>
        <v>+914029700571</v>
      </c>
      <c r="K29" s="5" t="str">
        <f>HYPERLINK("mailto:ithelpdesk.nvs@gmail.com", "ithelpdesk.nvs@gmail.com")</f>
        <v>ithelpdesk.nvs@gmail.com</v>
      </c>
      <c r="L29" s="6" t="s">
        <v>203</v>
      </c>
    </row>
    <row r="30" ht="15.75" customHeight="1">
      <c r="A30" s="3">
        <v>30.0</v>
      </c>
      <c r="B30" s="3" t="s">
        <v>204</v>
      </c>
      <c r="C30" s="3" t="s">
        <v>205</v>
      </c>
      <c r="D30" s="3" t="s">
        <v>206</v>
      </c>
      <c r="E30" s="3" t="s">
        <v>207</v>
      </c>
      <c r="F30" s="3" t="s">
        <v>208</v>
      </c>
      <c r="G30" s="3" t="s">
        <v>209</v>
      </c>
      <c r="H30" s="4" t="str">
        <f>HYPERLINK("https://www.sanskritithegurukul.in/", "https://www.sanskritithegurukul.in/")</f>
        <v>https://www.sanskritithegurukul.in/</v>
      </c>
      <c r="I30" s="3" t="s">
        <v>210</v>
      </c>
      <c r="J30" s="3" t="str">
        <f>HYPERLINK("tel:+917399044071", "+917399044071")</f>
        <v>+917399044071</v>
      </c>
      <c r="K30" s="5" t="str">
        <f>HYPERLINK("mailto:info@sanskritithegurukul.in", "info@sanskritithegurukul.in")</f>
        <v>info@sanskritithegurukul.in</v>
      </c>
      <c r="L30" s="6" t="s">
        <v>211</v>
      </c>
    </row>
    <row r="31" ht="15.75" customHeight="1">
      <c r="A31" s="3">
        <v>31.0</v>
      </c>
      <c r="B31" s="3" t="s">
        <v>212</v>
      </c>
      <c r="C31" s="3" t="s">
        <v>213</v>
      </c>
      <c r="D31" s="3" t="s">
        <v>214</v>
      </c>
      <c r="E31" s="3" t="s">
        <v>215</v>
      </c>
      <c r="F31" s="3" t="s">
        <v>216</v>
      </c>
      <c r="G31" s="3" t="s">
        <v>17</v>
      </c>
      <c r="H31" s="4" t="str">
        <f>HYPERLINK("https://www.hinduvidyalaya.org/smt-r-p-rajalakshmi-hindu-vidyalaya-mat-hr-sec-school/", "https://www.hinduvidyalaya.org/smt-r-p-rajalakshmi-hindu-vidyalaya-mat-hr-sec-school/")</f>
        <v>https://www.hinduvidyalaya.org/smt-r-p-rajalakshmi-hindu-vidyalaya-mat-hr-sec-school/</v>
      </c>
      <c r="J31" s="3" t="str">
        <f>HYPERLINK("tel:+914651250475", "+914651250475")</f>
        <v>+914651250475</v>
      </c>
      <c r="K31" s="5" t="str">
        <f>HYPERLINK("mailto:service@cretaclass.com", "service@cretaclass.com")</f>
        <v>service@cretaclass.com</v>
      </c>
      <c r="L31" s="6" t="s">
        <v>217</v>
      </c>
    </row>
    <row r="32" ht="15.75" customHeight="1">
      <c r="A32" s="3">
        <v>32.0</v>
      </c>
      <c r="B32" s="3" t="s">
        <v>218</v>
      </c>
      <c r="C32" s="3" t="s">
        <v>219</v>
      </c>
      <c r="D32" s="3" t="s">
        <v>220</v>
      </c>
      <c r="E32" s="3" t="s">
        <v>221</v>
      </c>
      <c r="F32" s="3" t="s">
        <v>222</v>
      </c>
      <c r="G32" s="3" t="s">
        <v>17</v>
      </c>
      <c r="H32" s="4" t="str">
        <f>HYPERLINK("https://www.stmarysgirlsschool.edu.in/", "https://www.stmarysgirlsschool.edu.in/")</f>
        <v>https://www.stmarysgirlsschool.edu.in/</v>
      </c>
      <c r="I32" s="3" t="s">
        <v>223</v>
      </c>
      <c r="J32" s="3" t="str">
        <f>HYPERLINK("tel:+914561290430", "+914561290430")</f>
        <v>+914561290430</v>
      </c>
      <c r="K32" s="5" t="str">
        <f>HYPERLINK("mailto:stmaryhssdvk@gmail.com", "stmaryhssdvk@gmail.com")</f>
        <v>stmaryhssdvk@gmail.com</v>
      </c>
      <c r="L32" s="6"/>
    </row>
    <row r="33" ht="15.75" customHeight="1">
      <c r="A33" s="3">
        <v>33.0</v>
      </c>
      <c r="B33" s="3" t="s">
        <v>224</v>
      </c>
      <c r="C33" s="3" t="s">
        <v>225</v>
      </c>
      <c r="D33" s="3" t="s">
        <v>226</v>
      </c>
      <c r="E33" s="3" t="s">
        <v>227</v>
      </c>
      <c r="F33" s="3" t="s">
        <v>228</v>
      </c>
      <c r="G33" s="3" t="s">
        <v>229</v>
      </c>
      <c r="H33" s="4" t="str">
        <f>HYPERLINK("https://bilaspur.gov.in/en/departments/school-education/", "https://bilaspur.gov.in/en/departments/school-education/")</f>
        <v>https://bilaspur.gov.in/en/departments/school-education/</v>
      </c>
      <c r="I33" s="3" t="s">
        <v>230</v>
      </c>
      <c r="J33" s="3" t="str">
        <f>HYPERLINK("tel:+917752223344", "+917752223344")</f>
        <v>+917752223344</v>
      </c>
      <c r="K33" s="5" t="str">
        <f>HYPERLINK("mailto:eduportal.cg@nic.in", "eduportal.cg@nic.in")</f>
        <v>eduportal.cg@nic.in</v>
      </c>
      <c r="L33" s="6" t="s">
        <v>231</v>
      </c>
    </row>
    <row r="34" ht="15.75" customHeight="1">
      <c r="A34" s="3">
        <v>34.0</v>
      </c>
      <c r="B34" s="3" t="s">
        <v>232</v>
      </c>
      <c r="C34" s="3" t="s">
        <v>233</v>
      </c>
      <c r="D34" s="3" t="s">
        <v>234</v>
      </c>
      <c r="E34" s="3" t="s">
        <v>235</v>
      </c>
      <c r="F34" s="3" t="s">
        <v>236</v>
      </c>
      <c r="G34" s="3" t="s">
        <v>237</v>
      </c>
      <c r="H34" s="4" t="str">
        <f>HYPERLINK("https://adityacbse.com/", "https://adityacbse.com/")</f>
        <v>https://adityacbse.com/</v>
      </c>
      <c r="I34" s="3" t="s">
        <v>238</v>
      </c>
      <c r="J34" s="3" t="str">
        <f>HYPERLINK("tel:+919514603999", "+919514603999")</f>
        <v>+919514603999</v>
      </c>
      <c r="K34" s="5" t="str">
        <f>HYPERLINK("mailto:info@adityacbse.com", "info@adityacbse.com")</f>
        <v>info@adityacbse.com</v>
      </c>
      <c r="L34" s="6" t="s">
        <v>239</v>
      </c>
    </row>
    <row r="35" ht="15.75" customHeight="1">
      <c r="A35" s="3">
        <v>35.0</v>
      </c>
      <c r="B35" s="3" t="s">
        <v>240</v>
      </c>
      <c r="C35" s="3" t="s">
        <v>27</v>
      </c>
      <c r="D35" s="3" t="s">
        <v>241</v>
      </c>
      <c r="E35" s="3" t="s">
        <v>242</v>
      </c>
      <c r="F35" s="3" t="s">
        <v>30</v>
      </c>
      <c r="G35" s="3" t="s">
        <v>31</v>
      </c>
      <c r="H35" s="4" t="str">
        <f>HYPERLINK("https://excelpublicschool.com/", "https://excelpublicschool.com/")</f>
        <v>https://excelpublicschool.com/</v>
      </c>
      <c r="J35" s="3" t="str">
        <f>HYPERLINK("tel:+918212971004", "+918212971004")</f>
        <v>+918212971004</v>
      </c>
      <c r="K35" s="5" t="str">
        <f>HYPERLINK("mailto:eps@excelpublicschool.com", "eps@excelpublicschool.com")</f>
        <v>eps@excelpublicschool.com</v>
      </c>
      <c r="L35" s="6" t="s">
        <v>32</v>
      </c>
    </row>
    <row r="36" ht="15.75" customHeight="1">
      <c r="A36" s="3">
        <v>36.0</v>
      </c>
      <c r="B36" s="3" t="s">
        <v>243</v>
      </c>
      <c r="C36" s="3" t="s">
        <v>244</v>
      </c>
      <c r="D36" s="3" t="s">
        <v>245</v>
      </c>
      <c r="E36" s="3" t="s">
        <v>246</v>
      </c>
      <c r="F36" s="3" t="s">
        <v>247</v>
      </c>
      <c r="G36" s="3" t="s">
        <v>31</v>
      </c>
      <c r="H36" s="4" t="str">
        <f>HYPERLINK("https://schools.org.in/mysuru/29260706708/government-junior-college-biferticated-maharaja.html", "https://schools.org.in/mysuru/29260706708/government-junior-college-biferticated-maharaja.html")</f>
        <v>https://schools.org.in/mysuru/29260706708/government-junior-college-biferticated-maharaja.html</v>
      </c>
      <c r="I36" s="3" t="s">
        <v>248</v>
      </c>
      <c r="J36" s="3" t="str">
        <f>HYPERLINK("tel:+915830350604", "+915830350604")</f>
        <v>+915830350604</v>
      </c>
      <c r="K36" s="5" t="str">
        <f>HYPERLINK("mailto:nan", "nan")</f>
        <v>nan</v>
      </c>
      <c r="L36" s="6" t="s">
        <v>249</v>
      </c>
    </row>
    <row r="37" ht="15.75" customHeight="1">
      <c r="A37" s="3">
        <v>37.0</v>
      </c>
      <c r="B37" s="3" t="s">
        <v>250</v>
      </c>
      <c r="C37" s="3" t="s">
        <v>251</v>
      </c>
      <c r="D37" s="3" t="s">
        <v>252</v>
      </c>
      <c r="E37" s="3" t="s">
        <v>253</v>
      </c>
      <c r="F37" s="3" t="s">
        <v>254</v>
      </c>
      <c r="G37" s="3" t="s">
        <v>115</v>
      </c>
      <c r="H37" s="4" t="str">
        <f>HYPERLINK("https://www.spsrn.ac.in/", "https://www.spsrn.ac.in/")</f>
        <v>https://www.spsrn.ac.in/</v>
      </c>
      <c r="I37" s="3" t="s">
        <v>116</v>
      </c>
      <c r="J37" s="3" t="str">
        <f>HYPERLINK("tel:+917771003569", "+917771003569")</f>
        <v>+917771003569</v>
      </c>
      <c r="K37" s="5" t="str">
        <f>HYPERLINK("mailto:spsrn@spsbhopal.ac.in", "spsrn@spsbhopal.ac.in")</f>
        <v>spsrn@spsbhopal.ac.in</v>
      </c>
      <c r="L37" s="6" t="s">
        <v>117</v>
      </c>
    </row>
    <row r="38" ht="15.75" customHeight="1">
      <c r="A38" s="3">
        <v>38.0</v>
      </c>
      <c r="B38" s="3" t="s">
        <v>255</v>
      </c>
      <c r="C38" s="3" t="s">
        <v>256</v>
      </c>
      <c r="D38" s="3" t="s">
        <v>257</v>
      </c>
      <c r="E38" s="3" t="s">
        <v>258</v>
      </c>
      <c r="F38" s="3" t="s">
        <v>259</v>
      </c>
      <c r="G38" s="3" t="s">
        <v>115</v>
      </c>
      <c r="H38" s="4" t="str">
        <f>HYPERLINK("https://www.facebook.com/ParamountAcademyKsrawad/", "https://www.facebook.com/ParamountAcademyKsrawad/")</f>
        <v>https://www.facebook.com/ParamountAcademyKsrawad/</v>
      </c>
      <c r="J38" s="3" t="str">
        <f>HYPERLINK("tel:nan", "nan")</f>
        <v>nan</v>
      </c>
      <c r="K38" s="5" t="str">
        <f>HYPERLINK("mailto:info@careers360.com", "info@careers360.com")</f>
        <v>info@careers360.com</v>
      </c>
      <c r="L38" s="6"/>
    </row>
    <row r="39" ht="15.75" customHeight="1">
      <c r="A39" s="3">
        <v>39.0</v>
      </c>
      <c r="B39" s="3" t="s">
        <v>260</v>
      </c>
      <c r="C39" s="3" t="s">
        <v>261</v>
      </c>
      <c r="D39" s="3" t="s">
        <v>262</v>
      </c>
      <c r="E39" s="3" t="s">
        <v>263</v>
      </c>
      <c r="F39" s="3" t="s">
        <v>264</v>
      </c>
      <c r="G39" s="3" t="s">
        <v>265</v>
      </c>
      <c r="H39" s="4" t="str">
        <f>HYPERLINK("https://www.the-gurukul.co.in/", "https://www.the-gurukul.co.in/")</f>
        <v>https://www.the-gurukul.co.in/</v>
      </c>
      <c r="J39" s="3" t="str">
        <f>HYPERLINK("tel:+911724643300", "+911724643300")</f>
        <v>+911724643300</v>
      </c>
      <c r="K39" s="5" t="str">
        <f>HYPERLINK("mailto:gurukul_jalandhar@hotmail.com", "gurukul_jalandhar@hotmail.com")</f>
        <v>gurukul_jalandhar@hotmail.com</v>
      </c>
      <c r="L39" s="6" t="s">
        <v>266</v>
      </c>
    </row>
    <row r="40" ht="15.75" customHeight="1">
      <c r="A40" s="3">
        <v>40.0</v>
      </c>
      <c r="B40" s="3" t="s">
        <v>267</v>
      </c>
      <c r="C40" s="3" t="s">
        <v>268</v>
      </c>
      <c r="D40" s="3" t="s">
        <v>269</v>
      </c>
      <c r="E40" s="3" t="s">
        <v>270</v>
      </c>
      <c r="F40" s="3" t="s">
        <v>271</v>
      </c>
      <c r="G40" s="3" t="s">
        <v>272</v>
      </c>
      <c r="H40" s="4" t="str">
        <f>HYPERLINK("https://schools.org.in/east-godavari/28142990322/zphs-dowlaiswaram.html", "https://schools.org.in/east-godavari/28142990322/zphs-dowlaiswaram.html")</f>
        <v>https://schools.org.in/east-godavari/28142990322/zphs-dowlaiswaram.html</v>
      </c>
      <c r="I40" s="3" t="s">
        <v>273</v>
      </c>
      <c r="J40" s="3" t="str">
        <f>HYPERLINK("tel:+918832940508", "+918832940508")</f>
        <v>+918832940508</v>
      </c>
      <c r="K40" s="5" t="str">
        <f>HYPERLINK("mailto:sp@eg.appolice.gov.in", "sp@eg.appolice.gov.in")</f>
        <v>sp@eg.appolice.gov.in</v>
      </c>
      <c r="L40" s="6" t="s">
        <v>274</v>
      </c>
    </row>
    <row r="41" ht="15.75" customHeight="1">
      <c r="A41" s="3">
        <v>41.0</v>
      </c>
      <c r="B41" s="3" t="s">
        <v>275</v>
      </c>
      <c r="C41" s="3" t="s">
        <v>276</v>
      </c>
      <c r="D41" s="3" t="s">
        <v>277</v>
      </c>
      <c r="E41" s="3" t="s">
        <v>278</v>
      </c>
      <c r="F41" s="3" t="s">
        <v>279</v>
      </c>
      <c r="G41" s="3" t="s">
        <v>100</v>
      </c>
      <c r="H41" s="4" t="str">
        <f>HYPERLINK("https://www.apsdk.com/", "https://www.apsdk.com/")</f>
        <v>https://www.apsdk.com/</v>
      </c>
      <c r="J41" s="3" t="str">
        <f>HYPERLINK("tel:+919211402871", "+919211402871")</f>
        <v>+919211402871</v>
      </c>
      <c r="K41" s="5" t="str">
        <f>HYPERLINK("mailto:Niharika.Lal@timesgroup.com", "Niharika.Lal@timesgroup.com")</f>
        <v>Niharika.Lal@timesgroup.com</v>
      </c>
      <c r="L41" s="6" t="s">
        <v>280</v>
      </c>
    </row>
    <row r="42" ht="15.75" customHeight="1">
      <c r="A42" s="3">
        <v>42.0</v>
      </c>
      <c r="B42" s="3" t="s">
        <v>281</v>
      </c>
      <c r="C42" s="3" t="s">
        <v>282</v>
      </c>
      <c r="D42" s="3" t="s">
        <v>283</v>
      </c>
      <c r="E42" s="3" t="s">
        <v>284</v>
      </c>
      <c r="F42" s="3" t="s">
        <v>285</v>
      </c>
      <c r="G42" s="3" t="s">
        <v>100</v>
      </c>
      <c r="H42" s="4" t="str">
        <f>HYPERLINK("https://salwanboysschool.in/career-guidance/", "https://salwanboysschool.in/career-guidance/")</f>
        <v>https://salwanboysschool.in/career-guidance/</v>
      </c>
      <c r="I42" s="3" t="s">
        <v>286</v>
      </c>
      <c r="J42" s="3" t="str">
        <f>HYPERLINK("tel:+917060214904", "+917060214904")</f>
        <v>+917060214904</v>
      </c>
      <c r="K42" s="5" t="str">
        <f t="shared" ref="K42:K43" si="3">HYPERLINK("mailto:nan", "nan")</f>
        <v>nan</v>
      </c>
      <c r="L42" s="6" t="s">
        <v>287</v>
      </c>
    </row>
    <row r="43" ht="15.75" customHeight="1">
      <c r="A43" s="3">
        <v>43.0</v>
      </c>
      <c r="B43" s="3" t="s">
        <v>288</v>
      </c>
      <c r="C43" s="3" t="s">
        <v>289</v>
      </c>
      <c r="D43" s="3" t="s">
        <v>290</v>
      </c>
      <c r="E43" s="3" t="s">
        <v>291</v>
      </c>
      <c r="F43" s="3" t="s">
        <v>292</v>
      </c>
      <c r="G43" s="3" t="s">
        <v>31</v>
      </c>
      <c r="H43" s="4" t="str">
        <f>HYPERLINK("https://schools.org.in/mysuru/29260806603/government-high-school-hanchya.html", "https://schools.org.in/mysuru/29260806603/government-high-school-hanchya.html")</f>
        <v>https://schools.org.in/mysuru/29260806603/government-high-school-hanchya.html</v>
      </c>
      <c r="I43" s="3" t="s">
        <v>293</v>
      </c>
      <c r="J43" s="3" t="str">
        <f>HYPERLINK("tel:+918212422302", "+918212422302")</f>
        <v>+918212422302</v>
      </c>
      <c r="K43" s="5" t="str">
        <f t="shared" si="3"/>
        <v>nan</v>
      </c>
      <c r="L43" s="6" t="s">
        <v>294</v>
      </c>
    </row>
    <row r="44" ht="15.75" customHeight="1">
      <c r="A44" s="3">
        <v>44.0</v>
      </c>
      <c r="B44" s="3" t="s">
        <v>295</v>
      </c>
      <c r="C44" s="3" t="s">
        <v>296</v>
      </c>
      <c r="D44" s="3" t="s">
        <v>297</v>
      </c>
      <c r="E44" s="3" t="s">
        <v>298</v>
      </c>
      <c r="F44" s="3" t="s">
        <v>299</v>
      </c>
      <c r="G44" s="3" t="s">
        <v>265</v>
      </c>
      <c r="H44" s="4" t="str">
        <f>HYPERLINK("https://www.learningpaths.in/", "https://www.learningpaths.in/")</f>
        <v>https://www.learningpaths.in/</v>
      </c>
      <c r="J44" s="3" t="str">
        <f>HYPERLINK("tel:+911725134300", "+911725134300")</f>
        <v>+911725134300</v>
      </c>
      <c r="K44" s="5" t="str">
        <f>HYPERLINK("mailto:contact@learningpaths.in", "contact@learningpaths.in")</f>
        <v>contact@learningpaths.in</v>
      </c>
      <c r="L44" s="6" t="s">
        <v>300</v>
      </c>
    </row>
    <row r="45" ht="15.75" customHeight="1">
      <c r="A45" s="3">
        <v>45.0</v>
      </c>
      <c r="B45" s="3" t="s">
        <v>301</v>
      </c>
      <c r="C45" s="3" t="s">
        <v>302</v>
      </c>
      <c r="D45" s="3" t="s">
        <v>303</v>
      </c>
      <c r="E45" s="3" t="s">
        <v>304</v>
      </c>
      <c r="F45" s="3" t="s">
        <v>305</v>
      </c>
      <c r="G45" s="3" t="s">
        <v>70</v>
      </c>
      <c r="H45" s="4" t="str">
        <f>HYPERLINK("https://jphschool.com/", "https://jphschool.com/")</f>
        <v>https://jphschool.com/</v>
      </c>
      <c r="I45" s="3" t="s">
        <v>306</v>
      </c>
      <c r="J45" s="3" t="str">
        <f>HYPERLINK("tel:+911414132222", "+911414132222")</f>
        <v>+911414132222</v>
      </c>
      <c r="K45" s="5" t="str">
        <f>HYPERLINK("mailto:office@jphschool.com", "office@jphschool.com")</f>
        <v>office@jphschool.com</v>
      </c>
      <c r="L45" s="6" t="s">
        <v>307</v>
      </c>
    </row>
    <row r="46" ht="15.75" customHeight="1">
      <c r="A46" s="3">
        <v>46.0</v>
      </c>
      <c r="B46" s="3" t="s">
        <v>308</v>
      </c>
      <c r="C46" s="3" t="s">
        <v>309</v>
      </c>
      <c r="D46" s="3" t="s">
        <v>310</v>
      </c>
      <c r="E46" s="3" t="s">
        <v>311</v>
      </c>
      <c r="F46" s="3" t="s">
        <v>312</v>
      </c>
      <c r="G46" s="3" t="s">
        <v>58</v>
      </c>
      <c r="H46" s="4" t="str">
        <f>HYPERLINK("https://mareliashss.in/", "https://mareliashss.in/")</f>
        <v>https://mareliashss.in/</v>
      </c>
      <c r="I46" s="3" t="s">
        <v>313</v>
      </c>
      <c r="J46" s="3" t="str">
        <f>HYPERLINK("tel:+914852843312", "+914852843312")</f>
        <v>+914852843312</v>
      </c>
      <c r="K46" s="5" t="str">
        <f>HYPERLINK("mailto:kottappadyschool27044@yahoo.in", "kottappadyschool27044@yahoo.in")</f>
        <v>kottappadyschool27044@yahoo.in</v>
      </c>
      <c r="L46" s="6" t="s">
        <v>314</v>
      </c>
    </row>
    <row r="47" ht="15.75" customHeight="1">
      <c r="A47" s="3">
        <v>47.0</v>
      </c>
      <c r="B47" s="3" t="s">
        <v>315</v>
      </c>
      <c r="C47" s="3" t="s">
        <v>316</v>
      </c>
      <c r="D47" s="3" t="s">
        <v>317</v>
      </c>
      <c r="E47" s="3" t="s">
        <v>318</v>
      </c>
      <c r="F47" s="3" t="s">
        <v>319</v>
      </c>
      <c r="G47" s="3" t="s">
        <v>17</v>
      </c>
      <c r="H47" s="4" t="str">
        <f>HYPERLINK("https://bmcschools.in/", "https://bmcschools.in/")</f>
        <v>https://bmcschools.in/</v>
      </c>
      <c r="I47" s="3" t="s">
        <v>320</v>
      </c>
      <c r="J47" s="3" t="str">
        <f>HYPERLINK("tel:nan", "nan")</f>
        <v>nan</v>
      </c>
      <c r="K47" s="5" t="str">
        <f>HYPERLINK("mailto:nan", "nan")</f>
        <v>nan</v>
      </c>
      <c r="L47" s="6" t="s">
        <v>321</v>
      </c>
    </row>
    <row r="48" ht="15.75" customHeight="1">
      <c r="A48" s="3">
        <v>48.0</v>
      </c>
      <c r="B48" s="3" t="s">
        <v>322</v>
      </c>
      <c r="C48" s="3" t="s">
        <v>323</v>
      </c>
      <c r="D48" s="3" t="s">
        <v>324</v>
      </c>
      <c r="E48" s="3" t="s">
        <v>325</v>
      </c>
      <c r="F48" s="3" t="s">
        <v>326</v>
      </c>
      <c r="G48" s="3" t="s">
        <v>100</v>
      </c>
      <c r="H48" s="4" t="str">
        <f>HYPERLINK("http://neoconventschool.com/", "http://neoconventschool.com/")</f>
        <v>http://neoconventschool.com/</v>
      </c>
      <c r="I48" s="3" t="s">
        <v>327</v>
      </c>
      <c r="J48" s="3" t="str">
        <f>HYPERLINK("tel:+911149097900", "+911149097900")</f>
        <v>+911149097900</v>
      </c>
      <c r="K48" s="5" t="str">
        <f>HYPERLINK("mailto:info@neoconventschool.com", "info@neoconventschool.com")</f>
        <v>info@neoconventschool.com</v>
      </c>
      <c r="L48" s="6" t="s">
        <v>328</v>
      </c>
    </row>
    <row r="49" ht="15.75" customHeight="1">
      <c r="A49" s="3">
        <v>49.0</v>
      </c>
      <c r="B49" s="3" t="s">
        <v>329</v>
      </c>
      <c r="C49" s="3" t="s">
        <v>276</v>
      </c>
      <c r="D49" s="3" t="s">
        <v>330</v>
      </c>
      <c r="E49" s="3" t="s">
        <v>331</v>
      </c>
      <c r="F49" s="3" t="s">
        <v>279</v>
      </c>
      <c r="G49" s="3" t="s">
        <v>100</v>
      </c>
      <c r="H49" s="4" t="str">
        <f>HYPERLINK("https://www.apsdk.com/", "https://www.apsdk.com/")</f>
        <v>https://www.apsdk.com/</v>
      </c>
      <c r="J49" s="3" t="str">
        <f>HYPERLINK("tel:+919211402871", "+919211402871")</f>
        <v>+919211402871</v>
      </c>
      <c r="K49" s="5" t="str">
        <f>HYPERLINK("mailto:Niharika.Lal@timesgroup.com", "Niharika.Lal@timesgroup.com")</f>
        <v>Niharika.Lal@timesgroup.com</v>
      </c>
      <c r="L49" s="6" t="s">
        <v>280</v>
      </c>
    </row>
    <row r="50" ht="15.75" customHeight="1">
      <c r="A50" s="3">
        <v>50.0</v>
      </c>
      <c r="B50" s="3" t="s">
        <v>332</v>
      </c>
      <c r="C50" s="3" t="s">
        <v>333</v>
      </c>
      <c r="D50" s="3" t="s">
        <v>334</v>
      </c>
      <c r="E50" s="3" t="s">
        <v>335</v>
      </c>
      <c r="F50" s="3" t="s">
        <v>336</v>
      </c>
      <c r="G50" s="3" t="s">
        <v>100</v>
      </c>
      <c r="H50" s="4" t="str">
        <f>HYPERLINK("https://drrajendraprasadpe.kvs.ac.in/", "https://drrajendraprasadpe.kvs.ac.in/")</f>
        <v>https://drrajendraprasadpe.kvs.ac.in/</v>
      </c>
      <c r="I50" s="3" t="s">
        <v>86</v>
      </c>
      <c r="J50" s="3" t="str">
        <f>HYPERLINK("tel:+911123010530", "+911123010530")</f>
        <v>+911123010530</v>
      </c>
      <c r="K50" s="5" t="str">
        <f>HYPERLINK("mailto:dc@kvsrodelhi.in", "dc@kvsrodelhi.in")</f>
        <v>dc@kvsrodelhi.in</v>
      </c>
      <c r="L50" s="6" t="s">
        <v>337</v>
      </c>
    </row>
    <row r="51" ht="15.75" customHeight="1">
      <c r="A51" s="3">
        <v>51.0</v>
      </c>
      <c r="B51" s="3" t="s">
        <v>338</v>
      </c>
      <c r="C51" s="3" t="s">
        <v>339</v>
      </c>
      <c r="D51" s="3" t="s">
        <v>340</v>
      </c>
      <c r="E51" s="3" t="s">
        <v>341</v>
      </c>
      <c r="F51" s="3" t="s">
        <v>342</v>
      </c>
      <c r="G51" s="3" t="s">
        <v>175</v>
      </c>
      <c r="H51" s="4" t="str">
        <f>HYPERLINK("https://cygnusworldschool.com/", "https://cygnusworldschool.com/")</f>
        <v>https://cygnusworldschool.com/</v>
      </c>
      <c r="J51" s="3" t="str">
        <f>HYPERLINK("tel:+919099901440", "+919099901440")</f>
        <v>+919099901440</v>
      </c>
      <c r="K51" s="5" t="str">
        <f>HYPERLINK("mailto:reachus@cygnusworldschool.com", "reachus@cygnusworldschool.com")</f>
        <v>reachus@cygnusworldschool.com</v>
      </c>
      <c r="L51" s="6" t="s">
        <v>343</v>
      </c>
    </row>
    <row r="52" ht="15.75" customHeight="1">
      <c r="A52" s="3">
        <v>52.0</v>
      </c>
      <c r="B52" s="3" t="s">
        <v>344</v>
      </c>
      <c r="C52" s="3" t="s">
        <v>345</v>
      </c>
      <c r="D52" s="3" t="s">
        <v>346</v>
      </c>
      <c r="E52" s="3" t="s">
        <v>347</v>
      </c>
      <c r="F52" s="3" t="s">
        <v>348</v>
      </c>
      <c r="G52" s="3" t="s">
        <v>24</v>
      </c>
      <c r="H52" s="4" t="str">
        <f>HYPERLINK("https://www.ccaschoolgurgaon.org/", "https://www.ccaschoolgurgaon.org/")</f>
        <v>https://www.ccaschoolgurgaon.org/</v>
      </c>
      <c r="I52" s="3" t="s">
        <v>349</v>
      </c>
      <c r="J52" s="3" t="str">
        <f>HYPERLINK("tel:+911242330098", "+911242330098")</f>
        <v>+911242330098</v>
      </c>
      <c r="K52" s="5" t="str">
        <f>HYPERLINK("mailto:ccaschool.gurgaon@gmail.com", "ccaschool.gurgaon@gmail.com")</f>
        <v>ccaschool.gurgaon@gmail.com</v>
      </c>
      <c r="L52" s="6" t="s">
        <v>350</v>
      </c>
    </row>
    <row r="53" ht="15.75" customHeight="1">
      <c r="A53" s="3">
        <v>53.0</v>
      </c>
      <c r="B53" s="3" t="s">
        <v>351</v>
      </c>
      <c r="C53" s="3" t="s">
        <v>352</v>
      </c>
      <c r="D53" s="3" t="s">
        <v>353</v>
      </c>
      <c r="E53" s="3" t="s">
        <v>354</v>
      </c>
      <c r="F53" s="3" t="s">
        <v>355</v>
      </c>
      <c r="G53" s="3" t="s">
        <v>356</v>
      </c>
      <c r="H53" s="4" t="str">
        <f>HYPERLINK("https://schools.org.in/nabarangpur/21280407201/ug-high-school-majhidhanua.html", "https://schools.org.in/nabarangpur/21280407201/ug-high-school-majhidhanua.html")</f>
        <v>https://schools.org.in/nabarangpur/21280407201/ug-high-school-majhidhanua.html</v>
      </c>
      <c r="I53" s="3" t="s">
        <v>357</v>
      </c>
      <c r="J53" s="3" t="str">
        <f>HYPERLINK("tel:+916742393531", "+916742393531")</f>
        <v>+916742393531</v>
      </c>
      <c r="K53" s="5" t="str">
        <f>HYPERLINK("mailto:dseorissaedn@yahoo.com", "dseorissaedn@yahoo.com")</f>
        <v>dseorissaedn@yahoo.com</v>
      </c>
      <c r="L53" s="6" t="s">
        <v>358</v>
      </c>
    </row>
    <row r="54" ht="15.75" customHeight="1">
      <c r="A54" s="3">
        <v>54.0</v>
      </c>
      <c r="B54" s="3" t="s">
        <v>359</v>
      </c>
      <c r="C54" s="3" t="s">
        <v>360</v>
      </c>
      <c r="D54" s="3" t="s">
        <v>361</v>
      </c>
      <c r="E54" s="3" t="s">
        <v>362</v>
      </c>
      <c r="F54" s="3" t="s">
        <v>363</v>
      </c>
      <c r="G54" s="3" t="s">
        <v>17</v>
      </c>
      <c r="H54" s="4" t="str">
        <f>HYPERLINK("https://apsfoundation.in/", "https://apsfoundation.in/")</f>
        <v>https://apsfoundation.in/</v>
      </c>
      <c r="J54" s="3" t="str">
        <f>HYPERLINK("tel:+914142236888", "+914142236888")</f>
        <v>+914142236888</v>
      </c>
      <c r="K54" s="5" t="str">
        <f>HYPERLINK("mailto:aristopublicschool@apsfoundation.in", "aristopublicschool@apsfoundation.in")</f>
        <v>aristopublicschool@apsfoundation.in</v>
      </c>
      <c r="L54" s="6" t="s">
        <v>364</v>
      </c>
    </row>
    <row r="55" ht="15.75" customHeight="1">
      <c r="A55" s="3">
        <v>55.0</v>
      </c>
      <c r="B55" s="3" t="s">
        <v>365</v>
      </c>
      <c r="C55" s="3" t="s">
        <v>366</v>
      </c>
      <c r="D55" s="3" t="s">
        <v>367</v>
      </c>
      <c r="E55" s="3" t="s">
        <v>368</v>
      </c>
      <c r="F55" s="3" t="s">
        <v>369</v>
      </c>
      <c r="G55" s="3" t="s">
        <v>138</v>
      </c>
      <c r="H55" s="4" t="str">
        <f>HYPERLINK("https://pragyanschool.com/", "https://pragyanschool.com/")</f>
        <v>https://pragyanschool.com/</v>
      </c>
      <c r="J55" s="3" t="str">
        <f>HYPERLINK("tel:+911204296701", "+911204296701")</f>
        <v>+911204296701</v>
      </c>
      <c r="K55" s="5" t="str">
        <f>HYPERLINK("mailto:info@pragyanschool.com", "info@pragyanschool.com")</f>
        <v>info@pragyanschool.com</v>
      </c>
      <c r="L55" s="6"/>
    </row>
    <row r="56" ht="15.75" customHeight="1">
      <c r="A56" s="3">
        <v>56.0</v>
      </c>
      <c r="B56" s="3" t="s">
        <v>370</v>
      </c>
      <c r="C56" s="3" t="s">
        <v>371</v>
      </c>
      <c r="D56" s="3" t="s">
        <v>372</v>
      </c>
      <c r="E56" s="3" t="s">
        <v>373</v>
      </c>
      <c r="F56" s="3" t="s">
        <v>374</v>
      </c>
      <c r="G56" s="3" t="s">
        <v>272</v>
      </c>
      <c r="H56" s="4" t="str">
        <f>HYPERLINK("https://www.birlaopenminds.com/k12/Andhra-Pradesh/Anupam-Nagar/about.php", "https://www.birlaopenminds.com/k12/Andhra-Pradesh/Anupam-Nagar/about.php")</f>
        <v>https://www.birlaopenminds.com/k12/Andhra-Pradesh/Anupam-Nagar/about.php</v>
      </c>
      <c r="J56" s="3" t="str">
        <f>HYPERLINK("tel:+917036620222", "+917036620222")</f>
        <v>+917036620222</v>
      </c>
      <c r="K56" s="5" t="str">
        <f>HYPERLINK("mailto:adm.tirupati@birlaopenminds.com", "adm.tirupati@birlaopenminds.com")</f>
        <v>adm.tirupati@birlaopenminds.com</v>
      </c>
      <c r="L56" s="6"/>
    </row>
    <row r="57" ht="15.75" customHeight="1">
      <c r="A57" s="3">
        <v>57.0</v>
      </c>
      <c r="B57" s="3" t="s">
        <v>375</v>
      </c>
      <c r="C57" s="3" t="s">
        <v>376</v>
      </c>
      <c r="D57" s="3" t="s">
        <v>377</v>
      </c>
      <c r="E57" s="3" t="s">
        <v>378</v>
      </c>
      <c r="F57" s="3" t="s">
        <v>379</v>
      </c>
      <c r="G57" s="3" t="s">
        <v>229</v>
      </c>
      <c r="H57" s="4" t="str">
        <f>HYPERLINK("https://schools.org.in/rajnandgaon/22090500903/govt-h-s-s-bijebhatha.html", "https://schools.org.in/rajnandgaon/22090500903/govt-h-s-s-bijebhatha.html")</f>
        <v>https://schools.org.in/rajnandgaon/22090500903/govt-h-s-s-bijebhatha.html</v>
      </c>
      <c r="I57" s="3" t="s">
        <v>380</v>
      </c>
      <c r="J57" s="3" t="str">
        <f>HYPERLINK("tel:+913237726820", "+913237726820")</f>
        <v>+913237726820</v>
      </c>
      <c r="K57" s="5" t="str">
        <f>HYPERLINK("mailto:qw@kn.in", "qw@kn.in")</f>
        <v>qw@kn.in</v>
      </c>
      <c r="L57" s="6" t="s">
        <v>381</v>
      </c>
    </row>
    <row r="58" ht="15.75" customHeight="1">
      <c r="A58" s="3">
        <v>58.0</v>
      </c>
      <c r="B58" s="3" t="s">
        <v>382</v>
      </c>
      <c r="C58" s="3" t="s">
        <v>383</v>
      </c>
      <c r="D58" s="3" t="s">
        <v>384</v>
      </c>
      <c r="E58" s="3" t="s">
        <v>385</v>
      </c>
      <c r="F58" s="3" t="s">
        <v>386</v>
      </c>
      <c r="G58" s="3" t="s">
        <v>229</v>
      </c>
      <c r="H58" s="4" t="str">
        <f>HYPERLINK("https://mohla-manpur-ambagarhchowki.cg.gov.in/en/", "https://mohla-manpur-ambagarhchowki.cg.gov.in/en/")</f>
        <v>https://mohla-manpur-ambagarhchowki.cg.gov.in/en/</v>
      </c>
      <c r="I58" s="3" t="s">
        <v>387</v>
      </c>
      <c r="J58" s="3" t="str">
        <f>HYPERLINK("tel:+911800111950", "+911800111950")</f>
        <v>+911800111950</v>
      </c>
      <c r="K58" s="5" t="str">
        <f>HYPERLINK("mailto:nan", "nan")</f>
        <v>nan</v>
      </c>
      <c r="L58" s="6" t="s">
        <v>388</v>
      </c>
    </row>
    <row r="59" ht="15.75" customHeight="1">
      <c r="A59" s="3">
        <v>59.0</v>
      </c>
      <c r="B59" s="3" t="s">
        <v>389</v>
      </c>
      <c r="C59" s="3" t="s">
        <v>390</v>
      </c>
      <c r="D59" s="3" t="s">
        <v>391</v>
      </c>
      <c r="E59" s="3" t="s">
        <v>392</v>
      </c>
      <c r="F59" s="3" t="s">
        <v>393</v>
      </c>
      <c r="G59" s="3" t="s">
        <v>175</v>
      </c>
      <c r="H59" s="4" t="str">
        <f>HYPERLINK("https://alkapuri.barodahighschool.com/", "https://alkapuri.barodahighschool.com/")</f>
        <v>https://alkapuri.barodahighschool.com/</v>
      </c>
      <c r="J59" s="3" t="str">
        <f>HYPERLINK("tel:+912652314742", "+912652314742")</f>
        <v>+912652314742</v>
      </c>
      <c r="K59" s="5" t="str">
        <f>HYPERLINK("mailto:office.bhsas@bhs.edu.in", "office.bhsas@bhs.edu.in")</f>
        <v>office.bhsas@bhs.edu.in</v>
      </c>
      <c r="L59" s="6" t="s">
        <v>394</v>
      </c>
    </row>
    <row r="60" ht="15.75" customHeight="1">
      <c r="A60" s="3">
        <v>60.0</v>
      </c>
      <c r="B60" s="3" t="s">
        <v>395</v>
      </c>
      <c r="C60" s="3" t="s">
        <v>396</v>
      </c>
      <c r="D60" s="3" t="s">
        <v>397</v>
      </c>
      <c r="E60" s="3" t="s">
        <v>398</v>
      </c>
      <c r="F60" s="3" t="s">
        <v>399</v>
      </c>
      <c r="G60" s="3" t="s">
        <v>31</v>
      </c>
      <c r="H60" s="4" t="str">
        <f>HYPERLINK("https://bgsnps.edu.in/", "https://bgsnps.edu.in/")</f>
        <v>https://bgsnps.edu.in/</v>
      </c>
      <c r="J60" s="3" t="str">
        <f>HYPERLINK("tel:+918026484933", "+918026484933")</f>
        <v>+918026484933</v>
      </c>
      <c r="K60" s="5" t="str">
        <f>HYPERLINK("mailto:principal@bgsnps.edu.in", "principal@bgsnps.edu.in")</f>
        <v>principal@bgsnps.edu.in</v>
      </c>
      <c r="L60" s="6" t="s">
        <v>400</v>
      </c>
    </row>
    <row r="61" ht="15.75" customHeight="1">
      <c r="A61" s="3">
        <v>61.0</v>
      </c>
      <c r="B61" s="3" t="s">
        <v>401</v>
      </c>
      <c r="C61" s="3" t="s">
        <v>402</v>
      </c>
      <c r="D61" s="3" t="s">
        <v>403</v>
      </c>
      <c r="E61" s="3" t="s">
        <v>404</v>
      </c>
      <c r="F61" s="3" t="s">
        <v>405</v>
      </c>
      <c r="G61" s="3" t="s">
        <v>31</v>
      </c>
      <c r="H61" s="4" t="str">
        <f>HYPERLINK("https://rvkcbse.in/", "https://rvkcbse.in/")</f>
        <v>https://rvkcbse.in/</v>
      </c>
      <c r="J61" s="3" t="str">
        <f>HYPERLINK("tel:+916364460807", "+916364460807")</f>
        <v>+916364460807</v>
      </c>
      <c r="K61" s="5" t="str">
        <f>HYPERLINK("mailto:info@rvkcbse.in", "info@rvkcbse.in")</f>
        <v>info@rvkcbse.in</v>
      </c>
      <c r="L61" s="6" t="s">
        <v>406</v>
      </c>
    </row>
    <row r="62" ht="15.75" customHeight="1">
      <c r="A62" s="3">
        <v>62.0</v>
      </c>
      <c r="B62" s="3" t="s">
        <v>407</v>
      </c>
      <c r="C62" s="3" t="s">
        <v>408</v>
      </c>
      <c r="D62" s="3" t="s">
        <v>409</v>
      </c>
      <c r="E62" s="3" t="s">
        <v>410</v>
      </c>
      <c r="F62" s="3" t="s">
        <v>411</v>
      </c>
      <c r="G62" s="3" t="s">
        <v>31</v>
      </c>
      <c r="H62" s="4" t="str">
        <f>HYPERLINK("https://pmshri.education.gov.in/", "https://pmshri.education.gov.in/")</f>
        <v>https://pmshri.education.gov.in/</v>
      </c>
      <c r="I62" s="3" t="s">
        <v>412</v>
      </c>
      <c r="J62" s="3" t="str">
        <f>HYPERLINK("tel:+918800440559", "+918800440559")</f>
        <v>+918800440559</v>
      </c>
      <c r="K62" s="5" t="str">
        <f>HYPERLINK("mailto:pd.webportal@karnataka.gov.in", "pd.webportal@karnataka.gov.in")</f>
        <v>pd.webportal@karnataka.gov.in</v>
      </c>
      <c r="L62" s="6" t="s">
        <v>413</v>
      </c>
    </row>
    <row r="63" ht="15.75" customHeight="1">
      <c r="A63" s="3">
        <v>63.0</v>
      </c>
      <c r="B63" s="3" t="s">
        <v>414</v>
      </c>
      <c r="C63" s="3" t="s">
        <v>415</v>
      </c>
      <c r="D63" s="3" t="s">
        <v>416</v>
      </c>
      <c r="E63" s="3" t="s">
        <v>417</v>
      </c>
      <c r="F63" s="3" t="s">
        <v>418</v>
      </c>
      <c r="G63" s="3" t="s">
        <v>58</v>
      </c>
      <c r="H63" s="4" t="str">
        <f>HYPERLINK("https://trivendrampattom.kvs.ac.in/en/", "https://trivendrampattom.kvs.ac.in/en/")</f>
        <v>https://trivendrampattom.kvs.ac.in/en/</v>
      </c>
      <c r="I63" s="3" t="s">
        <v>5</v>
      </c>
      <c r="J63" s="3" t="str">
        <f>HYPERLINK("tel:+914712445854", "+914712445854")</f>
        <v>+914712445854</v>
      </c>
      <c r="K63" s="5" t="str">
        <f>HYPERLINK("mailto:nan", "nan")</f>
        <v>nan</v>
      </c>
      <c r="L63" s="6" t="s">
        <v>419</v>
      </c>
    </row>
    <row r="64" ht="15.75" customHeight="1">
      <c r="A64" s="3">
        <v>64.0</v>
      </c>
      <c r="B64" s="3" t="s">
        <v>420</v>
      </c>
      <c r="C64" s="3" t="s">
        <v>421</v>
      </c>
      <c r="D64" s="3" t="s">
        <v>422</v>
      </c>
      <c r="E64" s="3" t="s">
        <v>423</v>
      </c>
      <c r="F64" s="3" t="s">
        <v>424</v>
      </c>
      <c r="G64" s="3" t="s">
        <v>58</v>
      </c>
      <c r="H64" s="4" t="str">
        <f>HYPERLINK("https://schools.org.in/thrissur/32070904001/soccorso-cghs-kottakkal-mala.html", "https://schools.org.in/thrissur/32070904001/soccorso-cghs-kottakkal-mala.html")</f>
        <v>https://schools.org.in/thrissur/32070904001/soccorso-cghs-kottakkal-mala.html</v>
      </c>
      <c r="I64" s="3" t="s">
        <v>425</v>
      </c>
      <c r="J64" s="3" t="str">
        <f>HYPERLINK("tel:+914802890334", "+914802890334")</f>
        <v>+914802890334</v>
      </c>
      <c r="K64" s="5" t="str">
        <f>HYPERLINK("mailto:info@careers360.com", "info@careers360.com")</f>
        <v>info@careers360.com</v>
      </c>
      <c r="L64" s="6" t="s">
        <v>426</v>
      </c>
    </row>
    <row r="65" ht="15.75" customHeight="1">
      <c r="A65" s="3">
        <v>65.0</v>
      </c>
      <c r="B65" s="3" t="s">
        <v>427</v>
      </c>
      <c r="C65" s="3" t="s">
        <v>428</v>
      </c>
      <c r="D65" s="3" t="s">
        <v>429</v>
      </c>
      <c r="E65" s="3" t="s">
        <v>430</v>
      </c>
      <c r="F65" s="3" t="s">
        <v>431</v>
      </c>
      <c r="G65" s="3" t="s">
        <v>58</v>
      </c>
      <c r="H65" s="4" t="str">
        <f>HYPERLINK("https://ghsskply.weebly.com/", "https://ghsskply.weebly.com/")</f>
        <v>https://ghsskply.weebly.com/</v>
      </c>
      <c r="I65" s="3" t="s">
        <v>432</v>
      </c>
      <c r="J65" s="3" t="str">
        <f>HYPERLINK("tel:+914712325106", "+914712325106")</f>
        <v>+914712325106</v>
      </c>
      <c r="K65" s="5" t="str">
        <f>HYPERLINK("mailto:dirdhse.dge@kerala.gov.in", "dirdhse.dge@kerala.gov.in")</f>
        <v>dirdhse.dge@kerala.gov.in</v>
      </c>
      <c r="L65" s="6" t="s">
        <v>433</v>
      </c>
    </row>
    <row r="66" ht="15.75" customHeight="1">
      <c r="A66" s="3">
        <v>66.0</v>
      </c>
      <c r="B66" s="3" t="s">
        <v>434</v>
      </c>
      <c r="C66" s="3" t="s">
        <v>435</v>
      </c>
      <c r="D66" s="3" t="s">
        <v>436</v>
      </c>
      <c r="E66" s="3" t="s">
        <v>437</v>
      </c>
      <c r="F66" s="3" t="s">
        <v>438</v>
      </c>
      <c r="G66" s="3" t="s">
        <v>58</v>
      </c>
      <c r="H66" s="4" t="str">
        <f>HYPERLINK("https://rajagiri.ac.in/", "https://rajagiri.ac.in/")</f>
        <v>https://rajagiri.ac.in/</v>
      </c>
      <c r="J66" s="3" t="str">
        <f>HYPERLINK("tel:nan", "nan")</f>
        <v>nan</v>
      </c>
      <c r="K66" s="5" t="str">
        <f>HYPERLINK("mailto:nan", "nan")</f>
        <v>nan</v>
      </c>
      <c r="L66" s="6"/>
    </row>
    <row r="67" ht="15.75" customHeight="1">
      <c r="A67" s="3">
        <v>67.0</v>
      </c>
      <c r="B67" s="3" t="s">
        <v>439</v>
      </c>
      <c r="C67" s="3" t="s">
        <v>440</v>
      </c>
      <c r="D67" s="3" t="s">
        <v>441</v>
      </c>
      <c r="E67" s="3" t="s">
        <v>442</v>
      </c>
      <c r="F67" s="3" t="s">
        <v>443</v>
      </c>
      <c r="G67" s="3" t="s">
        <v>58</v>
      </c>
      <c r="H67" s="4" t="str">
        <f>HYPERLINK("https://stthomascentralschool.edu.in/", "https://stthomascentralschool.edu.in/")</f>
        <v>https://stthomascentralschool.edu.in/</v>
      </c>
      <c r="J67" s="3" t="str">
        <f>HYPERLINK("tel:+914712511330", "+914712511330")</f>
        <v>+914712511330</v>
      </c>
      <c r="K67" s="5" t="str">
        <f>HYPERLINK("mailto:stcs.stcs2013@gmail.com", "stcs.stcs2013@gmail.com")</f>
        <v>stcs.stcs2013@gmail.com</v>
      </c>
      <c r="L67" s="6" t="s">
        <v>444</v>
      </c>
    </row>
    <row r="68" ht="15.75" customHeight="1">
      <c r="A68" s="3">
        <v>68.0</v>
      </c>
      <c r="B68" s="3" t="s">
        <v>445</v>
      </c>
      <c r="C68" s="3" t="s">
        <v>446</v>
      </c>
      <c r="D68" s="3" t="s">
        <v>447</v>
      </c>
      <c r="E68" s="3" t="s">
        <v>448</v>
      </c>
      <c r="F68" s="3" t="s">
        <v>449</v>
      </c>
      <c r="G68" s="3" t="s">
        <v>115</v>
      </c>
      <c r="H68" s="4" t="str">
        <f>HYPERLINK("https://saraswatikrishnanagarsatna.com/", "https://saraswatikrishnanagarsatna.com/")</f>
        <v>https://saraswatikrishnanagarsatna.com/</v>
      </c>
      <c r="I68" s="3" t="s">
        <v>450</v>
      </c>
      <c r="J68" s="3" t="str">
        <f>HYPERLINK("tel:+917672401402", "+917672401402")</f>
        <v>+917672401402</v>
      </c>
      <c r="K68" s="5" t="str">
        <f>HYPERLINK("mailto:saraswatikrishsatna@gmail.com", "saraswatikrishsatna@gmail.com")</f>
        <v>saraswatikrishsatna@gmail.com</v>
      </c>
      <c r="L68" s="6" t="s">
        <v>451</v>
      </c>
    </row>
    <row r="69" ht="15.75" customHeight="1">
      <c r="A69" s="3">
        <v>69.0</v>
      </c>
      <c r="B69" s="3" t="s">
        <v>452</v>
      </c>
      <c r="C69" s="3" t="s">
        <v>453</v>
      </c>
      <c r="D69" s="3" t="s">
        <v>454</v>
      </c>
      <c r="E69" s="3" t="s">
        <v>455</v>
      </c>
      <c r="F69" s="3" t="s">
        <v>456</v>
      </c>
      <c r="G69" s="3" t="s">
        <v>38</v>
      </c>
      <c r="H69" s="4" t="str">
        <f>HYPERLINK("https://www.justdial.com/Nagpur/Bhide-Girls-High-School-Junior-College-Netaji-Market-Sitabuldi/0712PX712-X712-000113551558-J4H8_BZDET", "https://www.justdial.com/Nagpur/Bhide-Girls-High-School-Junior-College-Netaji-Market-Sitabuldi/0712PX712-X712-000113551558-J4H8_BZDET")</f>
        <v>https://www.justdial.com/Nagpur/Bhide-Girls-High-School-Junior-College-Netaji-Market-Sitabuldi/0712PX712-X712-000113551558-J4H8_BZDET</v>
      </c>
      <c r="I69" s="3" t="s">
        <v>457</v>
      </c>
      <c r="J69" s="3" t="str">
        <f>HYPERLINK("tel:+917104320304", "+917104320304")</f>
        <v>+917104320304</v>
      </c>
      <c r="K69" s="5" t="str">
        <f>HYPERLINK("mailto:rdc_nagpur@rediffmail.com", "rdc_nagpur@rediffmail.com")</f>
        <v>rdc_nagpur@rediffmail.com</v>
      </c>
      <c r="L69" s="6" t="s">
        <v>458</v>
      </c>
    </row>
    <row r="70" ht="15.75" customHeight="1">
      <c r="A70" s="3">
        <v>70.0</v>
      </c>
      <c r="B70" s="3" t="s">
        <v>459</v>
      </c>
      <c r="C70" s="3" t="s">
        <v>460</v>
      </c>
      <c r="D70" s="3" t="s">
        <v>461</v>
      </c>
      <c r="E70" s="3" t="s">
        <v>462</v>
      </c>
      <c r="F70" s="3" t="s">
        <v>463</v>
      </c>
      <c r="G70" s="3" t="s">
        <v>38</v>
      </c>
      <c r="H70" s="4" t="str">
        <f>HYPERLINK("https://www.podareducation.org/school/sangli", "https://www.podareducation.org/school/sangli")</f>
        <v>https://www.podareducation.org/school/sangli</v>
      </c>
      <c r="J70" s="3" t="str">
        <f>HYPERLINK("tel:+917428092049", "+917428092049")</f>
        <v>+917428092049</v>
      </c>
      <c r="K70" s="5" t="str">
        <f>HYPERLINK("mailto:admissions@podar.org", "admissions@podar.org")</f>
        <v>admissions@podar.org</v>
      </c>
      <c r="L70" s="6" t="s">
        <v>464</v>
      </c>
    </row>
    <row r="71" ht="15.75" customHeight="1">
      <c r="A71" s="3">
        <v>71.0</v>
      </c>
      <c r="B71" s="3" t="s">
        <v>465</v>
      </c>
      <c r="C71" s="3" t="s">
        <v>466</v>
      </c>
      <c r="D71" s="3" t="s">
        <v>467</v>
      </c>
      <c r="E71" s="3" t="s">
        <v>468</v>
      </c>
      <c r="F71" s="3" t="s">
        <v>469</v>
      </c>
      <c r="G71" s="3" t="s">
        <v>38</v>
      </c>
      <c r="H71" s="4" t="str">
        <f>HYPERLINK("https://buldhana.nic.in/en/public-utility/d-e-s-high-sch-datala/", "https://buldhana.nic.in/en/public-utility/d-e-s-high-sch-datala/")</f>
        <v>https://buldhana.nic.in/en/public-utility/d-e-s-high-sch-datala/</v>
      </c>
      <c r="I71" s="3" t="s">
        <v>470</v>
      </c>
      <c r="J71" s="3" t="str">
        <f>HYPERLINK("tel:+919420794298", "+919420794298")</f>
        <v>+919420794298</v>
      </c>
      <c r="K71" s="5" t="str">
        <f>HYPERLINK("mailto:nan", "nan")</f>
        <v>nan</v>
      </c>
      <c r="L71" s="6" t="s">
        <v>471</v>
      </c>
    </row>
    <row r="72" ht="15.75" customHeight="1">
      <c r="A72" s="3">
        <v>72.0</v>
      </c>
      <c r="B72" s="3" t="s">
        <v>472</v>
      </c>
      <c r="C72" s="3" t="s">
        <v>473</v>
      </c>
      <c r="D72" s="3" t="s">
        <v>474</v>
      </c>
      <c r="E72" s="3" t="s">
        <v>475</v>
      </c>
      <c r="F72" s="3" t="s">
        <v>476</v>
      </c>
      <c r="G72" s="3" t="s">
        <v>70</v>
      </c>
      <c r="H72" s="4" t="str">
        <f>HYPERLINK("https://www.sanskarjaipur.com/", "https://www.sanskarjaipur.com/")</f>
        <v>https://www.sanskarjaipur.com/</v>
      </c>
      <c r="J72" s="3" t="str">
        <f>HYPERLINK("tel:+911412246189", "+911412246189")</f>
        <v>+911412246189</v>
      </c>
      <c r="K72" s="5" t="str">
        <f>HYPERLINK("mailto:info@sanskarjaipur.com", "info@sanskarjaipur.com")</f>
        <v>info@sanskarjaipur.com</v>
      </c>
      <c r="L72" s="6"/>
    </row>
    <row r="73" ht="15.75" customHeight="1">
      <c r="A73" s="3">
        <v>73.0</v>
      </c>
      <c r="B73" s="3" t="s">
        <v>477</v>
      </c>
      <c r="C73" s="3" t="s">
        <v>478</v>
      </c>
      <c r="D73" s="3" t="s">
        <v>479</v>
      </c>
      <c r="E73" s="3" t="s">
        <v>480</v>
      </c>
      <c r="F73" s="3" t="s">
        <v>481</v>
      </c>
      <c r="G73" s="3" t="s">
        <v>17</v>
      </c>
      <c r="H73" s="4" t="str">
        <f>HYPERLINK("http://sriramanavidyalaya.org/", "http://sriramanavidyalaya.org/")</f>
        <v>http://sriramanavidyalaya.org/</v>
      </c>
      <c r="I73" s="3" t="s">
        <v>210</v>
      </c>
      <c r="J73" s="3" t="str">
        <f>HYPERLINK("tel:+914563236090", "+914563236090")</f>
        <v>+914563236090</v>
      </c>
      <c r="K73" s="5" t="str">
        <f>HYPERLINK("mailto:sracbse@gmail.com", "sracbse@gmail.com")</f>
        <v>sracbse@gmail.com</v>
      </c>
      <c r="L73" s="6"/>
    </row>
    <row r="74" ht="15.75" customHeight="1">
      <c r="A74" s="3">
        <v>74.0</v>
      </c>
      <c r="B74" s="3" t="s">
        <v>482</v>
      </c>
      <c r="C74" s="3" t="s">
        <v>483</v>
      </c>
      <c r="D74" s="3" t="s">
        <v>484</v>
      </c>
      <c r="E74" s="3" t="s">
        <v>485</v>
      </c>
      <c r="F74" s="3" t="s">
        <v>486</v>
      </c>
      <c r="G74" s="3" t="s">
        <v>17</v>
      </c>
      <c r="H74" s="4" t="str">
        <f>HYPERLINK("https://www.zoominfo.com/c/the-ngp-school/501885534", "https://www.zoominfo.com/c/the-ngp-school/501885534")</f>
        <v>https://www.zoominfo.com/c/the-ngp-school/501885534</v>
      </c>
      <c r="J74" s="3" t="str">
        <f>HYPERLINK("tel:+919442852222", "+919442852222")</f>
        <v>+919442852222</v>
      </c>
      <c r="K74" s="5" t="str">
        <f>HYPERLINK("mailto:info@thengpschool.ac.in", "info@thengpschool.ac.in")</f>
        <v>info@thengpschool.ac.in</v>
      </c>
      <c r="L74" s="6" t="s">
        <v>487</v>
      </c>
    </row>
    <row r="75" ht="15.75" customHeight="1">
      <c r="A75" s="3">
        <v>75.0</v>
      </c>
      <c r="B75" s="3" t="s">
        <v>488</v>
      </c>
      <c r="C75" s="3" t="s">
        <v>489</v>
      </c>
      <c r="D75" s="3" t="s">
        <v>490</v>
      </c>
      <c r="E75" s="3" t="s">
        <v>491</v>
      </c>
      <c r="F75" s="3" t="s">
        <v>492</v>
      </c>
      <c r="G75" s="3" t="s">
        <v>130</v>
      </c>
      <c r="H75" s="4" t="str">
        <f>HYPERLINK("https://www.gitanjalischools.com/", "https://www.gitanjalischools.com/")</f>
        <v>https://www.gitanjalischools.com/</v>
      </c>
      <c r="I75" s="3" t="s">
        <v>493</v>
      </c>
      <c r="J75" s="3" t="str">
        <f>HYPERLINK("tel:+914027768420", "+914027768420")</f>
        <v>+914027768420</v>
      </c>
      <c r="K75" s="5" t="str">
        <f>HYPERLINK("mailto:info@geethanjaligroupofschools-wgl.com", "info@geethanjaligroupofschools-wgl.com")</f>
        <v>info@geethanjaligroupofschools-wgl.com</v>
      </c>
      <c r="L75" s="6" t="s">
        <v>494</v>
      </c>
    </row>
    <row r="76" ht="15.75" customHeight="1">
      <c r="A76" s="3">
        <v>76.0</v>
      </c>
      <c r="B76" s="3" t="s">
        <v>495</v>
      </c>
      <c r="C76" s="3" t="s">
        <v>496</v>
      </c>
      <c r="D76" s="3" t="s">
        <v>497</v>
      </c>
      <c r="E76" s="3" t="s">
        <v>498</v>
      </c>
      <c r="F76" s="3" t="s">
        <v>499</v>
      </c>
      <c r="G76" s="3" t="s">
        <v>100</v>
      </c>
      <c r="H76" s="4" t="str">
        <f>HYPERLINK("https://dpsrkp.net/", "https://dpsrkp.net/")</f>
        <v>https://dpsrkp.net/</v>
      </c>
      <c r="I76" s="3" t="s">
        <v>500</v>
      </c>
      <c r="J76" s="3" t="str">
        <f>HYPERLINK("tel:+911307987104", "+911307987104")</f>
        <v>+911307987104</v>
      </c>
      <c r="K76" s="5" t="str">
        <f>HYPERLINK("mailto:secretary@dpsfamily.org", "secretary@dpsfamily.org")</f>
        <v>secretary@dpsfamily.org</v>
      </c>
      <c r="L76" s="6" t="s">
        <v>501</v>
      </c>
    </row>
    <row r="77" ht="15.75" customHeight="1">
      <c r="A77" s="3">
        <v>77.0</v>
      </c>
      <c r="B77" s="3" t="s">
        <v>502</v>
      </c>
      <c r="C77" s="3" t="s">
        <v>390</v>
      </c>
      <c r="D77" s="3" t="s">
        <v>503</v>
      </c>
      <c r="E77" s="3" t="s">
        <v>504</v>
      </c>
      <c r="F77" s="3" t="s">
        <v>393</v>
      </c>
      <c r="G77" s="3" t="s">
        <v>175</v>
      </c>
      <c r="H77" s="4" t="str">
        <f>HYPERLINK("https://barodahighschool.com/", "https://barodahighschool.com/")</f>
        <v>https://barodahighschool.com/</v>
      </c>
      <c r="J77" s="3" t="str">
        <f>HYPERLINK("tel:+912652314742", "+912652314742")</f>
        <v>+912652314742</v>
      </c>
      <c r="K77" s="5" t="str">
        <f>HYPERLINK("mailto:office.bhsas@bhs.edu.in", "office.bhsas@bhs.edu.in")</f>
        <v>office.bhsas@bhs.edu.in</v>
      </c>
      <c r="L77" s="6" t="s">
        <v>394</v>
      </c>
    </row>
    <row r="78" ht="15.75" customHeight="1">
      <c r="A78" s="3">
        <v>78.0</v>
      </c>
      <c r="B78" s="3" t="s">
        <v>505</v>
      </c>
      <c r="C78" s="3" t="s">
        <v>506</v>
      </c>
      <c r="D78" s="3" t="s">
        <v>507</v>
      </c>
      <c r="E78" s="3" t="s">
        <v>508</v>
      </c>
      <c r="F78" s="3" t="s">
        <v>509</v>
      </c>
      <c r="G78" s="3" t="s">
        <v>24</v>
      </c>
      <c r="H78" s="4" t="str">
        <f>HYPERLINK("https://www.dpsgurgaon.org/", "https://www.dpsgurgaon.org/")</f>
        <v>https://www.dpsgurgaon.org/</v>
      </c>
      <c r="I78" s="3" t="s">
        <v>510</v>
      </c>
      <c r="J78" s="3" t="str">
        <f>HYPERLINK("tel:+918130314455", "+918130314455")</f>
        <v>+918130314455</v>
      </c>
      <c r="K78" s="5" t="str">
        <f>HYPERLINK("mailto:principal@dpsgurgaon.org", "principal@dpsgurgaon.org")</f>
        <v>principal@dpsgurgaon.org</v>
      </c>
      <c r="L78" s="6" t="s">
        <v>511</v>
      </c>
    </row>
    <row r="79" ht="15.75" customHeight="1">
      <c r="A79" s="3">
        <v>79.0</v>
      </c>
      <c r="B79" s="3" t="s">
        <v>512</v>
      </c>
      <c r="C79" s="3" t="s">
        <v>513</v>
      </c>
      <c r="D79" s="3" t="s">
        <v>514</v>
      </c>
      <c r="E79" s="3" t="s">
        <v>515</v>
      </c>
      <c r="F79" s="3" t="s">
        <v>516</v>
      </c>
      <c r="G79" s="3" t="s">
        <v>31</v>
      </c>
      <c r="H79" s="4" t="str">
        <f>HYPERLINK("https://vivekedu.org/", "https://vivekedu.org/")</f>
        <v>https://vivekedu.org/</v>
      </c>
      <c r="I79" s="3" t="s">
        <v>517</v>
      </c>
      <c r="J79" s="3" t="str">
        <f>HYPERLINK("tel:+918027931778", "+918027931778")</f>
        <v>+918027931778</v>
      </c>
      <c r="K79" s="5" t="str">
        <f>HYPERLINK("mailto:svvkcbse@gmail.com", "svvkcbse@gmail.com")</f>
        <v>svvkcbse@gmail.com</v>
      </c>
      <c r="L79" s="6" t="s">
        <v>518</v>
      </c>
    </row>
    <row r="80" ht="15.75" customHeight="1">
      <c r="A80" s="3">
        <v>80.0</v>
      </c>
      <c r="B80" s="3" t="s">
        <v>519</v>
      </c>
      <c r="C80" s="3" t="s">
        <v>520</v>
      </c>
      <c r="D80" s="3" t="s">
        <v>521</v>
      </c>
      <c r="E80" s="3" t="s">
        <v>522</v>
      </c>
      <c r="F80" s="3" t="s">
        <v>523</v>
      </c>
      <c r="G80" s="3" t="s">
        <v>70</v>
      </c>
      <c r="H80" s="4" t="str">
        <f>HYPERLINK("https://jprvidyashramprtp.ac.in/", "https://jprvidyashramprtp.ac.in/")</f>
        <v>https://jprvidyashramprtp.ac.in/</v>
      </c>
      <c r="J80" s="3" t="str">
        <f>HYPERLINK("tel:+911414374732", "+911414374732")</f>
        <v>+911414374732</v>
      </c>
      <c r="K80" s="5" t="str">
        <f>HYPERLINK("mailto:jprvidyashramprtp@yahoo.in", "jprvidyashramprtp@yahoo.in")</f>
        <v>jprvidyashramprtp@yahoo.in</v>
      </c>
      <c r="L80" s="6"/>
    </row>
    <row r="81" ht="15.75" customHeight="1">
      <c r="A81" s="3">
        <v>81.0</v>
      </c>
      <c r="B81" s="3" t="s">
        <v>524</v>
      </c>
      <c r="C81" s="3" t="s">
        <v>525</v>
      </c>
      <c r="D81" s="3" t="s">
        <v>526</v>
      </c>
      <c r="E81" s="3" t="s">
        <v>527</v>
      </c>
      <c r="F81" s="3" t="s">
        <v>528</v>
      </c>
      <c r="G81" s="3" t="s">
        <v>272</v>
      </c>
      <c r="H81" s="4" t="str">
        <f>HYPERLINK("http://www.ssvnilayam.in/", "http://www.ssvnilayam.in/")</f>
        <v>http://www.ssvnilayam.in/</v>
      </c>
      <c r="J81" s="3" t="str">
        <f>HYPERLINK("tel:+919063890128", "+919063890128")</f>
        <v>+919063890128</v>
      </c>
      <c r="K81" s="5" t="str">
        <f>HYPERLINK("mailto:ssvnilayam@yahoo.co.in", "ssvnilayam@yahoo.co.in")</f>
        <v>ssvnilayam@yahoo.co.in</v>
      </c>
      <c r="L81" s="6"/>
    </row>
    <row r="82" ht="15.75" customHeight="1">
      <c r="A82" s="3">
        <v>82.0</v>
      </c>
      <c r="B82" s="3" t="s">
        <v>529</v>
      </c>
      <c r="C82" s="3" t="s">
        <v>530</v>
      </c>
      <c r="D82" s="3" t="s">
        <v>531</v>
      </c>
      <c r="E82" s="3" t="s">
        <v>532</v>
      </c>
      <c r="F82" s="3" t="s">
        <v>533</v>
      </c>
      <c r="G82" s="3" t="s">
        <v>229</v>
      </c>
      <c r="H82" s="4" t="str">
        <f>HYPERLINK("https://rksva.org/", "https://rksva.org/")</f>
        <v>https://rksva.org/</v>
      </c>
      <c r="I82" s="3" t="s">
        <v>534</v>
      </c>
      <c r="J82" s="3" t="str">
        <f>HYPERLINK("tel:+916267020803", "+916267020803")</f>
        <v>+916267020803</v>
      </c>
      <c r="K82" s="5" t="str">
        <f>HYPERLINK("mailto:admin@arksva.org", "admin@arksva.org")</f>
        <v>admin@arksva.org</v>
      </c>
      <c r="L82" s="6" t="s">
        <v>535</v>
      </c>
    </row>
    <row r="83" ht="15.75" customHeight="1">
      <c r="A83" s="3">
        <v>83.0</v>
      </c>
      <c r="B83" s="3" t="s">
        <v>536</v>
      </c>
      <c r="C83" s="3" t="s">
        <v>537</v>
      </c>
      <c r="D83" s="3" t="s">
        <v>538</v>
      </c>
      <c r="E83" s="3" t="s">
        <v>539</v>
      </c>
      <c r="F83" s="3" t="s">
        <v>540</v>
      </c>
      <c r="G83" s="3" t="s">
        <v>182</v>
      </c>
      <c r="H83" s="4" t="str">
        <f>HYPERLINK("https://www.facebook.com/people/Govt-BMS-NR-Baba-Khag/100093776378802/", "https://www.facebook.com/people/Govt-BMS-NR-Baba-Khag/100093776378802/")</f>
        <v>https://www.facebook.com/people/Govt-BMS-NR-Baba-Khag/100093776378802/</v>
      </c>
      <c r="I83" s="3" t="s">
        <v>541</v>
      </c>
      <c r="J83" s="3" t="str">
        <f>HYPERLINK("tel:+913236746820", "+913236746820")</f>
        <v>+913236746820</v>
      </c>
      <c r="K83" s="5" t="str">
        <f>HYPERLINK("mailto:Secyrdd11@gmail.com", "Secyrdd11@gmail.com")</f>
        <v>Secyrdd11@gmail.com</v>
      </c>
      <c r="L83" s="6"/>
    </row>
    <row r="84" ht="15.75" customHeight="1">
      <c r="A84" s="3">
        <v>84.0</v>
      </c>
      <c r="B84" s="3" t="s">
        <v>542</v>
      </c>
      <c r="C84" s="3" t="s">
        <v>543</v>
      </c>
      <c r="D84" s="3" t="s">
        <v>544</v>
      </c>
      <c r="E84" s="3" t="s">
        <v>545</v>
      </c>
      <c r="F84" s="3" t="s">
        <v>546</v>
      </c>
      <c r="G84" s="3" t="s">
        <v>182</v>
      </c>
      <c r="H84" s="4" t="str">
        <f>HYPERLINK("https://www.facebook.com/bhssbudgam/", "https://www.facebook.com/bhssbudgam/")</f>
        <v>https://www.facebook.com/bhssbudgam/</v>
      </c>
      <c r="I84" s="3" t="s">
        <v>547</v>
      </c>
      <c r="J84" s="3" t="str">
        <f>HYPERLINK("tel:+911951255203", "+911951255203")</f>
        <v>+911951255203</v>
      </c>
      <c r="K84" s="5" t="str">
        <f>HYPERLINK("mailto:ceobudgaam@gmail.com", "ceobudgaam@gmail.com")</f>
        <v>ceobudgaam@gmail.com</v>
      </c>
      <c r="L84" s="6" t="s">
        <v>548</v>
      </c>
    </row>
    <row r="85" ht="15.75" customHeight="1">
      <c r="A85" s="3">
        <v>85.0</v>
      </c>
      <c r="B85" s="3" t="s">
        <v>549</v>
      </c>
      <c r="C85" s="3" t="s">
        <v>550</v>
      </c>
      <c r="D85" s="3" t="s">
        <v>551</v>
      </c>
      <c r="E85" s="3" t="s">
        <v>552</v>
      </c>
      <c r="F85" s="3" t="s">
        <v>553</v>
      </c>
      <c r="G85" s="3" t="s">
        <v>554</v>
      </c>
      <c r="H85" s="4" t="str">
        <f>HYPERLINK("https://davgandhinagar.com/", "https://davgandhinagar.com/")</f>
        <v>https://davgandhinagar.com/</v>
      </c>
      <c r="I85" s="3" t="s">
        <v>555</v>
      </c>
      <c r="J85" s="3" t="str">
        <f>HYPERLINK("tel:+918294984411", "+918294984411")</f>
        <v>+918294984411</v>
      </c>
      <c r="K85" s="5" t="str">
        <f>HYPERLINK("mailto:info.rfslodhivaliem@rfs.edu.in", "info.rfslodhivaliem@rfs.edu.in")</f>
        <v>info.rfslodhivaliem@rfs.edu.in</v>
      </c>
      <c r="L85" s="6" t="s">
        <v>556</v>
      </c>
    </row>
    <row r="86" ht="15.75" customHeight="1">
      <c r="A86" s="3">
        <v>86.0</v>
      </c>
      <c r="B86" s="3" t="s">
        <v>557</v>
      </c>
      <c r="C86" s="3" t="s">
        <v>558</v>
      </c>
      <c r="D86" s="3" t="s">
        <v>559</v>
      </c>
      <c r="E86" s="3" t="s">
        <v>560</v>
      </c>
      <c r="F86" s="3" t="s">
        <v>561</v>
      </c>
      <c r="G86" s="3" t="s">
        <v>31</v>
      </c>
      <c r="H86" s="4" t="str">
        <f>HYPERLINK("https://dom.karnataka.gov.in/new-page/Minorities%20Morarji%20Desai%20Residential%20Schools/en", "https://dom.karnataka.gov.in/new-page/Minorities%20Morarji%20Desai%20Residential%20Schools/en")</f>
        <v>https://dom.karnataka.gov.in/new-page/Minorities%20Morarji%20Desai%20Residential%20Schools/en</v>
      </c>
      <c r="I86" s="3" t="s">
        <v>562</v>
      </c>
      <c r="J86" s="3" t="str">
        <f>HYPERLINK("tel:+918375232800", "+918375232800")</f>
        <v>+918375232800</v>
      </c>
      <c r="K86" s="5" t="str">
        <f>HYPERLINK("mailto:nan", "nan")</f>
        <v>nan</v>
      </c>
      <c r="L86" s="6" t="s">
        <v>563</v>
      </c>
    </row>
    <row r="87" ht="15.75" customHeight="1">
      <c r="A87" s="3">
        <v>87.0</v>
      </c>
      <c r="B87" s="3" t="s">
        <v>564</v>
      </c>
      <c r="C87" s="3" t="s">
        <v>565</v>
      </c>
      <c r="D87" s="3" t="s">
        <v>566</v>
      </c>
      <c r="E87" s="3" t="s">
        <v>567</v>
      </c>
      <c r="F87" s="3" t="s">
        <v>568</v>
      </c>
      <c r="G87" s="3" t="s">
        <v>70</v>
      </c>
      <c r="H87" s="4" t="str">
        <f>HYPERLINK("https://schools.org.in/barmer/08170304505/bhartiy-adarsh-vidhya-mandir.html", "https://schools.org.in/barmer/08170304505/bhartiy-adarsh-vidhya-mandir.html")</f>
        <v>https://schools.org.in/barmer/08170304505/bhartiy-adarsh-vidhya-mandir.html</v>
      </c>
      <c r="I87" s="3" t="s">
        <v>569</v>
      </c>
      <c r="J87" s="3" t="str">
        <f>HYPERLINK("tel:+918170304505", "+918170304505")</f>
        <v>+918170304505</v>
      </c>
      <c r="K87" s="5" t="str">
        <f>HYPERLINK("mailto:avmmajiwala@gmail.com", "avmmajiwala@gmail.com")</f>
        <v>avmmajiwala@gmail.com</v>
      </c>
      <c r="L87" s="6" t="s">
        <v>570</v>
      </c>
    </row>
    <row r="88" ht="15.75" customHeight="1">
      <c r="A88" s="3">
        <v>88.0</v>
      </c>
      <c r="B88" s="3" t="s">
        <v>571</v>
      </c>
      <c r="C88" s="3" t="s">
        <v>572</v>
      </c>
      <c r="D88" s="3" t="s">
        <v>573</v>
      </c>
      <c r="E88" s="3" t="s">
        <v>574</v>
      </c>
      <c r="F88" s="3" t="s">
        <v>575</v>
      </c>
      <c r="G88" s="3" t="s">
        <v>17</v>
      </c>
      <c r="H88" s="4" t="str">
        <f>HYPERLINK("https://schools.org.in/erode/33101503209/government-higher-secondary-school-seenapuram.html", "https://schools.org.in/erode/33101503209/government-higher-secondary-school-seenapuram.html")</f>
        <v>https://schools.org.in/erode/33101503209/government-higher-secondary-school-seenapuram.html</v>
      </c>
      <c r="I88" s="3" t="s">
        <v>576</v>
      </c>
      <c r="J88" s="3" t="str">
        <f>HYPERLINK("tel:+5953284192", "+5953284192")</f>
        <v>+5953284192</v>
      </c>
      <c r="K88" s="5" t="str">
        <f>HYPERLINK("mailto:nan", "nan")</f>
        <v>nan</v>
      </c>
      <c r="L88" s="6" t="s">
        <v>577</v>
      </c>
    </row>
    <row r="89" ht="15.75" customHeight="1">
      <c r="A89" s="3">
        <v>89.0</v>
      </c>
      <c r="B89" s="3" t="s">
        <v>578</v>
      </c>
      <c r="C89" s="3" t="s">
        <v>579</v>
      </c>
      <c r="D89" s="3" t="s">
        <v>580</v>
      </c>
      <c r="E89" s="3" t="s">
        <v>581</v>
      </c>
      <c r="F89" s="3" t="s">
        <v>582</v>
      </c>
      <c r="G89" s="3" t="s">
        <v>130</v>
      </c>
      <c r="H89" s="4" t="str">
        <f>HYPERLINK("https://radianthighschool.com/", "https://radianthighschool.com/")</f>
        <v>https://radianthighschool.com/</v>
      </c>
      <c r="I89" s="3" t="s">
        <v>583</v>
      </c>
      <c r="J89" s="3" t="str">
        <f>HYPERLINK("tel:+919248011995", "+919248011995")</f>
        <v>+919248011995</v>
      </c>
      <c r="K89" s="5" t="str">
        <f>HYPERLINK("mailto:info@radianthighschool.com", "info@radianthighschool.com")</f>
        <v>info@radianthighschool.com</v>
      </c>
      <c r="L89" s="6" t="s">
        <v>584</v>
      </c>
    </row>
    <row r="90" ht="15.75" customHeight="1">
      <c r="A90" s="3">
        <v>90.0</v>
      </c>
      <c r="B90" s="3" t="s">
        <v>585</v>
      </c>
      <c r="C90" s="3" t="s">
        <v>586</v>
      </c>
      <c r="D90" s="3" t="s">
        <v>587</v>
      </c>
      <c r="E90" s="3" t="s">
        <v>588</v>
      </c>
      <c r="F90" s="3" t="s">
        <v>589</v>
      </c>
      <c r="G90" s="3" t="s">
        <v>130</v>
      </c>
      <c r="H90" s="4" t="str">
        <f>HYPERLINK("https://dpshyderabad.in/", "https://dpshyderabad.in/")</f>
        <v>https://dpshyderabad.in/</v>
      </c>
      <c r="I90" s="3" t="s">
        <v>590</v>
      </c>
      <c r="J90" s="3" t="str">
        <f>HYPERLINK("tel:+919346988050", "+919346988050")</f>
        <v>+919346988050</v>
      </c>
      <c r="K90" s="5" t="str">
        <f>HYPERLINK("mailto:admission@dpsnadergul.in", "admission@dpsnadergul.in")</f>
        <v>admission@dpsnadergul.in</v>
      </c>
      <c r="L90" s="6" t="s">
        <v>591</v>
      </c>
    </row>
    <row r="91" ht="15.75" customHeight="1">
      <c r="A91" s="3">
        <v>91.0</v>
      </c>
      <c r="B91" s="3" t="s">
        <v>592</v>
      </c>
      <c r="C91" s="3" t="s">
        <v>593</v>
      </c>
      <c r="D91" s="3" t="s">
        <v>594</v>
      </c>
      <c r="E91" s="3" t="s">
        <v>595</v>
      </c>
      <c r="F91" s="3" t="s">
        <v>596</v>
      </c>
      <c r="G91" s="3" t="s">
        <v>597</v>
      </c>
      <c r="H91" s="4" t="str">
        <f>HYPERLINK("https://raiwala.kvs.ac.in/en/", "https://raiwala.kvs.ac.in/en/")</f>
        <v>https://raiwala.kvs.ac.in/en/</v>
      </c>
      <c r="I91" s="3" t="s">
        <v>93</v>
      </c>
      <c r="J91" s="3" t="str">
        <f>HYPERLINK("tel:+911352978535", "+911352978535")</f>
        <v>+911352978535</v>
      </c>
      <c r="K91" s="5" t="str">
        <f>HYPERLINK("mailto:nan", "nan")</f>
        <v>nan</v>
      </c>
      <c r="L91" s="6" t="s">
        <v>598</v>
      </c>
    </row>
    <row r="92" ht="15.75" customHeight="1">
      <c r="A92" s="3">
        <v>92.0</v>
      </c>
      <c r="B92" s="3" t="s">
        <v>599</v>
      </c>
      <c r="C92" s="3" t="s">
        <v>600</v>
      </c>
      <c r="D92" s="3" t="s">
        <v>601</v>
      </c>
      <c r="E92" s="3" t="s">
        <v>602</v>
      </c>
      <c r="F92" s="3" t="s">
        <v>603</v>
      </c>
      <c r="G92" s="3" t="s">
        <v>272</v>
      </c>
      <c r="H92" s="4" t="str">
        <f>HYPERLINK("https://schools.org.in/vizianagaram/28122400904/zphs-k-velagada.html", "https://schools.org.in/vizianagaram/28122400904/zphs-k-velagada.html")</f>
        <v>https://schools.org.in/vizianagaram/28122400904/zphs-k-velagada.html</v>
      </c>
      <c r="I92" s="3" t="s">
        <v>604</v>
      </c>
      <c r="J92" s="3" t="str">
        <f>HYPERLINK("tel:+918922236947", "+918922236947")</f>
        <v>+918922236947</v>
      </c>
      <c r="K92" s="5" t="str">
        <f>HYPERLINK("mailto:sp@eg.appolice.gov.in", "sp@eg.appolice.gov.in")</f>
        <v>sp@eg.appolice.gov.in</v>
      </c>
      <c r="L92" s="6" t="s">
        <v>605</v>
      </c>
    </row>
    <row r="93" ht="15.75" customHeight="1">
      <c r="A93" s="3">
        <v>93.0</v>
      </c>
      <c r="B93" s="3" t="s">
        <v>606</v>
      </c>
      <c r="C93" s="3" t="s">
        <v>607</v>
      </c>
      <c r="D93" s="3" t="s">
        <v>608</v>
      </c>
      <c r="E93" s="3" t="s">
        <v>609</v>
      </c>
      <c r="F93" s="3" t="s">
        <v>610</v>
      </c>
      <c r="G93" s="3" t="s">
        <v>229</v>
      </c>
      <c r="H93" s="4" t="str">
        <f>HYPERLINK("https://schools.org.in/kondagaon/22172500911/govt-higher-secondary-school-pharasgaon.html", "https://schools.org.in/kondagaon/22172500911/govt-higher-secondary-school-pharasgaon.html")</f>
        <v>https://schools.org.in/kondagaon/22172500911/govt-higher-secondary-school-pharasgaon.html</v>
      </c>
      <c r="I93" s="3" t="s">
        <v>611</v>
      </c>
      <c r="J93" s="3" t="str">
        <f>HYPERLINK("tel:+919407717697", "+919407717697")</f>
        <v>+919407717697</v>
      </c>
      <c r="K93" s="5" t="str">
        <f>HYPERLINK("mailto:info@careers360.com", "info@careers360.com")</f>
        <v>info@careers360.com</v>
      </c>
      <c r="L93" s="6" t="s">
        <v>612</v>
      </c>
    </row>
    <row r="94" ht="15.75" customHeight="1">
      <c r="A94" s="3">
        <v>94.0</v>
      </c>
      <c r="B94" s="3" t="s">
        <v>613</v>
      </c>
      <c r="C94" s="3" t="s">
        <v>614</v>
      </c>
      <c r="D94" s="3" t="s">
        <v>615</v>
      </c>
      <c r="E94" s="3" t="s">
        <v>616</v>
      </c>
      <c r="F94" s="3" t="s">
        <v>617</v>
      </c>
      <c r="G94" s="3" t="s">
        <v>31</v>
      </c>
      <c r="H94" s="4" t="str">
        <f>HYPERLINK("https://www.ssbj.in/", "https://www.ssbj.in/")</f>
        <v>https://www.ssbj.in/</v>
      </c>
      <c r="I94" s="3" t="s">
        <v>618</v>
      </c>
      <c r="J94" s="3" t="str">
        <f>HYPERLINK("tel:+918352270638", "+918352270638")</f>
        <v>+918352270638</v>
      </c>
      <c r="K94" s="5" t="str">
        <f>HYPERLINK("mailto:pplssbj1963@gmail.com", "pplssbj1963@gmail.com")</f>
        <v>pplssbj1963@gmail.com</v>
      </c>
      <c r="L94" s="6" t="s">
        <v>619</v>
      </c>
    </row>
    <row r="95" ht="15.75" customHeight="1">
      <c r="A95" s="3">
        <v>95.0</v>
      </c>
      <c r="B95" s="3" t="s">
        <v>620</v>
      </c>
      <c r="C95" s="3" t="s">
        <v>621</v>
      </c>
      <c r="D95" s="3" t="s">
        <v>622</v>
      </c>
      <c r="E95" s="3" t="s">
        <v>623</v>
      </c>
      <c r="F95" s="3" t="s">
        <v>624</v>
      </c>
      <c r="G95" s="3" t="s">
        <v>31</v>
      </c>
      <c r="H95" s="4" t="str">
        <f>HYPERLINK("https://wapyelahanka.kvs.ac.in/en/", "https://wapyelahanka.kvs.ac.in/en/")</f>
        <v>https://wapyelahanka.kvs.ac.in/en/</v>
      </c>
      <c r="I95" s="3" t="s">
        <v>625</v>
      </c>
      <c r="J95" s="3" t="str">
        <f>HYPERLINK("tel:+918028460979", "+918028460979")</f>
        <v>+918028460979</v>
      </c>
      <c r="K95" s="5" t="str">
        <f>HYPERLINK("mailto:cmeplg@rwf.railnet.gov.in", "cmeplg@rwf.railnet.gov.in")</f>
        <v>cmeplg@rwf.railnet.gov.in</v>
      </c>
      <c r="L95" s="6" t="s">
        <v>626</v>
      </c>
    </row>
    <row r="96" ht="15.75" customHeight="1">
      <c r="A96" s="3">
        <v>96.0</v>
      </c>
      <c r="B96" s="3" t="s">
        <v>627</v>
      </c>
      <c r="C96" s="3" t="s">
        <v>628</v>
      </c>
      <c r="D96" s="3" t="s">
        <v>629</v>
      </c>
      <c r="E96" s="3" t="s">
        <v>630</v>
      </c>
      <c r="F96" s="3" t="s">
        <v>631</v>
      </c>
      <c r="G96" s="3" t="s">
        <v>58</v>
      </c>
      <c r="H96" s="4" t="str">
        <f>HYPERLINK("http://www.dhsenss.kerala.gov.in/", "http://www.dhsenss.kerala.gov.in/")</f>
        <v>http://www.dhsenss.kerala.gov.in/</v>
      </c>
      <c r="I96" s="3" t="s">
        <v>632</v>
      </c>
      <c r="J96" s="3" t="str">
        <f>HYPERLINK("tel:+914792328844", "+914792328844")</f>
        <v>+914792328844</v>
      </c>
      <c r="K96" s="5" t="str">
        <f>HYPERLINK("mailto:sncsmavelikara@gmail.com", "sncsmavelikara@gmail.com")</f>
        <v>sncsmavelikara@gmail.com</v>
      </c>
      <c r="L96" s="6" t="s">
        <v>633</v>
      </c>
    </row>
    <row r="97" ht="15.75" customHeight="1">
      <c r="A97" s="3">
        <v>97.0</v>
      </c>
      <c r="B97" s="3" t="s">
        <v>634</v>
      </c>
      <c r="C97" s="3" t="s">
        <v>635</v>
      </c>
      <c r="D97" s="3" t="s">
        <v>636</v>
      </c>
      <c r="E97" s="3" t="s">
        <v>637</v>
      </c>
      <c r="F97" s="3" t="s">
        <v>638</v>
      </c>
      <c r="G97" s="3" t="s">
        <v>58</v>
      </c>
      <c r="H97" s="4" t="str">
        <f>HYPERLINK("https://vyasavidyapeethom.in/", "https://vyasavidyapeethom.in/")</f>
        <v>https://vyasavidyapeethom.in/</v>
      </c>
      <c r="I97" s="3" t="s">
        <v>639</v>
      </c>
      <c r="J97" s="3" t="str">
        <f>HYPERLINK("tel:+918078099504", "+918078099504")</f>
        <v>+918078099504</v>
      </c>
      <c r="K97" s="5" t="str">
        <f>HYPERLINK("mailto:vyasa930022principal@gmail.com", "vyasa930022principal@gmail.com")</f>
        <v>vyasa930022principal@gmail.com</v>
      </c>
      <c r="L97" s="6" t="s">
        <v>640</v>
      </c>
    </row>
    <row r="98" ht="15.75" customHeight="1">
      <c r="A98" s="3">
        <v>98.0</v>
      </c>
      <c r="B98" s="3" t="s">
        <v>641</v>
      </c>
      <c r="C98" s="3" t="s">
        <v>642</v>
      </c>
      <c r="D98" s="3" t="s">
        <v>643</v>
      </c>
      <c r="E98" s="3" t="s">
        <v>644</v>
      </c>
      <c r="F98" s="3" t="s">
        <v>645</v>
      </c>
      <c r="G98" s="3" t="s">
        <v>17</v>
      </c>
      <c r="H98" s="4" t="str">
        <f>HYPERLINK("https://schools.org.in/chennai/33020900209/ghss-mgr-nagar.html", "https://schools.org.in/chennai/33020900209/ghss-mgr-nagar.html")</f>
        <v>https://schools.org.in/chennai/33020900209/ghss-mgr-nagar.html</v>
      </c>
      <c r="I98" s="3" t="s">
        <v>646</v>
      </c>
      <c r="J98" s="3" t="str">
        <f>HYPERLINK("tel:+919894997818", "+919894997818")</f>
        <v>+919894997818</v>
      </c>
      <c r="K98" s="5" t="str">
        <f>HYPERLINK("mailto:support@campuspro.co.in", "support@campuspro.co.in")</f>
        <v>support@campuspro.co.in</v>
      </c>
      <c r="L98" s="6" t="s">
        <v>647</v>
      </c>
    </row>
    <row r="99" ht="15.75" customHeight="1">
      <c r="A99" s="3">
        <v>99.0</v>
      </c>
      <c r="B99" s="3" t="s">
        <v>648</v>
      </c>
      <c r="C99" s="3" t="s">
        <v>649</v>
      </c>
      <c r="D99" s="3" t="s">
        <v>650</v>
      </c>
      <c r="E99" s="3" t="s">
        <v>651</v>
      </c>
      <c r="F99" s="3" t="s">
        <v>652</v>
      </c>
      <c r="G99" s="3" t="s">
        <v>130</v>
      </c>
      <c r="H99" s="4" t="str">
        <f>HYPERLINK("https://schools.org.in/nizamabad/36021202804/zphs-kanjar.html", "https://schools.org.in/nizamabad/36021202804/zphs-kanjar.html")</f>
        <v>https://schools.org.in/nizamabad/36021202804/zphs-kanjar.html</v>
      </c>
      <c r="I99" s="3" t="s">
        <v>653</v>
      </c>
      <c r="J99" s="3" t="str">
        <f>HYPERLINK("tel:+911295017905", "+911295017905")</f>
        <v>+911295017905</v>
      </c>
      <c r="K99" s="5" t="str">
        <f>HYPERLINK("mailto:679@5.fc", "679@5.fc")</f>
        <v>679@5.fc</v>
      </c>
      <c r="L99" s="6" t="s">
        <v>654</v>
      </c>
    </row>
    <row r="100" ht="15.75" customHeight="1">
      <c r="A100" s="3">
        <v>100.0</v>
      </c>
      <c r="B100" s="3" t="s">
        <v>655</v>
      </c>
      <c r="C100" s="3" t="s">
        <v>656</v>
      </c>
      <c r="D100" s="3" t="s">
        <v>657</v>
      </c>
      <c r="E100" s="3" t="s">
        <v>658</v>
      </c>
      <c r="F100" s="3" t="s">
        <v>659</v>
      </c>
      <c r="G100" s="3" t="s">
        <v>100</v>
      </c>
      <c r="H100" s="4" t="str">
        <f>HYPERLINK("https://davdayanandvihar.net/", "https://davdayanandvihar.net/")</f>
        <v>https://davdayanandvihar.net/</v>
      </c>
      <c r="J100" s="3" t="str">
        <f>HYPERLINK("tel:+911147070367", "+911147070367")</f>
        <v>+911147070367</v>
      </c>
      <c r="K100" s="5" t="str">
        <f>HYPERLINK("mailto:davr_dv@yahoo.com", "davr_dv@yahoo.com")</f>
        <v>davr_dv@yahoo.com</v>
      </c>
      <c r="L100" s="6"/>
    </row>
    <row r="101" ht="15.75" customHeight="1">
      <c r="A101" s="3">
        <v>101.0</v>
      </c>
      <c r="B101" s="3" t="s">
        <v>660</v>
      </c>
      <c r="C101" s="3" t="s">
        <v>661</v>
      </c>
      <c r="D101" s="3" t="s">
        <v>662</v>
      </c>
      <c r="E101" s="3" t="s">
        <v>663</v>
      </c>
      <c r="F101" s="3" t="s">
        <v>664</v>
      </c>
      <c r="G101" s="3" t="s">
        <v>182</v>
      </c>
      <c r="H101" s="4" t="str">
        <f>HYPERLINK("https://no1udhampur.kvs.ac.in/en/", "https://no1udhampur.kvs.ac.in/en/")</f>
        <v>https://no1udhampur.kvs.ac.in/en/</v>
      </c>
      <c r="I101" s="3" t="s">
        <v>625</v>
      </c>
      <c r="J101" s="3" t="str">
        <f>HYPERLINK("tel:+911992242079", "+911992242079")</f>
        <v>+911992242079</v>
      </c>
      <c r="K101" s="5" t="str">
        <f>HYPERLINK("mailto:nan", "nan")</f>
        <v>nan</v>
      </c>
      <c r="L101" s="6" t="s">
        <v>665</v>
      </c>
    </row>
    <row r="102" ht="15.75" customHeight="1">
      <c r="A102" s="3">
        <v>102.0</v>
      </c>
      <c r="B102" s="3" t="s">
        <v>666</v>
      </c>
      <c r="C102" s="3" t="s">
        <v>667</v>
      </c>
      <c r="D102" s="3" t="s">
        <v>668</v>
      </c>
      <c r="E102" s="3" t="s">
        <v>669</v>
      </c>
      <c r="F102" s="3" t="s">
        <v>670</v>
      </c>
      <c r="G102" s="3" t="s">
        <v>38</v>
      </c>
      <c r="H102" s="4" t="str">
        <f>HYPERLINK("https://www.bhavans.info/about-bhavan/institution-details.php?name=Nagpur&amp;dept_id=181", "https://www.bhavans.info/about-bhavan/institution-details.php?name=Nagpur&amp;dept_id=181")</f>
        <v>https://www.bhavans.info/about-bhavan/institution-details.php?name=Nagpur&amp;dept_id=181</v>
      </c>
      <c r="I102" s="3" t="s">
        <v>671</v>
      </c>
      <c r="J102" s="3" t="str">
        <f>HYPERLINK("tel:+917066185962", "+917066185962")</f>
        <v>+917066185962</v>
      </c>
      <c r="K102" s="5" t="str">
        <f>HYPERLINK("mailto:bvmashti@gmail.com", "bvmashti@gmail.com")</f>
        <v>bvmashti@gmail.com</v>
      </c>
      <c r="L102" s="6" t="s">
        <v>672</v>
      </c>
    </row>
    <row r="103" ht="15.75" customHeight="1">
      <c r="A103" s="3">
        <v>103.0</v>
      </c>
      <c r="B103" s="3" t="s">
        <v>673</v>
      </c>
      <c r="C103" s="3" t="s">
        <v>674</v>
      </c>
      <c r="D103" s="3" t="s">
        <v>675</v>
      </c>
      <c r="E103" s="3" t="s">
        <v>676</v>
      </c>
      <c r="F103" s="3" t="s">
        <v>677</v>
      </c>
      <c r="G103" s="3" t="s">
        <v>70</v>
      </c>
      <c r="H103" s="4" t="str">
        <f>HYPERLINK("https://www.bpsg.edu.in/", "https://www.bpsg.edu.in/")</f>
        <v>https://www.bpsg.edu.in/</v>
      </c>
      <c r="J103" s="3" t="str">
        <f>HYPERLINK("tel:+911542467000", "+911542467000")</f>
        <v>+911542467000</v>
      </c>
      <c r="K103" s="5" t="str">
        <f>HYPERLINK("mailto:nan", "nan")</f>
        <v>nan</v>
      </c>
      <c r="L103" s="6" t="s">
        <v>678</v>
      </c>
    </row>
    <row r="104" ht="15.75" customHeight="1">
      <c r="A104" s="3">
        <v>104.0</v>
      </c>
      <c r="B104" s="3" t="s">
        <v>679</v>
      </c>
      <c r="C104" s="3" t="s">
        <v>126</v>
      </c>
      <c r="D104" s="3" t="s">
        <v>680</v>
      </c>
      <c r="E104" s="3" t="s">
        <v>681</v>
      </c>
      <c r="F104" s="3" t="s">
        <v>129</v>
      </c>
      <c r="G104" s="3" t="s">
        <v>130</v>
      </c>
      <c r="H104" s="4" t="str">
        <f>HYPERLINK("https://www.justdial.com/Hyderabad/Zilla-Parishad-High-School-Kondapur/040PXX40-XX40-200221204457-A4R2_BZDET", "https://www.justdial.com/Hyderabad/Zilla-Parishad-High-School-Kondapur/040PXX40-XX40-200221204457-A4R2_BZDET")</f>
        <v>https://www.justdial.com/Hyderabad/Zilla-Parishad-High-School-Kondapur/040PXX40-XX40-200221204457-A4R2_BZDET</v>
      </c>
      <c r="I104" s="3" t="s">
        <v>131</v>
      </c>
      <c r="J104" s="3" t="str">
        <f>HYPERLINK("tel:+919908628600", "+919908628600")</f>
        <v>+919908628600</v>
      </c>
      <c r="K104" s="5" t="str">
        <f>HYPERLINK("mailto:siddipetdro@gmail.com", "siddipetdro@gmail.com")</f>
        <v>siddipetdro@gmail.com</v>
      </c>
      <c r="L104" s="6" t="s">
        <v>132</v>
      </c>
    </row>
    <row r="105" ht="15.75" customHeight="1">
      <c r="A105" s="3">
        <v>105.0</v>
      </c>
      <c r="B105" s="3" t="s">
        <v>682</v>
      </c>
      <c r="C105" s="3" t="s">
        <v>683</v>
      </c>
      <c r="D105" s="3" t="s">
        <v>684</v>
      </c>
      <c r="E105" s="3" t="s">
        <v>685</v>
      </c>
      <c r="F105" s="3" t="s">
        <v>686</v>
      </c>
      <c r="G105" s="3" t="s">
        <v>70</v>
      </c>
      <c r="H105" s="4" t="str">
        <f>HYPERLINK("http://www.ddps.ac.in/", "http://www.ddps.ac.in/")</f>
        <v>http://www.ddps.ac.in/</v>
      </c>
      <c r="I105" s="3" t="s">
        <v>687</v>
      </c>
      <c r="J105" s="3" t="str">
        <f>HYPERLINK("tel:+917442472267", "+917442472267")</f>
        <v>+917442472267</v>
      </c>
      <c r="K105" s="5" t="str">
        <f>HYPERLINK("mailto:info@careers360.com", "info@careers360.com")</f>
        <v>info@careers360.com</v>
      </c>
      <c r="L105" s="6" t="s">
        <v>688</v>
      </c>
    </row>
    <row r="106" ht="15.75" customHeight="1">
      <c r="A106" s="3">
        <v>106.0</v>
      </c>
      <c r="B106" s="3" t="s">
        <v>689</v>
      </c>
      <c r="C106" s="3" t="s">
        <v>690</v>
      </c>
      <c r="D106" s="3" t="s">
        <v>691</v>
      </c>
      <c r="E106" s="3" t="s">
        <v>692</v>
      </c>
      <c r="F106" s="3" t="s">
        <v>693</v>
      </c>
      <c r="G106" s="3" t="s">
        <v>17</v>
      </c>
      <c r="H106" s="4" t="str">
        <f>HYPERLINK("https://ravillavidhyashram.com/", "https://ravillavidhyashram.com/")</f>
        <v>https://ravillavidhyashram.com/</v>
      </c>
      <c r="J106" s="3" t="str">
        <f>HYPERLINK("tel:+918778799348", "+918778799348")</f>
        <v>+918778799348</v>
      </c>
      <c r="K106" s="5" t="str">
        <f>HYPERLINK("mailto:RavillaKRAV@gmail.com", "RavillaKRAV@gmail.com")</f>
        <v>RavillaKRAV@gmail.com</v>
      </c>
      <c r="L106" s="6"/>
    </row>
    <row r="107" ht="15.75" customHeight="1">
      <c r="A107" s="3">
        <v>107.0</v>
      </c>
      <c r="B107" s="3" t="s">
        <v>694</v>
      </c>
      <c r="C107" s="3" t="s">
        <v>695</v>
      </c>
      <c r="D107" s="3" t="s">
        <v>696</v>
      </c>
      <c r="E107" s="3" t="s">
        <v>697</v>
      </c>
      <c r="F107" s="3" t="s">
        <v>698</v>
      </c>
      <c r="G107" s="3" t="s">
        <v>209</v>
      </c>
      <c r="H107" s="4" t="str">
        <f>HYPERLINK("https://mangaldoi.kvs.ac.in/en/", "https://mangaldoi.kvs.ac.in/en/")</f>
        <v>https://mangaldoi.kvs.ac.in/en/</v>
      </c>
      <c r="I107" s="3" t="s">
        <v>93</v>
      </c>
      <c r="J107" s="3" t="str">
        <f>HYPERLINK("tel:+918171601875", "+918171601875")</f>
        <v>+918171601875</v>
      </c>
      <c r="K107" s="5" t="str">
        <f>HYPERLINK("mailto:nan", "nan")</f>
        <v>nan</v>
      </c>
      <c r="L107" s="6" t="s">
        <v>699</v>
      </c>
    </row>
    <row r="108" ht="15.75" customHeight="1">
      <c r="A108" s="3">
        <v>108.0</v>
      </c>
      <c r="B108" s="3" t="s">
        <v>700</v>
      </c>
      <c r="C108" s="3" t="s">
        <v>701</v>
      </c>
      <c r="D108" s="3" t="s">
        <v>702</v>
      </c>
      <c r="E108" s="3" t="s">
        <v>703</v>
      </c>
      <c r="F108" s="3" t="s">
        <v>704</v>
      </c>
      <c r="G108" s="3" t="s">
        <v>24</v>
      </c>
      <c r="H108" s="4" t="str">
        <f>HYPERLINK("https://www.opjms.edu.in/", "https://www.opjms.edu.in/")</f>
        <v>https://www.opjms.edu.in/</v>
      </c>
      <c r="J108" s="3" t="str">
        <f>HYPERLINK("tel:+917419748954", "+917419748954")</f>
        <v>+917419748954</v>
      </c>
      <c r="K108" s="5" t="str">
        <f>HYPERLINK("mailto:admissions@jgu.edu.in", "admissions@jgu.edu.in")</f>
        <v>admissions@jgu.edu.in</v>
      </c>
      <c r="L108" s="6" t="s">
        <v>705</v>
      </c>
    </row>
    <row r="109" ht="15.75" customHeight="1">
      <c r="A109" s="3">
        <v>109.0</v>
      </c>
      <c r="B109" s="3" t="s">
        <v>706</v>
      </c>
      <c r="C109" s="3" t="s">
        <v>707</v>
      </c>
      <c r="D109" s="3" t="s">
        <v>708</v>
      </c>
      <c r="E109" s="3" t="s">
        <v>709</v>
      </c>
      <c r="F109" s="3" t="s">
        <v>710</v>
      </c>
      <c r="G109" s="3" t="s">
        <v>182</v>
      </c>
      <c r="H109" s="4" t="str">
        <f>HYPERLINK("https://crpfbantalab.kvs.ac.in/en/", "https://crpfbantalab.kvs.ac.in/en/")</f>
        <v>https://crpfbantalab.kvs.ac.in/en/</v>
      </c>
      <c r="J109" s="3" t="str">
        <f>HYPERLINK("tel:+911912592007", "+911912592007")</f>
        <v>+911912592007</v>
      </c>
      <c r="K109" s="5" t="str">
        <f>HYPERLINK("mailto:nan", "nan")</f>
        <v>nan</v>
      </c>
      <c r="L109" s="6" t="s">
        <v>711</v>
      </c>
    </row>
    <row r="110" ht="15.75" customHeight="1">
      <c r="A110" s="3">
        <v>110.0</v>
      </c>
      <c r="B110" s="3" t="s">
        <v>712</v>
      </c>
      <c r="C110" s="3" t="s">
        <v>713</v>
      </c>
      <c r="D110" s="3" t="s">
        <v>714</v>
      </c>
      <c r="E110" s="3" t="s">
        <v>715</v>
      </c>
      <c r="F110" s="3" t="s">
        <v>716</v>
      </c>
      <c r="G110" s="3" t="s">
        <v>182</v>
      </c>
      <c r="H110" s="4" t="str">
        <f>HYPERLINK("https://www.justdial.com/Jammu/Activity-Public-HR-Secondary-School-Near-Ramlila-Ground-Janipur-Colony-Janipur/9999PX191-X191-110421125424-H7I8_BZDET", "https://www.justdial.com/Jammu/Activity-Public-HR-Secondary-School-Near-Ramlila-Ground-Janipur-Colony-Janipur/9999PX191-X191-110421125424-H7I8_BZDET")</f>
        <v>https://www.justdial.com/Jammu/Activity-Public-HR-Secondary-School-Near-Ramlila-Ground-Janipur-Colony-Janipur/9999PX191-X191-110421125424-H7I8_BZDET</v>
      </c>
      <c r="J110" s="3" t="str">
        <f>HYPERLINK("tel:+919596970174", "+919596970174")</f>
        <v>+919596970174</v>
      </c>
      <c r="K110" s="5" t="str">
        <f>HYPERLINK("mailto:info@careers360.com", "info@careers360.com")</f>
        <v>info@careers360.com</v>
      </c>
      <c r="L110" s="6"/>
    </row>
    <row r="111" ht="15.75" customHeight="1">
      <c r="A111" s="3">
        <v>111.0</v>
      </c>
      <c r="B111" s="3" t="s">
        <v>717</v>
      </c>
      <c r="C111" s="3" t="s">
        <v>718</v>
      </c>
      <c r="D111" s="3" t="s">
        <v>719</v>
      </c>
      <c r="E111" s="3" t="s">
        <v>720</v>
      </c>
      <c r="F111" s="3" t="s">
        <v>721</v>
      </c>
      <c r="G111" s="3" t="s">
        <v>182</v>
      </c>
      <c r="H111" s="4" t="str">
        <f>HYPERLINK("https://www.facebook.com/p/Government-Higher-Secondary-School-Dangiwacha-100064225801675/", "https://www.facebook.com/p/Government-Higher-Secondary-School-Dangiwacha-100064225801675/")</f>
        <v>https://www.facebook.com/p/Government-Higher-Secondary-School-Dangiwacha-100064225801675/</v>
      </c>
      <c r="I111" s="3" t="s">
        <v>722</v>
      </c>
      <c r="J111" s="3" t="str">
        <f>HYPERLINK("tel:nan", "nan")</f>
        <v>nan</v>
      </c>
      <c r="K111" s="5" t="str">
        <f>HYPERLINK("mailto:nan", "nan")</f>
        <v>nan</v>
      </c>
      <c r="L111" s="6" t="s">
        <v>723</v>
      </c>
    </row>
    <row r="112" ht="15.75" customHeight="1">
      <c r="A112" s="3">
        <v>112.0</v>
      </c>
      <c r="B112" s="3" t="s">
        <v>724</v>
      </c>
      <c r="C112" s="3" t="s">
        <v>725</v>
      </c>
      <c r="D112" s="3" t="s">
        <v>726</v>
      </c>
      <c r="E112" s="3" t="s">
        <v>727</v>
      </c>
      <c r="F112" s="3" t="s">
        <v>728</v>
      </c>
      <c r="G112" s="3" t="s">
        <v>31</v>
      </c>
      <c r="H112" s="4" t="str">
        <f>HYPERLINK("https://madhavakripa.edu.in/", "https://madhavakripa.edu.in/")</f>
        <v>https://madhavakripa.edu.in/</v>
      </c>
      <c r="I112" s="3" t="s">
        <v>729</v>
      </c>
      <c r="J112" s="3" t="str">
        <f>HYPERLINK("tel:+917259324765", "+917259324765")</f>
        <v>+917259324765</v>
      </c>
      <c r="K112" s="5" t="str">
        <f>HYPERLINK("mailto:info.mks@manipal.edu", "info.mks@manipal.edu")</f>
        <v>info.mks@manipal.edu</v>
      </c>
      <c r="L112" s="6" t="s">
        <v>730</v>
      </c>
    </row>
    <row r="113" ht="15.75" customHeight="1">
      <c r="A113" s="3">
        <v>113.0</v>
      </c>
      <c r="B113" s="3" t="s">
        <v>731</v>
      </c>
      <c r="C113" s="3" t="s">
        <v>732</v>
      </c>
      <c r="D113" s="3" t="s">
        <v>733</v>
      </c>
      <c r="E113" s="3" t="s">
        <v>734</v>
      </c>
      <c r="F113" s="3" t="s">
        <v>735</v>
      </c>
      <c r="G113" s="3" t="s">
        <v>100</v>
      </c>
      <c r="H113" s="4" t="str">
        <f>HYPERLINK("https://www.aps.ac.in/", "https://www.aps.ac.in/")</f>
        <v>https://www.aps.ac.in/</v>
      </c>
      <c r="I113" s="3" t="s">
        <v>736</v>
      </c>
      <c r="J113" s="3" t="str">
        <f>HYPERLINK("tel:+919310314369", "+919310314369")</f>
        <v>+919310314369</v>
      </c>
      <c r="K113" s="5" t="str">
        <f>HYPERLINK("mailto:adarshpublicschool@hotmail.com", "adarshpublicschool@hotmail.com")</f>
        <v>adarshpublicschool@hotmail.com</v>
      </c>
      <c r="L113" s="6" t="s">
        <v>737</v>
      </c>
    </row>
    <row r="114" ht="15.75" customHeight="1">
      <c r="A114" s="3">
        <v>114.0</v>
      </c>
      <c r="B114" s="3" t="s">
        <v>738</v>
      </c>
      <c r="C114" s="3" t="s">
        <v>104</v>
      </c>
      <c r="D114" s="3" t="s">
        <v>739</v>
      </c>
      <c r="E114" s="3" t="s">
        <v>740</v>
      </c>
      <c r="F114" s="3" t="s">
        <v>107</v>
      </c>
      <c r="G114" s="3" t="s">
        <v>24</v>
      </c>
      <c r="H114" s="4" t="str">
        <f>HYPERLINK("https://www.scottishigh.com/", "https://www.scottishigh.com/")</f>
        <v>https://www.scottishigh.com/</v>
      </c>
      <c r="I114" s="3" t="s">
        <v>108</v>
      </c>
      <c r="J114" s="3" t="str">
        <f>HYPERLINK("tel:+919953849226", "+919953849226")</f>
        <v>+919953849226</v>
      </c>
      <c r="K114" s="5" t="str">
        <f>HYPERLINK("mailto:info@scottishigh.com", "info@scottishigh.com")</f>
        <v>info@scottishigh.com</v>
      </c>
      <c r="L114" s="6" t="s">
        <v>741</v>
      </c>
    </row>
    <row r="115" ht="15.75" customHeight="1">
      <c r="A115" s="3">
        <v>115.0</v>
      </c>
      <c r="B115" s="3" t="s">
        <v>742</v>
      </c>
      <c r="C115" s="3" t="s">
        <v>743</v>
      </c>
      <c r="D115" s="3" t="s">
        <v>744</v>
      </c>
      <c r="E115" s="3" t="s">
        <v>745</v>
      </c>
      <c r="F115" s="3" t="s">
        <v>746</v>
      </c>
      <c r="G115" s="3" t="s">
        <v>51</v>
      </c>
      <c r="H115" s="4" t="str">
        <f>HYPERLINK("https://no1chamera.kvs.ac.in/en/", "https://no1chamera.kvs.ac.in/en/")</f>
        <v>https://no1chamera.kvs.ac.in/en/</v>
      </c>
      <c r="I115" s="3" t="s">
        <v>93</v>
      </c>
      <c r="J115" s="3" t="str">
        <f>HYPERLINK("tel:+911899263005", "+911899263005")</f>
        <v>+911899263005</v>
      </c>
      <c r="K115" s="5" t="str">
        <f t="shared" ref="K115:K117" si="4">HYPERLINK("mailto:nan", "nan")</f>
        <v>nan</v>
      </c>
      <c r="L115" s="6" t="s">
        <v>747</v>
      </c>
    </row>
    <row r="116" ht="15.75" customHeight="1">
      <c r="A116" s="3">
        <v>116.0</v>
      </c>
      <c r="B116" s="3" t="s">
        <v>748</v>
      </c>
      <c r="C116" s="3" t="s">
        <v>749</v>
      </c>
      <c r="D116" s="3" t="s">
        <v>750</v>
      </c>
      <c r="E116" s="3" t="s">
        <v>751</v>
      </c>
      <c r="F116" s="3" t="s">
        <v>752</v>
      </c>
      <c r="G116" s="3" t="s">
        <v>31</v>
      </c>
      <c r="H116" s="4" t="str">
        <f>HYPERLINK("https://soundaryacentralschool.com/", "https://soundaryacentralschool.com/")</f>
        <v>https://soundaryacentralschool.com/</v>
      </c>
      <c r="J116" s="3" t="str">
        <f>HYPERLINK("tel:nan", "nan")</f>
        <v>nan</v>
      </c>
      <c r="K116" s="5" t="str">
        <f t="shared" si="4"/>
        <v>nan</v>
      </c>
      <c r="L116" s="6"/>
    </row>
    <row r="117" ht="15.75" customHeight="1">
      <c r="A117" s="3">
        <v>117.0</v>
      </c>
      <c r="B117" s="3" t="s">
        <v>753</v>
      </c>
      <c r="C117" s="3" t="s">
        <v>754</v>
      </c>
      <c r="D117" s="3" t="s">
        <v>755</v>
      </c>
      <c r="E117" s="3" t="s">
        <v>756</v>
      </c>
      <c r="F117" s="3" t="s">
        <v>757</v>
      </c>
      <c r="G117" s="3" t="s">
        <v>58</v>
      </c>
      <c r="H117" s="4" t="str">
        <f>HYPERLINK("https://ottapalam.kvs.ac.in/en/", "https://ottapalam.kvs.ac.in/en/")</f>
        <v>https://ottapalam.kvs.ac.in/en/</v>
      </c>
      <c r="I117" s="3" t="s">
        <v>93</v>
      </c>
      <c r="J117" s="3" t="str">
        <f>HYPERLINK("tel:+914662244388", "+914662244388")</f>
        <v>+914662244388</v>
      </c>
      <c r="K117" s="5" t="str">
        <f t="shared" si="4"/>
        <v>nan</v>
      </c>
      <c r="L117" s="6" t="s">
        <v>758</v>
      </c>
    </row>
    <row r="118" ht="15.75" customHeight="1">
      <c r="A118" s="3">
        <v>119.0</v>
      </c>
      <c r="B118" s="3" t="s">
        <v>759</v>
      </c>
      <c r="C118" s="3" t="s">
        <v>760</v>
      </c>
      <c r="D118" s="3" t="s">
        <v>761</v>
      </c>
      <c r="E118" s="3" t="s">
        <v>762</v>
      </c>
      <c r="F118" s="3" t="s">
        <v>763</v>
      </c>
      <c r="G118" s="3" t="s">
        <v>70</v>
      </c>
      <c r="H118" s="4" t="str">
        <f>HYPERLINK("https://jpgschool.com/", "https://jpgschool.com/")</f>
        <v>https://jpgschool.com/</v>
      </c>
      <c r="I118" s="3" t="s">
        <v>306</v>
      </c>
      <c r="J118" s="3" t="str">
        <f>HYPERLINK("tel:+911414342222", "+911414342222")</f>
        <v>+911414342222</v>
      </c>
      <c r="K118" s="5" t="str">
        <f>HYPERLINK("mailto:office@jpischool.com", "office@jpischool.com")</f>
        <v>office@jpischool.com</v>
      </c>
      <c r="L118" s="6" t="s">
        <v>764</v>
      </c>
    </row>
    <row r="119" ht="15.75" customHeight="1">
      <c r="A119" s="3">
        <v>120.0</v>
      </c>
      <c r="B119" s="3" t="s">
        <v>765</v>
      </c>
      <c r="C119" s="3" t="s">
        <v>766</v>
      </c>
      <c r="D119" s="3" t="s">
        <v>767</v>
      </c>
      <c r="E119" s="3" t="s">
        <v>768</v>
      </c>
      <c r="F119" s="3" t="s">
        <v>769</v>
      </c>
      <c r="G119" s="3" t="s">
        <v>17</v>
      </c>
      <c r="H119" s="4" t="str">
        <f>HYPERLINK("https://mdp.sairamvidyalaya.edu.in/", "https://mdp.sairamvidyalaya.edu.in/")</f>
        <v>https://mdp.sairamvidyalaya.edu.in/</v>
      </c>
      <c r="J119" s="3" t="str">
        <f>HYPERLINK("tel:+914442133976", "+914442133976")</f>
        <v>+914442133976</v>
      </c>
      <c r="K119" s="5" t="str">
        <f>HYPERLINK("mailto:info@sairamgroup.in", "info@sairamgroup.in")</f>
        <v>info@sairamgroup.in</v>
      </c>
      <c r="L119" s="6"/>
    </row>
    <row r="120" ht="15.75" customHeight="1">
      <c r="A120" s="3">
        <v>121.0</v>
      </c>
      <c r="B120" s="3" t="s">
        <v>770</v>
      </c>
      <c r="C120" s="3" t="s">
        <v>771</v>
      </c>
      <c r="D120" s="3" t="s">
        <v>772</v>
      </c>
      <c r="E120" s="3" t="s">
        <v>773</v>
      </c>
      <c r="F120" s="3" t="s">
        <v>774</v>
      </c>
      <c r="G120" s="3" t="s">
        <v>130</v>
      </c>
      <c r="H120" s="4" t="str">
        <f>HYPERLINK("https://www.agakhanschools.org/India/PJHSW/Index", "https://www.agakhanschools.org/India/PJHSW/Index")</f>
        <v>https://www.agakhanschools.org/India/PJHSW/Index</v>
      </c>
      <c r="I120" s="3" t="s">
        <v>775</v>
      </c>
      <c r="J120" s="3" t="str">
        <f>HYPERLINK("tel:+918702421819", "+918702421819")</f>
        <v>+918702421819</v>
      </c>
      <c r="K120" s="5" t="str">
        <f>HYPERLINK("mailto:nan", "nan")</f>
        <v>nan</v>
      </c>
      <c r="L120" s="6"/>
    </row>
    <row r="121" ht="15.75" customHeight="1">
      <c r="A121" s="3">
        <v>120.0</v>
      </c>
      <c r="B121" s="3" t="s">
        <v>765</v>
      </c>
      <c r="C121" s="3" t="s">
        <v>766</v>
      </c>
      <c r="D121" s="3" t="s">
        <v>767</v>
      </c>
      <c r="E121" s="3" t="s">
        <v>768</v>
      </c>
      <c r="F121" s="3" t="s">
        <v>769</v>
      </c>
      <c r="G121" s="3" t="s">
        <v>17</v>
      </c>
      <c r="H121" s="4" t="str">
        <f>HYPERLINK("https://mdp.sairamvidyalaya.edu.in/", "https://mdp.sairamvidyalaya.edu.in/")</f>
        <v>https://mdp.sairamvidyalaya.edu.in/</v>
      </c>
      <c r="J121" s="3" t="str">
        <f>HYPERLINK("tel:+914442133976", "+914442133976")</f>
        <v>+914442133976</v>
      </c>
      <c r="K121" s="5" t="str">
        <f>HYPERLINK("mailto:info@sairamgroup.in", "info@sairamgroup.in")</f>
        <v>info@sairamgroup.in</v>
      </c>
      <c r="L121" s="6"/>
    </row>
    <row r="122" ht="15.75" customHeight="1">
      <c r="A122" s="3">
        <v>121.0</v>
      </c>
      <c r="B122" s="3" t="s">
        <v>770</v>
      </c>
      <c r="C122" s="3" t="s">
        <v>771</v>
      </c>
      <c r="D122" s="3" t="s">
        <v>772</v>
      </c>
      <c r="E122" s="3" t="s">
        <v>773</v>
      </c>
      <c r="F122" s="3" t="s">
        <v>774</v>
      </c>
      <c r="G122" s="3" t="s">
        <v>130</v>
      </c>
      <c r="H122" s="4" t="str">
        <f>HYPERLINK("https://www.agakhanschools.org/India/PJHSW/Index", "https://www.agakhanschools.org/India/PJHSW/Index")</f>
        <v>https://www.agakhanschools.org/India/PJHSW/Index</v>
      </c>
      <c r="I122" s="3" t="s">
        <v>775</v>
      </c>
      <c r="J122" s="3" t="str">
        <f>HYPERLINK("tel:+918702421819", "+918702421819")</f>
        <v>+918702421819</v>
      </c>
      <c r="K122" s="5" t="str">
        <f>HYPERLINK("mailto:nan", "nan")</f>
        <v>nan</v>
      </c>
      <c r="L122" s="6"/>
    </row>
    <row r="123" ht="15.75" customHeight="1">
      <c r="A123" s="3">
        <v>123.0</v>
      </c>
      <c r="B123" s="3" t="s">
        <v>776</v>
      </c>
      <c r="C123" s="3" t="s">
        <v>777</v>
      </c>
      <c r="D123" s="3" t="s">
        <v>778</v>
      </c>
      <c r="E123" s="3" t="s">
        <v>779</v>
      </c>
      <c r="F123" s="3" t="s">
        <v>780</v>
      </c>
      <c r="G123" s="3" t="s">
        <v>100</v>
      </c>
      <c r="H123" s="4" t="str">
        <f>HYPERLINK("http://davvasantkunj.org/", "http://davvasantkunj.org/")</f>
        <v>http://davvasantkunj.org/</v>
      </c>
      <c r="I123" s="3" t="s">
        <v>781</v>
      </c>
      <c r="J123" s="3" t="str">
        <f>HYPERLINK("tel:+911146660400", "+911146660400")</f>
        <v>+911146660400</v>
      </c>
      <c r="K123" s="5" t="str">
        <f>HYPERLINK("mailto:davvasantkunj@gmail.com", "davvasantkunj@gmail.com")</f>
        <v>davvasantkunj@gmail.com</v>
      </c>
      <c r="L123" s="6" t="s">
        <v>782</v>
      </c>
    </row>
    <row r="124" ht="15.75" customHeight="1">
      <c r="A124" s="3">
        <v>124.0</v>
      </c>
      <c r="B124" s="3" t="s">
        <v>783</v>
      </c>
      <c r="C124" s="3" t="s">
        <v>784</v>
      </c>
      <c r="D124" s="3" t="s">
        <v>785</v>
      </c>
      <c r="E124" s="3" t="s">
        <v>786</v>
      </c>
      <c r="F124" s="3" t="s">
        <v>787</v>
      </c>
      <c r="G124" s="3" t="s">
        <v>175</v>
      </c>
      <c r="H124" s="4" t="str">
        <f>HYPERLINK("https://bagikhana.barodahighschool.com/", "https://bagikhana.barodahighschool.com/")</f>
        <v>https://bagikhana.barodahighschool.com/</v>
      </c>
      <c r="I124" s="3" t="s">
        <v>5</v>
      </c>
      <c r="J124" s="3" t="str">
        <f t="shared" ref="J124:J125" si="5">HYPERLINK("tel:+912652314742", "+912652314742")</f>
        <v>+912652314742</v>
      </c>
      <c r="K124" s="5" t="str">
        <f>HYPERLINK("mailto:office.bhsbp@bhs.edu.in", "office.bhsbp@bhs.edu.in")</f>
        <v>office.bhsbp@bhs.edu.in</v>
      </c>
      <c r="L124" s="6" t="s">
        <v>788</v>
      </c>
    </row>
    <row r="125" ht="15.75" customHeight="1">
      <c r="A125" s="3">
        <v>125.0</v>
      </c>
      <c r="B125" s="3" t="s">
        <v>789</v>
      </c>
      <c r="C125" s="3" t="s">
        <v>390</v>
      </c>
      <c r="D125" s="3" t="s">
        <v>790</v>
      </c>
      <c r="E125" s="3" t="s">
        <v>791</v>
      </c>
      <c r="F125" s="3" t="s">
        <v>393</v>
      </c>
      <c r="G125" s="3" t="s">
        <v>175</v>
      </c>
      <c r="H125" s="4" t="str">
        <f>HYPERLINK("https://barodahighschool.com/", "https://barodahighschool.com/")</f>
        <v>https://barodahighschool.com/</v>
      </c>
      <c r="J125" s="3" t="str">
        <f t="shared" si="5"/>
        <v>+912652314742</v>
      </c>
      <c r="K125" s="5" t="str">
        <f>HYPERLINK("mailto:office.bhsas@bhs.edu.in", "office.bhsas@bhs.edu.in")</f>
        <v>office.bhsas@bhs.edu.in</v>
      </c>
      <c r="L125" s="6" t="s">
        <v>394</v>
      </c>
    </row>
    <row r="126" ht="15.75" customHeight="1">
      <c r="A126" s="3">
        <v>126.0</v>
      </c>
      <c r="B126" s="3" t="s">
        <v>792</v>
      </c>
      <c r="C126" s="3" t="s">
        <v>793</v>
      </c>
      <c r="D126" s="3" t="s">
        <v>794</v>
      </c>
      <c r="E126" s="3" t="s">
        <v>795</v>
      </c>
      <c r="F126" s="3" t="s">
        <v>796</v>
      </c>
      <c r="G126" s="3" t="s">
        <v>58</v>
      </c>
      <c r="H126" s="4" t="str">
        <f>HYPERLINK("https://goodshepherdtvm.org/", "https://goodshepherdtvm.org/")</f>
        <v>https://goodshepherdtvm.org/</v>
      </c>
      <c r="J126" s="3" t="str">
        <f>HYPERLINK("tel:+914712597002", "+914712597002")</f>
        <v>+914712597002</v>
      </c>
      <c r="K126" s="5" t="str">
        <f>HYPERLINK("mailto:goodshepherdtvm@gmail.com", "goodshepherdtvm@gmail.com")</f>
        <v>goodshepherdtvm@gmail.com</v>
      </c>
      <c r="L126" s="6"/>
    </row>
    <row r="127" ht="15.75" customHeight="1">
      <c r="A127" s="3">
        <v>127.0</v>
      </c>
      <c r="B127" s="3" t="s">
        <v>797</v>
      </c>
      <c r="C127" s="3" t="s">
        <v>798</v>
      </c>
      <c r="D127" s="3" t="s">
        <v>799</v>
      </c>
      <c r="E127" s="3" t="s">
        <v>800</v>
      </c>
      <c r="F127" s="3" t="s">
        <v>801</v>
      </c>
      <c r="G127" s="3" t="s">
        <v>58</v>
      </c>
      <c r="H127" s="4" t="str">
        <f>HYPERLINK("https://adoor.kvs.ac.in/en/", "https://adoor.kvs.ac.in/en/")</f>
        <v>https://adoor.kvs.ac.in/en/</v>
      </c>
      <c r="I127" s="3" t="s">
        <v>93</v>
      </c>
      <c r="J127" s="3" t="str">
        <f>HYPERLINK("tel:+914734224808", "+914734224808")</f>
        <v>+914734224808</v>
      </c>
      <c r="K127" s="5" t="str">
        <f>HYPERLINK("mailto:nan", "nan")</f>
        <v>nan</v>
      </c>
      <c r="L127" s="6" t="s">
        <v>802</v>
      </c>
    </row>
    <row r="128" ht="15.75" customHeight="1">
      <c r="A128" s="3">
        <v>128.0</v>
      </c>
      <c r="B128" s="3" t="s">
        <v>803</v>
      </c>
      <c r="C128" s="3" t="s">
        <v>804</v>
      </c>
      <c r="D128" s="3" t="s">
        <v>805</v>
      </c>
      <c r="E128" s="3" t="s">
        <v>806</v>
      </c>
      <c r="F128" s="3" t="s">
        <v>807</v>
      </c>
      <c r="G128" s="3" t="s">
        <v>38</v>
      </c>
      <c r="H128" s="4" t="str">
        <f>HYPERLINK("https://www.cityprideschool.com/", "https://www.cityprideschool.com/")</f>
        <v>https://www.cityprideschool.com/</v>
      </c>
      <c r="I128" s="3" t="s">
        <v>808</v>
      </c>
      <c r="J128" s="3" t="str">
        <f>HYPERLINK("tel:+917276035596", "+917276035596")</f>
        <v>+917276035596</v>
      </c>
      <c r="K128" s="5" t="str">
        <f>HYPERLINK("mailto:info@cityprideschool.com", "info@cityprideschool.com")</f>
        <v>info@cityprideschool.com</v>
      </c>
      <c r="L128" s="6" t="s">
        <v>809</v>
      </c>
    </row>
    <row r="129" ht="15.75" customHeight="1">
      <c r="A129" s="3">
        <v>129.0</v>
      </c>
      <c r="B129" s="3" t="s">
        <v>810</v>
      </c>
      <c r="C129" s="3" t="s">
        <v>811</v>
      </c>
      <c r="D129" s="3" t="s">
        <v>812</v>
      </c>
      <c r="E129" s="3" t="s">
        <v>813</v>
      </c>
      <c r="F129" s="3" t="s">
        <v>814</v>
      </c>
      <c r="G129" s="3" t="s">
        <v>38</v>
      </c>
      <c r="H129" s="4" t="str">
        <f>HYPERLINK("https://schoolofscholars.edu.in/atrey/", "https://schoolofscholars.edu.in/atrey/")</f>
        <v>https://schoolofscholars.edu.in/atrey/</v>
      </c>
      <c r="J129" s="3" t="str">
        <f>HYPERLINK("tel:+9118002660999", "+9118002660999")</f>
        <v>+9118002660999</v>
      </c>
      <c r="K129" s="5" t="str">
        <f>HYPERLINK("mailto:principal.vtca@mgsnagpur.org", "principal.vtca@mgsnagpur.org")</f>
        <v>principal.vtca@mgsnagpur.org</v>
      </c>
      <c r="L129" s="6" t="s">
        <v>815</v>
      </c>
    </row>
    <row r="130" ht="15.75" customHeight="1">
      <c r="A130" s="3">
        <v>130.0</v>
      </c>
      <c r="B130" s="3" t="s">
        <v>816</v>
      </c>
      <c r="C130" s="3" t="s">
        <v>817</v>
      </c>
      <c r="D130" s="3" t="s">
        <v>818</v>
      </c>
      <c r="E130" s="3" t="s">
        <v>819</v>
      </c>
      <c r="F130" s="3" t="s">
        <v>820</v>
      </c>
      <c r="G130" s="3" t="s">
        <v>237</v>
      </c>
      <c r="H130" s="4" t="str">
        <f>HYPERLINK("https://no2pondicherry.kvs.ac.in/en/", "https://no2pondicherry.kvs.ac.in/en/")</f>
        <v>https://no2pondicherry.kvs.ac.in/en/</v>
      </c>
      <c r="I130" s="3" t="s">
        <v>93</v>
      </c>
      <c r="J130" s="3" t="str">
        <f>HYPERLINK("tel:+914132961601", "+914132961601")</f>
        <v>+914132961601</v>
      </c>
      <c r="K130" s="5" t="str">
        <f>HYPERLINK("mailto:info@careers360.com", "info@careers360.com")</f>
        <v>info@careers360.com</v>
      </c>
      <c r="L130" s="6" t="s">
        <v>821</v>
      </c>
    </row>
    <row r="131" ht="15.75" customHeight="1">
      <c r="A131" s="3">
        <v>131.0</v>
      </c>
      <c r="B131" s="3" t="s">
        <v>822</v>
      </c>
      <c r="C131" s="3" t="s">
        <v>823</v>
      </c>
      <c r="D131" s="3" t="s">
        <v>824</v>
      </c>
      <c r="E131" s="3" t="s">
        <v>825</v>
      </c>
      <c r="F131" s="3" t="s">
        <v>826</v>
      </c>
      <c r="G131" s="3" t="s">
        <v>229</v>
      </c>
      <c r="H131" s="4" t="str">
        <f>HYPERLINK("https://schools.org.in/durg/22100726624/govt-girls-higher-secondary-school-vaisali-nagar-bhilai.html", "https://schools.org.in/durg/22100726624/govt-girls-higher-secondary-school-vaisali-nagar-bhilai.html")</f>
        <v>https://schools.org.in/durg/22100726624/govt-girls-higher-secondary-school-vaisali-nagar-bhilai.html</v>
      </c>
      <c r="I131" s="3" t="s">
        <v>286</v>
      </c>
      <c r="J131" s="3" t="str">
        <f>HYPERLINK("tel:+917714002694", "+917714002694")</f>
        <v>+917714002694</v>
      </c>
      <c r="K131" s="5" t="str">
        <f>HYPERLINK("mailto:eduportal.cg@nic.in", "eduportal.cg@nic.in")</f>
        <v>eduportal.cg@nic.in</v>
      </c>
      <c r="L131" s="6" t="s">
        <v>827</v>
      </c>
    </row>
    <row r="132" ht="15.75" customHeight="1">
      <c r="A132" s="3">
        <v>132.0</v>
      </c>
      <c r="B132" s="3" t="s">
        <v>828</v>
      </c>
      <c r="C132" s="3" t="s">
        <v>829</v>
      </c>
      <c r="D132" s="3" t="s">
        <v>830</v>
      </c>
      <c r="E132" s="3" t="s">
        <v>831</v>
      </c>
      <c r="F132" s="3" t="s">
        <v>832</v>
      </c>
      <c r="G132" s="3" t="s">
        <v>100</v>
      </c>
      <c r="H132" s="4" t="str">
        <f>HYPERLINK("https://dldavpp.in/", "https://dldavpp.in/")</f>
        <v>https://dldavpp.in/</v>
      </c>
      <c r="I132" s="3" t="s">
        <v>833</v>
      </c>
      <c r="J132" s="3" t="str">
        <f>HYPERLINK("tel:+911145565075", "+911145565075")</f>
        <v>+911145565075</v>
      </c>
      <c r="K132" s="5" t="str">
        <f>HYPERLINK("mailto:info@dldavsb.org", "info@dldavsb.org")</f>
        <v>info@dldavsb.org</v>
      </c>
      <c r="L132" s="6" t="s">
        <v>834</v>
      </c>
    </row>
    <row r="133" ht="15.75" customHeight="1">
      <c r="A133" s="3">
        <v>133.0</v>
      </c>
      <c r="B133" s="3" t="s">
        <v>835</v>
      </c>
      <c r="C133" s="3" t="s">
        <v>836</v>
      </c>
      <c r="D133" s="3" t="s">
        <v>837</v>
      </c>
      <c r="E133" s="3" t="s">
        <v>838</v>
      </c>
      <c r="F133" s="3" t="s">
        <v>201</v>
      </c>
      <c r="G133" s="3" t="s">
        <v>24</v>
      </c>
      <c r="H133" s="4" t="str">
        <f>HYPERLINK("https://navodaya.gov.in/nvs/nvs-school/HISSAR/en/home/", "https://navodaya.gov.in/nvs/nvs-school/HISSAR/en/home/")</f>
        <v>https://navodaya.gov.in/nvs/nvs-school/HISSAR/en/home/</v>
      </c>
      <c r="I133" s="3" t="s">
        <v>839</v>
      </c>
      <c r="J133" s="3" t="str">
        <f>HYPERLINK("tel:+911693231235", "+911693231235")</f>
        <v>+911693231235</v>
      </c>
      <c r="K133" s="5" t="str">
        <f>HYPERLINK("mailto:ithelpdesk.nvs@gmail.com", "ithelpdesk.nvs@gmail.com")</f>
        <v>ithelpdesk.nvs@gmail.com</v>
      </c>
      <c r="L133" s="6" t="s">
        <v>840</v>
      </c>
    </row>
    <row r="134" ht="15.75" customHeight="1">
      <c r="A134" s="3">
        <v>134.0</v>
      </c>
      <c r="B134" s="3" t="s">
        <v>841</v>
      </c>
      <c r="C134" s="3" t="s">
        <v>842</v>
      </c>
      <c r="D134" s="3" t="s">
        <v>843</v>
      </c>
      <c r="E134" s="3" t="s">
        <v>844</v>
      </c>
      <c r="F134" s="3" t="s">
        <v>845</v>
      </c>
      <c r="G134" s="3" t="s">
        <v>58</v>
      </c>
      <c r="H134" s="4" t="str">
        <f>HYPERLINK("https://en.wikipedia.org/wiki/Basel_Evangelical_Mission_Higher_Secondary_School,_Palakkad", "https://en.wikipedia.org/wiki/Basel_Evangelical_Mission_Higher_Secondary_School,_Palakkad")</f>
        <v>https://en.wikipedia.org/wiki/Basel_Evangelical_Mission_Higher_Secondary_School,_Palakkad</v>
      </c>
      <c r="I134" s="3" t="s">
        <v>846</v>
      </c>
      <c r="J134" s="3" t="str">
        <f>HYPERLINK("tel:nan", "nan")</f>
        <v>nan</v>
      </c>
      <c r="K134" s="5" t="str">
        <f>HYPERLINK("mailto:nan", "nan")</f>
        <v>nan</v>
      </c>
      <c r="L134" s="6" t="s">
        <v>847</v>
      </c>
    </row>
    <row r="135" ht="15.75" customHeight="1">
      <c r="A135" s="3">
        <v>135.0</v>
      </c>
      <c r="B135" s="3" t="s">
        <v>848</v>
      </c>
      <c r="C135" s="3" t="s">
        <v>849</v>
      </c>
      <c r="D135" s="3" t="s">
        <v>850</v>
      </c>
      <c r="E135" s="3" t="s">
        <v>851</v>
      </c>
      <c r="F135" s="3" t="s">
        <v>852</v>
      </c>
      <c r="G135" s="3" t="s">
        <v>58</v>
      </c>
      <c r="H135" s="4" t="str">
        <f>HYPERLINK("https://www.bhavans.info/institutes/index.php?state=Kerala", "https://www.bhavans.info/institutes/index.php?state=Kerala")</f>
        <v>https://www.bhavans.info/institutes/index.php?state=Kerala</v>
      </c>
      <c r="I135" s="3" t="s">
        <v>853</v>
      </c>
      <c r="J135" s="3" t="str">
        <f>HYPERLINK("tel:+914842779764", "+914842779764")</f>
        <v>+914842779764</v>
      </c>
      <c r="K135" s="5" t="str">
        <f>HYPERLINK("mailto:bhavansbalmandireroor@gmail.com", "bhavansbalmandireroor@gmail.com")</f>
        <v>bhavansbalmandireroor@gmail.com</v>
      </c>
      <c r="L135" s="6" t="s">
        <v>854</v>
      </c>
    </row>
    <row r="136" ht="15.75" customHeight="1">
      <c r="A136" s="3">
        <v>136.0</v>
      </c>
      <c r="B136" s="3" t="s">
        <v>855</v>
      </c>
      <c r="C136" s="3" t="s">
        <v>440</v>
      </c>
      <c r="D136" s="3" t="s">
        <v>856</v>
      </c>
      <c r="E136" s="3" t="s">
        <v>857</v>
      </c>
      <c r="F136" s="3" t="s">
        <v>443</v>
      </c>
      <c r="G136" s="3" t="s">
        <v>58</v>
      </c>
      <c r="H136" s="4" t="str">
        <f>HYPERLINK("https://stthomascentralschool.edu.in/", "https://stthomascentralschool.edu.in/")</f>
        <v>https://stthomascentralschool.edu.in/</v>
      </c>
      <c r="J136" s="3" t="str">
        <f>HYPERLINK("tel:+914712511122", "+914712511122")</f>
        <v>+914712511122</v>
      </c>
      <c r="K136" s="5" t="str">
        <f>HYPERLINK("mailto:mtcestvm@gmail.com", "mtcestvm@gmail.com")</f>
        <v>mtcestvm@gmail.com</v>
      </c>
      <c r="L136" s="6" t="s">
        <v>444</v>
      </c>
    </row>
    <row r="137" ht="15.75" customHeight="1">
      <c r="A137" s="3">
        <v>138.0</v>
      </c>
      <c r="B137" s="3" t="s">
        <v>858</v>
      </c>
      <c r="C137" s="3" t="s">
        <v>859</v>
      </c>
      <c r="D137" s="3" t="s">
        <v>860</v>
      </c>
      <c r="E137" s="3" t="s">
        <v>861</v>
      </c>
      <c r="F137" s="3" t="s">
        <v>862</v>
      </c>
      <c r="G137" s="3" t="s">
        <v>356</v>
      </c>
      <c r="H137" s="4" t="str">
        <f>HYPERLINK("https://davcsp.org/", "https://davcsp.org/")</f>
        <v>https://davcsp.org/</v>
      </c>
      <c r="J137" s="3" t="str">
        <f>HYPERLINK("tel:+916742740551", "+916742740551")</f>
        <v>+916742740551</v>
      </c>
      <c r="K137" s="5" t="str">
        <f>HYPERLINK("mailto:principal@davberhampur.org", "principal@davberhampur.org")</f>
        <v>principal@davberhampur.org</v>
      </c>
      <c r="L137" s="6" t="s">
        <v>863</v>
      </c>
    </row>
    <row r="138" ht="15.75" customHeight="1">
      <c r="A138" s="3">
        <v>139.0</v>
      </c>
      <c r="B138" s="3" t="s">
        <v>864</v>
      </c>
      <c r="C138" s="3" t="s">
        <v>865</v>
      </c>
      <c r="D138" s="3" t="s">
        <v>866</v>
      </c>
      <c r="E138" s="3" t="s">
        <v>867</v>
      </c>
      <c r="F138" s="3" t="s">
        <v>868</v>
      </c>
      <c r="G138" s="3" t="s">
        <v>17</v>
      </c>
      <c r="H138" s="4" t="str">
        <f>HYPERLINK("https://schools.org.in/tiruvannamalai/33060604501/ghss-mazhaiyur.html", "https://schools.org.in/tiruvannamalai/33060604501/ghss-mazhaiyur.html")</f>
        <v>https://schools.org.in/tiruvannamalai/33060604501/ghss-mazhaiyur.html</v>
      </c>
      <c r="I138" s="3" t="s">
        <v>869</v>
      </c>
      <c r="J138" s="3" t="str">
        <f>HYPERLINK("tel:+5953284192", "+5953284192")</f>
        <v>+5953284192</v>
      </c>
      <c r="K138" s="5" t="str">
        <f>HYPERLINK("mailto:hello@scribd.com", "hello@scribd.com")</f>
        <v>hello@scribd.com</v>
      </c>
      <c r="L138" s="6" t="s">
        <v>870</v>
      </c>
    </row>
    <row r="139" ht="15.75" customHeight="1">
      <c r="A139" s="3">
        <v>140.0</v>
      </c>
      <c r="B139" s="3" t="s">
        <v>871</v>
      </c>
      <c r="C139" s="3" t="s">
        <v>872</v>
      </c>
      <c r="D139" s="3" t="s">
        <v>873</v>
      </c>
      <c r="E139" s="3" t="s">
        <v>874</v>
      </c>
      <c r="F139" s="3" t="s">
        <v>875</v>
      </c>
      <c r="G139" s="3" t="s">
        <v>17</v>
      </c>
      <c r="H139" s="4" t="str">
        <f>HYPERLINK("https://www.hinduvidyalaya.org/west-mambalam-jaigopal-garodia-hindu-vidyalaya-matric-hr-sec-school/", "https://www.hinduvidyalaya.org/west-mambalam-jaigopal-garodia-hindu-vidyalaya-matric-hr-sec-school/")</f>
        <v>https://www.hinduvidyalaya.org/west-mambalam-jaigopal-garodia-hindu-vidyalaya-matric-hr-sec-school/</v>
      </c>
      <c r="J139" s="3" t="str">
        <f>HYPERLINK("tel:+914424891713", "+914424891713")</f>
        <v>+914424891713</v>
      </c>
      <c r="K139" s="5" t="str">
        <f>HYPERLINK("mailto:garodiajaigopal@yahoo.com", "garodiajaigopal@yahoo.com")</f>
        <v>garodiajaigopal@yahoo.com</v>
      </c>
      <c r="L139" s="6" t="s">
        <v>876</v>
      </c>
    </row>
    <row r="140" ht="15.75" customHeight="1">
      <c r="A140" s="3">
        <v>141.0</v>
      </c>
      <c r="B140" s="3" t="s">
        <v>877</v>
      </c>
      <c r="C140" s="3" t="s">
        <v>878</v>
      </c>
      <c r="D140" s="3" t="s">
        <v>879</v>
      </c>
      <c r="E140" s="3" t="s">
        <v>880</v>
      </c>
      <c r="F140" s="3" t="s">
        <v>881</v>
      </c>
      <c r="G140" s="3" t="s">
        <v>138</v>
      </c>
      <c r="H140" s="4" t="str">
        <f>HYPERLINK("https://schools.org.in/kushinagar/09590100202/kisan-inter-college-sakhopar.html", "https://schools.org.in/kushinagar/09590100202/kisan-inter-college-sakhopar.html")</f>
        <v>https://schools.org.in/kushinagar/09590100202/kisan-inter-college-sakhopar.html</v>
      </c>
      <c r="I140" s="3" t="s">
        <v>882</v>
      </c>
      <c r="J140" s="3" t="str">
        <f>HYPERLINK("tel:+919590100202", "+919590100202")</f>
        <v>+919590100202</v>
      </c>
      <c r="K140" s="5" t="str">
        <f>HYPERLINK("mailto:nan", "nan")</f>
        <v>nan</v>
      </c>
      <c r="L140" s="6" t="s">
        <v>883</v>
      </c>
    </row>
    <row r="141" ht="15.75" customHeight="1">
      <c r="A141" s="3">
        <v>142.0</v>
      </c>
      <c r="B141" s="3" t="s">
        <v>884</v>
      </c>
      <c r="C141" s="3" t="s">
        <v>885</v>
      </c>
      <c r="D141" s="3" t="s">
        <v>886</v>
      </c>
      <c r="E141" s="3" t="s">
        <v>887</v>
      </c>
      <c r="F141" s="3" t="s">
        <v>888</v>
      </c>
      <c r="G141" s="3" t="s">
        <v>138</v>
      </c>
      <c r="H141" s="4" t="str">
        <f>HYPERLINK("https://www.klischool.com/", "https://www.klischool.com/")</f>
        <v>https://www.klischool.com/</v>
      </c>
      <c r="J141" s="3" t="str">
        <f>HYPERLINK("tel:+911212601055", "+911212601055")</f>
        <v>+911212601055</v>
      </c>
      <c r="K141" s="5" t="str">
        <f>HYPERLINK("mailto:info@klischool.com", "info@klischool.com")</f>
        <v>info@klischool.com</v>
      </c>
      <c r="L141" s="6"/>
    </row>
    <row r="142" ht="15.75" customHeight="1">
      <c r="A142" s="3">
        <v>143.0</v>
      </c>
      <c r="B142" s="3" t="s">
        <v>889</v>
      </c>
      <c r="C142" s="3" t="s">
        <v>890</v>
      </c>
      <c r="D142" s="3" t="s">
        <v>891</v>
      </c>
      <c r="E142" s="3" t="s">
        <v>892</v>
      </c>
      <c r="F142" s="3" t="s">
        <v>893</v>
      </c>
      <c r="G142" s="3" t="s">
        <v>100</v>
      </c>
      <c r="H142" s="4" t="str">
        <f>HYPERLINK("https://www.mamtamodernschool.com/", "https://www.mamtamodernschool.com/")</f>
        <v>https://www.mamtamodernschool.com/</v>
      </c>
      <c r="J142" s="3" t="str">
        <f>HYPERLINK("tel:+911145614501", "+911145614501")</f>
        <v>+911145614501</v>
      </c>
      <c r="K142" s="5" t="str">
        <f>HYPERLINK("mailto:mamtamodernschool@gmail.com", "mamtamodernschool@gmail.com")</f>
        <v>mamtamodernschool@gmail.com</v>
      </c>
      <c r="L142" s="6" t="s">
        <v>894</v>
      </c>
    </row>
    <row r="143" ht="15.75" customHeight="1">
      <c r="A143" s="3">
        <v>144.0</v>
      </c>
      <c r="B143" s="3" t="s">
        <v>895</v>
      </c>
      <c r="C143" s="3" t="s">
        <v>896</v>
      </c>
      <c r="D143" s="3" t="s">
        <v>897</v>
      </c>
      <c r="E143" s="3" t="s">
        <v>898</v>
      </c>
      <c r="F143" s="3" t="s">
        <v>899</v>
      </c>
      <c r="G143" s="3" t="s">
        <v>175</v>
      </c>
      <c r="H143" s="4" t="str">
        <f>HYPERLINK("https://divyapathcampus.in/", "https://divyapathcampus.in/")</f>
        <v>https://divyapathcampus.in/</v>
      </c>
      <c r="J143" s="3" t="str">
        <f>HYPERLINK("tel:+916354042522", "+916354042522")</f>
        <v>+916354042522</v>
      </c>
      <c r="K143" s="5" t="str">
        <f>HYPERLINK("mailto:divyapathusa@gmail.com", "divyapathusa@gmail.com")</f>
        <v>divyapathusa@gmail.com</v>
      </c>
      <c r="L143" s="6"/>
    </row>
    <row r="144" ht="15.75" customHeight="1">
      <c r="A144" s="3">
        <v>145.0</v>
      </c>
      <c r="B144" s="3" t="s">
        <v>900</v>
      </c>
      <c r="C144" s="3" t="s">
        <v>901</v>
      </c>
      <c r="D144" s="3" t="s">
        <v>902</v>
      </c>
      <c r="E144" s="3" t="s">
        <v>903</v>
      </c>
      <c r="F144" s="3" t="s">
        <v>904</v>
      </c>
      <c r="G144" s="3" t="s">
        <v>31</v>
      </c>
      <c r="H144" s="4" t="str">
        <f>HYPERLINK("http://www.gsss-school.in/gsss-geetha-bharathi-school/", "http://www.gsss-school.in/gsss-geetha-bharathi-school/")</f>
        <v>http://www.gsss-school.in/gsss-geetha-bharathi-school/</v>
      </c>
      <c r="I144" s="3" t="s">
        <v>905</v>
      </c>
      <c r="J144" s="3" t="str">
        <f>HYPERLINK("tel:+918212476893", "+918212476893")</f>
        <v>+918212476893</v>
      </c>
      <c r="K144" s="5" t="str">
        <f>HYPERLINK("mailto:gssshighschool@gmail.com", "gssshighschool@gmail.com")</f>
        <v>gssshighschool@gmail.com</v>
      </c>
      <c r="L144" s="6" t="s">
        <v>906</v>
      </c>
    </row>
    <row r="145" ht="15.75" customHeight="1">
      <c r="A145" s="3">
        <v>146.0</v>
      </c>
      <c r="B145" s="3" t="s">
        <v>907</v>
      </c>
      <c r="C145" s="3" t="s">
        <v>908</v>
      </c>
      <c r="D145" s="3" t="s">
        <v>909</v>
      </c>
      <c r="E145" s="3" t="s">
        <v>910</v>
      </c>
      <c r="F145" s="3" t="s">
        <v>911</v>
      </c>
      <c r="G145" s="3" t="s">
        <v>31</v>
      </c>
      <c r="H145" s="4" t="str">
        <f>HYPERLINK("https://aisbgm.org/", "https://aisbgm.org/")</f>
        <v>https://aisbgm.org/</v>
      </c>
      <c r="I145" s="3" t="s">
        <v>912</v>
      </c>
      <c r="J145" s="3" t="str">
        <f>HYPERLINK("tel:+917022897601", "+917022897601")</f>
        <v>+917022897601</v>
      </c>
      <c r="K145" s="5" t="str">
        <f>HYPERLINK("mailto:principal@aisbgm.org", "principal@aisbgm.org")</f>
        <v>principal@aisbgm.org</v>
      </c>
      <c r="L145" s="6" t="s">
        <v>913</v>
      </c>
    </row>
    <row r="146" ht="15.75" customHeight="1">
      <c r="A146" s="3">
        <v>147.0</v>
      </c>
      <c r="B146" s="3" t="s">
        <v>914</v>
      </c>
      <c r="C146" s="3" t="s">
        <v>915</v>
      </c>
      <c r="D146" s="3" t="s">
        <v>916</v>
      </c>
      <c r="E146" s="3" t="s">
        <v>917</v>
      </c>
      <c r="F146" s="3" t="s">
        <v>918</v>
      </c>
      <c r="G146" s="3" t="s">
        <v>58</v>
      </c>
      <c r="H146" s="4" t="str">
        <f>HYPERLINK("https://sarvodayam.in/", "https://sarvodayam.in/")</f>
        <v>https://sarvodayam.in/</v>
      </c>
      <c r="I146" s="3" t="s">
        <v>919</v>
      </c>
      <c r="J146" s="3" t="str">
        <f>HYPERLINK("tel:+914872292872", "+914872292872")</f>
        <v>+914872292872</v>
      </c>
      <c r="K146" s="5" t="str">
        <f>HYPERLINK("mailto:dirvhse.dge@kerala.gov.in", "dirvhse.dge@kerala.gov.in")</f>
        <v>dirvhse.dge@kerala.gov.in</v>
      </c>
      <c r="L146" s="6" t="s">
        <v>920</v>
      </c>
    </row>
    <row r="147" ht="15.75" customHeight="1">
      <c r="A147" s="3">
        <v>148.0</v>
      </c>
      <c r="B147" s="3" t="s">
        <v>921</v>
      </c>
      <c r="C147" s="3" t="s">
        <v>922</v>
      </c>
      <c r="D147" s="3" t="s">
        <v>923</v>
      </c>
      <c r="E147" s="3" t="s">
        <v>924</v>
      </c>
      <c r="F147" s="3" t="s">
        <v>925</v>
      </c>
      <c r="G147" s="3" t="s">
        <v>38</v>
      </c>
      <c r="H147" s="4" t="str">
        <f>HYPERLINK("https://pravara.in/pravara-public-school-loni/", "https://pravara.in/pravara-public-school-loni/")</f>
        <v>https://pravara.in/pravara-public-school-loni/</v>
      </c>
      <c r="I147" s="3" t="s">
        <v>926</v>
      </c>
      <c r="J147" s="3" t="str">
        <f>HYPERLINK("tel:+912422252789", "+912422252789")</f>
        <v>+912422252789</v>
      </c>
      <c r="K147" s="5" t="str">
        <f>HYPERLINK("mailto:principal.pps@pravara.in", "principal.pps@pravara.in")</f>
        <v>principal.pps@pravara.in</v>
      </c>
      <c r="L147" s="6" t="s">
        <v>927</v>
      </c>
    </row>
    <row r="148" ht="15.75" customHeight="1">
      <c r="A148" s="3">
        <v>149.0</v>
      </c>
      <c r="B148" s="3" t="s">
        <v>928</v>
      </c>
      <c r="C148" s="3" t="s">
        <v>13</v>
      </c>
      <c r="D148" s="3" t="s">
        <v>929</v>
      </c>
      <c r="E148" s="3" t="s">
        <v>930</v>
      </c>
      <c r="F148" s="3" t="s">
        <v>16</v>
      </c>
      <c r="G148" s="3" t="s">
        <v>17</v>
      </c>
      <c r="H148" s="4" t="str">
        <f t="shared" ref="H148:H149" si="6">HYPERLINK("https://spicschool.com/", "https://spicschool.com/")</f>
        <v>https://spicschool.com/</v>
      </c>
      <c r="I148" s="3" t="s">
        <v>18</v>
      </c>
      <c r="J148" s="3" t="str">
        <f t="shared" ref="J148:J149" si="7">HYPERLINK("tel:+914612355066", "+914612355066")</f>
        <v>+914612355066</v>
      </c>
      <c r="K148" s="5" t="str">
        <f t="shared" ref="K148:K149" si="8">HYPERLINK("mailto:contact@spicschool.com", "contact@spicschool.com")</f>
        <v>contact@spicschool.com</v>
      </c>
      <c r="L148" s="6" t="s">
        <v>931</v>
      </c>
    </row>
    <row r="149" ht="15.75" customHeight="1">
      <c r="A149" s="3">
        <v>150.0</v>
      </c>
      <c r="B149" s="3" t="s">
        <v>932</v>
      </c>
      <c r="C149" s="3" t="s">
        <v>13</v>
      </c>
      <c r="D149" s="3" t="s">
        <v>933</v>
      </c>
      <c r="E149" s="3" t="s">
        <v>934</v>
      </c>
      <c r="F149" s="3" t="s">
        <v>16</v>
      </c>
      <c r="G149" s="3" t="s">
        <v>17</v>
      </c>
      <c r="H149" s="4" t="str">
        <f t="shared" si="6"/>
        <v>https://spicschool.com/</v>
      </c>
      <c r="I149" s="3" t="s">
        <v>18</v>
      </c>
      <c r="J149" s="3" t="str">
        <f t="shared" si="7"/>
        <v>+914612355066</v>
      </c>
      <c r="K149" s="5" t="str">
        <f t="shared" si="8"/>
        <v>contact@spicschool.com</v>
      </c>
      <c r="L149" s="6" t="s">
        <v>931</v>
      </c>
    </row>
    <row r="150" ht="15.75" customHeight="1">
      <c r="A150" s="3">
        <v>151.0</v>
      </c>
      <c r="B150" s="3" t="s">
        <v>935</v>
      </c>
      <c r="C150" s="3" t="s">
        <v>936</v>
      </c>
      <c r="D150" s="3" t="s">
        <v>937</v>
      </c>
      <c r="E150" s="3" t="s">
        <v>938</v>
      </c>
      <c r="F150" s="3" t="s">
        <v>939</v>
      </c>
      <c r="G150" s="3" t="s">
        <v>130</v>
      </c>
      <c r="H150" s="4" t="str">
        <f>HYPERLINK("https://www.bhavans.info/institutes/index.php?state=Telangana", "https://www.bhavans.info/institutes/index.php?state=Telangana")</f>
        <v>https://www.bhavans.info/institutes/index.php?state=Telangana</v>
      </c>
      <c r="I150" s="3" t="s">
        <v>940</v>
      </c>
      <c r="J150" s="3" t="str">
        <f>HYPERLINK("tel:+914024016404", "+914024016404")</f>
        <v>+914024016404</v>
      </c>
      <c r="K150" s="5" t="str">
        <f>HYPERLINK("mailto:bvbv_130106@yahoo.com", "bvbv_130106@yahoo.com")</f>
        <v>bvbv_130106@yahoo.com</v>
      </c>
      <c r="L150" s="6" t="s">
        <v>941</v>
      </c>
    </row>
    <row r="151" ht="15.75" customHeight="1">
      <c r="A151" s="3">
        <v>152.0</v>
      </c>
      <c r="B151" s="3" t="s">
        <v>942</v>
      </c>
      <c r="C151" s="3" t="s">
        <v>943</v>
      </c>
      <c r="D151" s="3" t="s">
        <v>944</v>
      </c>
      <c r="E151" s="3" t="s">
        <v>945</v>
      </c>
      <c r="F151" s="3" t="s">
        <v>946</v>
      </c>
      <c r="G151" s="3" t="s">
        <v>138</v>
      </c>
      <c r="H151" s="4" t="str">
        <f>HYPERLINK("https://www.uttamschool.org/", "https://www.uttamschool.org/")</f>
        <v>https://www.uttamschool.org/</v>
      </c>
      <c r="J151" s="3" t="str">
        <f>HYPERLINK("tel:nan", "nan")</f>
        <v>nan</v>
      </c>
      <c r="K151" s="5" t="str">
        <f t="shared" ref="K151:K154" si="9">HYPERLINK("mailto:nan", "nan")</f>
        <v>nan</v>
      </c>
      <c r="L151" s="6"/>
    </row>
    <row r="152" ht="15.75" customHeight="1">
      <c r="A152" s="3">
        <v>153.0</v>
      </c>
      <c r="B152" s="3" t="s">
        <v>947</v>
      </c>
      <c r="C152" s="3" t="s">
        <v>948</v>
      </c>
      <c r="D152" s="3" t="s">
        <v>949</v>
      </c>
      <c r="E152" s="3" t="s">
        <v>950</v>
      </c>
      <c r="F152" s="3" t="s">
        <v>951</v>
      </c>
      <c r="G152" s="3" t="s">
        <v>138</v>
      </c>
      <c r="H152" s="4" t="str">
        <f>HYPERLINK("https://mathurabaad.kvs.ac.in/en/", "https://mathurabaad.kvs.ac.in/en/")</f>
        <v>https://mathurabaad.kvs.ac.in/en/</v>
      </c>
      <c r="I152" s="3" t="s">
        <v>952</v>
      </c>
      <c r="J152" s="3" t="str">
        <f>HYPERLINK("tel:+919140100606", "+919140100606")</f>
        <v>+919140100606</v>
      </c>
      <c r="K152" s="5" t="str">
        <f t="shared" si="9"/>
        <v>nan</v>
      </c>
      <c r="L152" s="6"/>
    </row>
    <row r="153" ht="15.75" customHeight="1">
      <c r="A153" s="3">
        <v>154.0</v>
      </c>
      <c r="B153" s="3" t="s">
        <v>953</v>
      </c>
      <c r="C153" s="3" t="s">
        <v>954</v>
      </c>
      <c r="D153" s="3" t="s">
        <v>955</v>
      </c>
      <c r="E153" s="3" t="s">
        <v>956</v>
      </c>
      <c r="F153" s="3" t="s">
        <v>957</v>
      </c>
      <c r="G153" s="3" t="s">
        <v>958</v>
      </c>
      <c r="H153" s="4" t="str">
        <f>HYPERLINK("https://davmodeldgp.ac.in/", "https://davmodeldgp.ac.in/")</f>
        <v>https://davmodeldgp.ac.in/</v>
      </c>
      <c r="J153" s="3" t="str">
        <f>HYPERLINK("tel:+913222277102", "+913222277102")</f>
        <v>+913222277102</v>
      </c>
      <c r="K153" s="5" t="str">
        <f t="shared" si="9"/>
        <v>nan</v>
      </c>
      <c r="L153" s="6"/>
    </row>
    <row r="154" ht="15.75" customHeight="1">
      <c r="A154" s="3">
        <v>155.0</v>
      </c>
      <c r="B154" s="3" t="s">
        <v>959</v>
      </c>
      <c r="C154" s="3" t="s">
        <v>960</v>
      </c>
      <c r="D154" s="3" t="s">
        <v>961</v>
      </c>
      <c r="E154" s="3" t="s">
        <v>962</v>
      </c>
      <c r="F154" s="3" t="s">
        <v>963</v>
      </c>
      <c r="G154" s="3" t="s">
        <v>958</v>
      </c>
      <c r="H154" s="4" t="str">
        <f>HYPERLINK("https://newjalpaiguri.kvs.ac.in/en/", "https://newjalpaiguri.kvs.ac.in/en/")</f>
        <v>https://newjalpaiguri.kvs.ac.in/en/</v>
      </c>
      <c r="J154" s="3" t="str">
        <f>HYPERLINK("tel:+918391057714", "+918391057714")</f>
        <v>+918391057714</v>
      </c>
      <c r="K154" s="5" t="str">
        <f t="shared" si="9"/>
        <v>nan</v>
      </c>
      <c r="L154" s="6" t="s">
        <v>964</v>
      </c>
    </row>
    <row r="155" ht="15.75" customHeight="1">
      <c r="A155" s="3">
        <v>156.0</v>
      </c>
      <c r="B155" s="3" t="s">
        <v>965</v>
      </c>
      <c r="C155" s="3" t="s">
        <v>966</v>
      </c>
      <c r="D155" s="3" t="s">
        <v>967</v>
      </c>
      <c r="E155" s="3" t="s">
        <v>968</v>
      </c>
      <c r="F155" s="3" t="s">
        <v>969</v>
      </c>
      <c r="G155" s="3" t="s">
        <v>272</v>
      </c>
      <c r="H155" s="4" t="str">
        <f>HYPERLINK("https://www.agsatp.com/", "https://www.agsatp.com/")</f>
        <v>https://www.agsatp.com/</v>
      </c>
      <c r="J155" s="3" t="str">
        <f>HYPERLINK("tel:+918897831111", "+918897831111")</f>
        <v>+918897831111</v>
      </c>
      <c r="K155" s="5" t="str">
        <f>HYPERLINK("mailto:infoagsatp@gmail.com", "infoagsatp@gmail.com")</f>
        <v>infoagsatp@gmail.com</v>
      </c>
      <c r="L155" s="6"/>
    </row>
    <row r="156" ht="15.75" customHeight="1">
      <c r="A156" s="3">
        <v>157.0</v>
      </c>
      <c r="B156" s="3" t="s">
        <v>970</v>
      </c>
      <c r="C156" s="3" t="s">
        <v>971</v>
      </c>
      <c r="D156" s="3" t="s">
        <v>972</v>
      </c>
      <c r="E156" s="3" t="s">
        <v>973</v>
      </c>
      <c r="F156" s="3" t="s">
        <v>974</v>
      </c>
      <c r="G156" s="3" t="s">
        <v>975</v>
      </c>
      <c r="H156" s="4" t="str">
        <f>HYPERLINK("https://carmelconvent.org/", "https://carmelconvent.org/")</f>
        <v>https://carmelconvent.org/</v>
      </c>
      <c r="J156" s="3" t="str">
        <f>HYPERLINK("tel:nan", "nan")</f>
        <v>nan</v>
      </c>
      <c r="K156" s="5" t="str">
        <f>HYPERLINK("mailto:app.nascorp@gmail.com", "app.nascorp@gmail.com")</f>
        <v>app.nascorp@gmail.com</v>
      </c>
      <c r="L156" s="6"/>
    </row>
    <row r="157" ht="15.75" customHeight="1">
      <c r="A157" s="3">
        <v>158.0</v>
      </c>
      <c r="B157" s="3" t="s">
        <v>976</v>
      </c>
      <c r="C157" s="3" t="s">
        <v>977</v>
      </c>
      <c r="D157" s="3" t="s">
        <v>978</v>
      </c>
      <c r="E157" s="3" t="s">
        <v>978</v>
      </c>
      <c r="F157" s="3" t="s">
        <v>979</v>
      </c>
      <c r="G157" s="3" t="s">
        <v>100</v>
      </c>
      <c r="H157" s="4" t="str">
        <f>HYPERLINK("https://mayurpublicschool.com/", "https://mayurpublicschool.com/")</f>
        <v>https://mayurpublicschool.com/</v>
      </c>
      <c r="J157" s="3" t="str">
        <f>HYPERLINK("tel:+911122477676", "+911122477676")</f>
        <v>+911122477676</v>
      </c>
      <c r="K157" s="5" t="str">
        <f>HYPERLINK("mailto:mps_edu@yahoo.com", "mps_edu@yahoo.com")</f>
        <v>mps_edu@yahoo.com</v>
      </c>
      <c r="L157" s="6"/>
    </row>
    <row r="158" ht="15.75" customHeight="1">
      <c r="A158" s="3">
        <v>159.0</v>
      </c>
      <c r="B158" s="3" t="s">
        <v>980</v>
      </c>
      <c r="C158" s="3" t="s">
        <v>981</v>
      </c>
      <c r="D158" s="3" t="s">
        <v>982</v>
      </c>
      <c r="E158" s="3" t="s">
        <v>983</v>
      </c>
      <c r="F158" s="3" t="s">
        <v>984</v>
      </c>
      <c r="G158" s="3" t="s">
        <v>100</v>
      </c>
      <c r="H158" s="4" t="str">
        <f>HYPERLINK("https://www.oliveinternationalschool.org/", "https://www.oliveinternationalschool.org/")</f>
        <v>https://www.oliveinternationalschool.org/</v>
      </c>
      <c r="J158" s="3" t="str">
        <f>HYPERLINK("tel:+914443213300", "+914443213300")</f>
        <v>+914443213300</v>
      </c>
      <c r="K158" s="5" t="str">
        <f>HYPERLINK("mailto:admin@oliveinternationalschool.org", "admin@oliveinternationalschool.org")</f>
        <v>admin@oliveinternationalschool.org</v>
      </c>
      <c r="L158" s="6"/>
    </row>
    <row r="159" ht="15.75" customHeight="1">
      <c r="A159" s="3">
        <v>160.0</v>
      </c>
      <c r="B159" s="3" t="s">
        <v>985</v>
      </c>
      <c r="C159" s="3" t="s">
        <v>986</v>
      </c>
      <c r="D159" s="3" t="s">
        <v>987</v>
      </c>
      <c r="E159" s="3" t="s">
        <v>988</v>
      </c>
      <c r="F159" s="3" t="s">
        <v>989</v>
      </c>
      <c r="G159" s="3" t="s">
        <v>24</v>
      </c>
      <c r="H159" s="4" t="str">
        <f>HYPERLINK("https://bbms.bluebells.org/", "https://bbms.bluebells.org/")</f>
        <v>https://bbms.bluebells.org/</v>
      </c>
      <c r="J159" s="3" t="str">
        <f>HYPERLINK("tel:+911244698888", "+911244698888")</f>
        <v>+911244698888</v>
      </c>
      <c r="K159" s="5" t="str">
        <f>HYPERLINK("mailto:bbms@bluebells.org", "bbms@bluebells.org")</f>
        <v>bbms@bluebells.org</v>
      </c>
      <c r="L159" s="6" t="s">
        <v>990</v>
      </c>
    </row>
    <row r="160" ht="15.75" customHeight="1">
      <c r="A160" s="3">
        <v>161.0</v>
      </c>
      <c r="B160" s="3" t="s">
        <v>991</v>
      </c>
      <c r="C160" s="3" t="s">
        <v>27</v>
      </c>
      <c r="D160" s="3" t="s">
        <v>992</v>
      </c>
      <c r="E160" s="3" t="s">
        <v>993</v>
      </c>
      <c r="F160" s="3" t="s">
        <v>30</v>
      </c>
      <c r="G160" s="3" t="s">
        <v>31</v>
      </c>
      <c r="H160" s="4" t="str">
        <f>HYPERLINK("https://excelpublicschool.com/", "https://excelpublicschool.com/")</f>
        <v>https://excelpublicschool.com/</v>
      </c>
      <c r="J160" s="3" t="str">
        <f>HYPERLINK("tel:+918212971004", "+918212971004")</f>
        <v>+918212971004</v>
      </c>
      <c r="K160" s="5" t="str">
        <f>HYPERLINK("mailto:eps@excelpublicschool.com", "eps@excelpublicschool.com")</f>
        <v>eps@excelpublicschool.com</v>
      </c>
      <c r="L160" s="6" t="s">
        <v>32</v>
      </c>
    </row>
    <row r="161" ht="15.75" customHeight="1">
      <c r="A161" s="3">
        <v>162.0</v>
      </c>
      <c r="B161" s="3" t="s">
        <v>994</v>
      </c>
      <c r="C161" s="3" t="s">
        <v>995</v>
      </c>
      <c r="D161" s="3" t="s">
        <v>996</v>
      </c>
      <c r="E161" s="3" t="s">
        <v>997</v>
      </c>
      <c r="F161" s="3" t="s">
        <v>998</v>
      </c>
      <c r="G161" s="3" t="s">
        <v>31</v>
      </c>
      <c r="H161" s="4" t="str">
        <f>HYPERLINK("https://ssk.karnataka.gov.in/155/karnataka-public-schools/en", "https://ssk.karnataka.gov.in/155/karnataka-public-schools/en")</f>
        <v>https://ssk.karnataka.gov.in/155/karnataka-public-schools/en</v>
      </c>
      <c r="I161" s="3" t="s">
        <v>999</v>
      </c>
      <c r="J161" s="3" t="str">
        <f>HYPERLINK("tel:+919448999303", "+919448999303")</f>
        <v>+919448999303</v>
      </c>
      <c r="K161" s="5" t="str">
        <f>HYPERLINK("mailto:pd.webportal@karnataka.gov.in", "pd.webportal@karnataka.gov.in")</f>
        <v>pd.webportal@karnataka.gov.in</v>
      </c>
      <c r="L161" s="6" t="s">
        <v>1000</v>
      </c>
    </row>
    <row r="162" ht="15.75" customHeight="1">
      <c r="A162" s="3">
        <v>163.0</v>
      </c>
      <c r="B162" s="3" t="s">
        <v>1001</v>
      </c>
      <c r="C162" s="3" t="s">
        <v>27</v>
      </c>
      <c r="D162" s="3" t="s">
        <v>1002</v>
      </c>
      <c r="E162" s="3" t="s">
        <v>1003</v>
      </c>
      <c r="F162" s="3" t="s">
        <v>30</v>
      </c>
      <c r="G162" s="3" t="s">
        <v>31</v>
      </c>
      <c r="H162" s="4" t="str">
        <f>HYPERLINK("https://excelpublicschool.com/", "https://excelpublicschool.com/")</f>
        <v>https://excelpublicschool.com/</v>
      </c>
      <c r="J162" s="3" t="str">
        <f>HYPERLINK("tel:+918212971004", "+918212971004")</f>
        <v>+918212971004</v>
      </c>
      <c r="K162" s="5" t="str">
        <f>HYPERLINK("mailto:eps@excelpublicschool.com", "eps@excelpublicschool.com")</f>
        <v>eps@excelpublicschool.com</v>
      </c>
      <c r="L162" s="6" t="s">
        <v>32</v>
      </c>
    </row>
    <row r="163" ht="15.75" customHeight="1">
      <c r="A163" s="3">
        <v>164.0</v>
      </c>
      <c r="B163" s="3" t="s">
        <v>1004</v>
      </c>
      <c r="C163" s="3" t="s">
        <v>1005</v>
      </c>
      <c r="D163" s="3" t="s">
        <v>1006</v>
      </c>
      <c r="E163" s="3" t="s">
        <v>1007</v>
      </c>
      <c r="F163" s="3" t="s">
        <v>1008</v>
      </c>
      <c r="G163" s="3" t="s">
        <v>58</v>
      </c>
      <c r="H163" s="4" t="str">
        <f>HYPERLINK("https://schools.org.in/thiruvananthapuram/32140300701/gups-chanthavila.html", "https://schools.org.in/thiruvananthapuram/32140300701/gups-chanthavila.html")</f>
        <v>https://schools.org.in/thiruvananthapuram/32140300701/gups-chanthavila.html</v>
      </c>
      <c r="I163" s="3" t="s">
        <v>1009</v>
      </c>
      <c r="J163" s="3" t="str">
        <f>HYPERLINK("tel:nan", "nan")</f>
        <v>nan</v>
      </c>
      <c r="K163" s="5" t="str">
        <f>HYPERLINK("mailto:nan", "nan")</f>
        <v>nan</v>
      </c>
      <c r="L163" s="6" t="s">
        <v>1010</v>
      </c>
    </row>
    <row r="164" ht="15.75" customHeight="1">
      <c r="A164" s="3">
        <v>165.0</v>
      </c>
      <c r="B164" s="3" t="s">
        <v>1011</v>
      </c>
      <c r="C164" s="3" t="s">
        <v>1012</v>
      </c>
      <c r="D164" s="3" t="s">
        <v>1013</v>
      </c>
      <c r="E164" s="3" t="s">
        <v>1014</v>
      </c>
      <c r="F164" s="3" t="s">
        <v>1015</v>
      </c>
      <c r="G164" s="3" t="s">
        <v>58</v>
      </c>
      <c r="H164" s="4" t="str">
        <f>HYPERLINK("https://www.bhavanselamakkara.ac.in/", "https://www.bhavanselamakkara.ac.in/")</f>
        <v>https://www.bhavanselamakkara.ac.in/</v>
      </c>
      <c r="I164" s="3" t="s">
        <v>1016</v>
      </c>
      <c r="J164" s="3" t="str">
        <f>HYPERLINK("tel:+914842408514", "+914842408514")</f>
        <v>+914842408514</v>
      </c>
      <c r="K164" s="5" t="str">
        <f>HYPERLINK("mailto:bvm_elmk@yahoo.com", "bvm_elmk@yahoo.com")</f>
        <v>bvm_elmk@yahoo.com</v>
      </c>
      <c r="L164" s="6" t="s">
        <v>1017</v>
      </c>
    </row>
    <row r="165" ht="15.75" customHeight="1">
      <c r="A165" s="3">
        <v>166.0</v>
      </c>
      <c r="B165" s="3" t="s">
        <v>1018</v>
      </c>
      <c r="C165" s="3" t="s">
        <v>1019</v>
      </c>
      <c r="D165" s="3" t="s">
        <v>1020</v>
      </c>
      <c r="E165" s="3" t="s">
        <v>1021</v>
      </c>
      <c r="F165" s="3" t="s">
        <v>1022</v>
      </c>
      <c r="G165" s="3" t="s">
        <v>58</v>
      </c>
      <c r="H165" s="4" t="str">
        <f>HYPERLINK("https://schools.org.in/ernakulam/32080200402/holy-family-hs-ankamaly.html", "https://schools.org.in/ernakulam/32080200402/holy-family-hs-ankamaly.html")</f>
        <v>https://schools.org.in/ernakulam/32080200402/holy-family-hs-ankamaly.html</v>
      </c>
      <c r="I165" s="3" t="s">
        <v>1023</v>
      </c>
      <c r="J165" s="3" t="str">
        <f>HYPERLINK("tel:+914842352629", "+914842352629")</f>
        <v>+914842352629</v>
      </c>
      <c r="K165" s="5" t="str">
        <f t="shared" ref="K165:K166" si="10">HYPERLINK("mailto:nan", "nan")</f>
        <v>nan</v>
      </c>
      <c r="L165" s="6" t="s">
        <v>1024</v>
      </c>
    </row>
    <row r="166" ht="15.75" customHeight="1">
      <c r="A166" s="3">
        <v>167.0</v>
      </c>
      <c r="B166" s="3" t="s">
        <v>1025</v>
      </c>
      <c r="C166" s="3" t="s">
        <v>1026</v>
      </c>
      <c r="D166" s="3" t="s">
        <v>1027</v>
      </c>
      <c r="E166" s="3" t="s">
        <v>1028</v>
      </c>
      <c r="F166" s="3" t="s">
        <v>1029</v>
      </c>
      <c r="G166" s="3" t="s">
        <v>115</v>
      </c>
      <c r="H166" s="4" t="str">
        <f>HYPERLINK("https://bina.kvs.ac.in/en/", "https://bina.kvs.ac.in/en/")</f>
        <v>https://bina.kvs.ac.in/en/</v>
      </c>
      <c r="I166" s="3" t="s">
        <v>1030</v>
      </c>
      <c r="J166" s="3" t="str">
        <f>HYPERLINK("tel:+917580299096", "+917580299096")</f>
        <v>+917580299096</v>
      </c>
      <c r="K166" s="5" t="str">
        <f t="shared" si="10"/>
        <v>nan</v>
      </c>
      <c r="L166" s="6" t="s">
        <v>1031</v>
      </c>
    </row>
    <row r="167" ht="15.75" customHeight="1">
      <c r="A167" s="3">
        <v>168.0</v>
      </c>
      <c r="B167" s="3" t="s">
        <v>1032</v>
      </c>
      <c r="C167" s="3" t="s">
        <v>1033</v>
      </c>
      <c r="D167" s="3" t="s">
        <v>1034</v>
      </c>
      <c r="E167" s="3" t="s">
        <v>1035</v>
      </c>
      <c r="F167" s="3" t="s">
        <v>1036</v>
      </c>
      <c r="G167" s="3" t="s">
        <v>130</v>
      </c>
      <c r="H167" s="4" t="str">
        <f>HYPERLINK("https://www.silveroaks.co.in/", "https://www.silveroaks.co.in/")</f>
        <v>https://www.silveroaks.co.in/</v>
      </c>
      <c r="J167" s="3" t="str">
        <f>HYPERLINK("tel:nan", "nan")</f>
        <v>nan</v>
      </c>
      <c r="K167" s="5" t="str">
        <f>HYPERLINK("mailto:admissions@hyd.silveroaks.co.in", "admissions@hyd.silveroaks.co.in")</f>
        <v>admissions@hyd.silveroaks.co.in</v>
      </c>
      <c r="L167" s="6"/>
    </row>
    <row r="168" ht="15.75" customHeight="1">
      <c r="A168" s="3">
        <v>169.0</v>
      </c>
      <c r="B168" s="3" t="s">
        <v>1037</v>
      </c>
      <c r="C168" s="3" t="s">
        <v>1038</v>
      </c>
      <c r="D168" s="3" t="s">
        <v>1039</v>
      </c>
      <c r="E168" s="3" t="s">
        <v>1040</v>
      </c>
      <c r="F168" s="3" t="s">
        <v>1041</v>
      </c>
      <c r="G168" s="3" t="s">
        <v>138</v>
      </c>
      <c r="H168" s="4" t="str">
        <f>HYPERLINK("https://sunbeamschools.com/default.aspx", "https://sunbeamschools.com/default.aspx")</f>
        <v>https://sunbeamschools.com/default.aspx</v>
      </c>
      <c r="J168" s="3" t="str">
        <f>HYPERLINK("tel:+919721452435", "+919721452435")</f>
        <v>+919721452435</v>
      </c>
      <c r="K168" s="5" t="str">
        <f>HYPERLINK("mailto:info@sunbeammughalsarai.com", "info@sunbeammughalsarai.com")</f>
        <v>info@sunbeammughalsarai.com</v>
      </c>
      <c r="L168" s="6" t="s">
        <v>1042</v>
      </c>
    </row>
    <row r="169" ht="15.75" customHeight="1">
      <c r="A169" s="3">
        <v>170.0</v>
      </c>
      <c r="B169" s="3" t="s">
        <v>1043</v>
      </c>
      <c r="C169" s="3" t="s">
        <v>593</v>
      </c>
      <c r="D169" s="3" t="s">
        <v>1044</v>
      </c>
      <c r="E169" s="3" t="s">
        <v>1045</v>
      </c>
      <c r="F169" s="3" t="s">
        <v>596</v>
      </c>
      <c r="G169" s="3" t="s">
        <v>597</v>
      </c>
      <c r="H169" s="4" t="str">
        <f>HYPERLINK("https://raiwala.kvs.ac.in/en/", "https://raiwala.kvs.ac.in/en/")</f>
        <v>https://raiwala.kvs.ac.in/en/</v>
      </c>
      <c r="I169" s="3" t="s">
        <v>93</v>
      </c>
      <c r="J169" s="3" t="str">
        <f>HYPERLINK("tel:+911352978535", "+911352978535")</f>
        <v>+911352978535</v>
      </c>
      <c r="K169" s="5" t="str">
        <f>HYPERLINK("mailto:nan", "nan")</f>
        <v>nan</v>
      </c>
      <c r="L169" s="6" t="s">
        <v>598</v>
      </c>
    </row>
    <row r="170" ht="15.75" customHeight="1">
      <c r="A170" s="3">
        <v>171.0</v>
      </c>
      <c r="B170" s="3" t="s">
        <v>1046</v>
      </c>
      <c r="C170" s="3" t="s">
        <v>1047</v>
      </c>
      <c r="D170" s="3" t="s">
        <v>1048</v>
      </c>
      <c r="E170" s="3" t="s">
        <v>1049</v>
      </c>
      <c r="F170" s="3" t="s">
        <v>1050</v>
      </c>
      <c r="G170" s="3" t="s">
        <v>272</v>
      </c>
      <c r="H170" s="4" t="str">
        <f>HYPERLINK("https://swreis.ap.gov.in/", "https://swreis.ap.gov.in/")</f>
        <v>https://swreis.ap.gov.in/</v>
      </c>
      <c r="I170" s="3" t="s">
        <v>1051</v>
      </c>
      <c r="J170" s="3" t="str">
        <f>HYPERLINK("tel:nan", "nan")</f>
        <v>nan</v>
      </c>
      <c r="K170" s="5" t="str">
        <f>HYPERLINK("mailto:info@careers360.com", "info@careers360.com")</f>
        <v>info@careers360.com</v>
      </c>
      <c r="L170" s="6" t="s">
        <v>1052</v>
      </c>
    </row>
    <row r="171" ht="15.75" customHeight="1">
      <c r="A171" s="3">
        <v>172.0</v>
      </c>
      <c r="B171" s="3" t="s">
        <v>1053</v>
      </c>
      <c r="C171" s="3" t="s">
        <v>1054</v>
      </c>
      <c r="D171" s="3" t="s">
        <v>1055</v>
      </c>
      <c r="E171" s="3" t="s">
        <v>1056</v>
      </c>
      <c r="F171" s="3" t="s">
        <v>1057</v>
      </c>
      <c r="G171" s="3" t="s">
        <v>272</v>
      </c>
      <c r="H171" s="4" t="str">
        <f>HYPERLINK("https://apkgbv.apcfss.in/", "https://apkgbv.apcfss.in/")</f>
        <v>https://apkgbv.apcfss.in/</v>
      </c>
      <c r="I171" s="3" t="s">
        <v>1058</v>
      </c>
      <c r="J171" s="3" t="str">
        <f>HYPERLINK("tel:+919177998899", "+919177998899")</f>
        <v>+919177998899</v>
      </c>
      <c r="K171" s="5" t="str">
        <f>HYPERLINK("mailto:S2954273@gmail.com", "S2954273@gmail.com")</f>
        <v>S2954273@gmail.com</v>
      </c>
      <c r="L171" s="6" t="s">
        <v>1059</v>
      </c>
    </row>
    <row r="172" ht="15.75" customHeight="1">
      <c r="A172" s="3">
        <v>173.0</v>
      </c>
      <c r="B172" s="3" t="s">
        <v>1060</v>
      </c>
      <c r="C172" s="3" t="s">
        <v>1061</v>
      </c>
      <c r="D172" s="3" t="s">
        <v>1062</v>
      </c>
      <c r="E172" s="3" t="s">
        <v>1063</v>
      </c>
      <c r="F172" s="3" t="s">
        <v>1064</v>
      </c>
      <c r="G172" s="3" t="s">
        <v>229</v>
      </c>
      <c r="H172" s="4" t="str">
        <f>HYPERLINK("https://wesleyanschoolindia.com/", "https://wesleyanschoolindia.com/")</f>
        <v>https://wesleyanschoolindia.com/</v>
      </c>
      <c r="I172" s="3" t="s">
        <v>1065</v>
      </c>
      <c r="J172" s="3" t="str">
        <f>HYPERLINK("tel:nan", "nan")</f>
        <v>nan</v>
      </c>
      <c r="K172" s="5" t="str">
        <f>HYPERLINK("mailto:Wesleyan@rediffmail.com", "Wesleyan@rediffmail.com")</f>
        <v>Wesleyan@rediffmail.com</v>
      </c>
      <c r="L172" s="6" t="s">
        <v>1066</v>
      </c>
    </row>
    <row r="173" ht="15.75" customHeight="1">
      <c r="A173" s="3">
        <v>174.0</v>
      </c>
      <c r="B173" s="3" t="s">
        <v>1067</v>
      </c>
      <c r="C173" s="3" t="s">
        <v>1068</v>
      </c>
      <c r="D173" s="3" t="s">
        <v>1069</v>
      </c>
      <c r="E173" s="3" t="s">
        <v>1070</v>
      </c>
      <c r="F173" s="3" t="s">
        <v>1071</v>
      </c>
      <c r="G173" s="3" t="s">
        <v>229</v>
      </c>
      <c r="H173" s="4" t="str">
        <f>HYPERLINK("https://eduportal.cg.nic.in/ConsolidatedRpt.aspx?flag=D_S&amp;dist=MjIxOQ==&amp;blk=&amp;clu=&amp;sch=&amp;psups=10", "https://eduportal.cg.nic.in/ConsolidatedRpt.aspx?flag=D_S&amp;dist=MjIxOQ==&amp;blk=&amp;clu=&amp;sch=&amp;psups=10")</f>
        <v>https://eduportal.cg.nic.in/ConsolidatedRpt.aspx?flag=D_S&amp;dist=MjIxOQ==&amp;blk=&amp;clu=&amp;sch=&amp;psups=10</v>
      </c>
      <c r="I173" s="3" t="s">
        <v>1072</v>
      </c>
      <c r="J173" s="3" t="str">
        <f>HYPERLINK("tel:+917714002694", "+917714002694")</f>
        <v>+917714002694</v>
      </c>
      <c r="K173" s="5" t="str">
        <f>HYPERLINK("mailto:eduportal.cg@nic.in", "eduportal.cg@nic.in")</f>
        <v>eduportal.cg@nic.in</v>
      </c>
      <c r="L173" s="6" t="s">
        <v>1073</v>
      </c>
    </row>
    <row r="174" ht="15.75" customHeight="1">
      <c r="A174" s="3">
        <v>175.0</v>
      </c>
      <c r="B174" s="3" t="s">
        <v>1074</v>
      </c>
      <c r="C174" s="3" t="s">
        <v>1075</v>
      </c>
      <c r="D174" s="3" t="s">
        <v>1076</v>
      </c>
      <c r="E174" s="3" t="s">
        <v>1077</v>
      </c>
      <c r="F174" s="3" t="s">
        <v>1078</v>
      </c>
      <c r="G174" s="3" t="s">
        <v>100</v>
      </c>
      <c r="H174" s="4" t="str">
        <f>HYPERLINK("https://www.mapsashokvihar.net/", "https://www.mapsashokvihar.net/")</f>
        <v>https://www.mapsashokvihar.net/</v>
      </c>
      <c r="J174" s="3" t="str">
        <f>HYPERLINK("tel:+911146102575", "+911146102575")</f>
        <v>+911146102575</v>
      </c>
      <c r="K174" s="5" t="str">
        <f>HYPERLINK("mailto:maps@mapsashokvihar.net", "maps@mapsashokvihar.net")</f>
        <v>maps@mapsashokvihar.net</v>
      </c>
      <c r="L174" s="6" t="s">
        <v>1079</v>
      </c>
    </row>
    <row r="175" ht="15.75" customHeight="1">
      <c r="A175" s="3">
        <v>176.0</v>
      </c>
      <c r="B175" s="3" t="s">
        <v>1080</v>
      </c>
      <c r="C175" s="3" t="s">
        <v>1081</v>
      </c>
      <c r="D175" s="3" t="s">
        <v>1082</v>
      </c>
      <c r="E175" s="3" t="s">
        <v>1083</v>
      </c>
      <c r="F175" s="3" t="s">
        <v>1084</v>
      </c>
      <c r="G175" s="3" t="s">
        <v>100</v>
      </c>
      <c r="H175" s="4" t="str">
        <f>HYPERLINK("https://www.springdalespusa.com/", "https://www.springdalespusa.com/")</f>
        <v>https://www.springdalespusa.com/</v>
      </c>
      <c r="J175" s="3" t="str">
        <f>HYPERLINK("tel:+919811772507", "+919811772507")</f>
        <v>+919811772507</v>
      </c>
      <c r="K175" s="5" t="str">
        <f>HYPERLINK("mailto:principal@springdalespusa.com", "principal@springdalespusa.com")</f>
        <v>principal@springdalespusa.com</v>
      </c>
      <c r="L175" s="6" t="s">
        <v>1085</v>
      </c>
    </row>
    <row r="176" ht="15.75" customHeight="1">
      <c r="A176" s="3">
        <v>177.0</v>
      </c>
      <c r="B176" s="3" t="s">
        <v>1086</v>
      </c>
      <c r="C176" s="3" t="s">
        <v>506</v>
      </c>
      <c r="D176" s="3" t="s">
        <v>1087</v>
      </c>
      <c r="E176" s="3" t="s">
        <v>1088</v>
      </c>
      <c r="F176" s="3" t="s">
        <v>509</v>
      </c>
      <c r="G176" s="3" t="s">
        <v>24</v>
      </c>
      <c r="H176" s="4" t="str">
        <f>HYPERLINK("https://www.dpsgurgaon.org/", "https://www.dpsgurgaon.org/")</f>
        <v>https://www.dpsgurgaon.org/</v>
      </c>
      <c r="I176" s="3" t="s">
        <v>510</v>
      </c>
      <c r="J176" s="3" t="str">
        <f>HYPERLINK("tel:+918130314455", "+918130314455")</f>
        <v>+918130314455</v>
      </c>
      <c r="K176" s="5" t="str">
        <f>HYPERLINK("mailto:principal@dpsgurgaon.org", "principal@dpsgurgaon.org")</f>
        <v>principal@dpsgurgaon.org</v>
      </c>
      <c r="L176" s="6" t="s">
        <v>511</v>
      </c>
    </row>
    <row r="177" ht="15.75" customHeight="1">
      <c r="A177" s="3">
        <v>178.0</v>
      </c>
      <c r="B177" s="3" t="s">
        <v>1089</v>
      </c>
      <c r="C177" s="3" t="s">
        <v>104</v>
      </c>
      <c r="D177" s="3" t="s">
        <v>1090</v>
      </c>
      <c r="E177" s="3" t="s">
        <v>1091</v>
      </c>
      <c r="F177" s="3" t="s">
        <v>107</v>
      </c>
      <c r="G177" s="3" t="s">
        <v>24</v>
      </c>
      <c r="H177" s="4" t="str">
        <f>HYPERLINK("https://www.scottishigh.com/", "https://www.scottishigh.com/")</f>
        <v>https://www.scottishigh.com/</v>
      </c>
      <c r="I177" s="3" t="s">
        <v>108</v>
      </c>
      <c r="J177" s="3" t="str">
        <f>HYPERLINK("tel:+919953849226", "+919953849226")</f>
        <v>+919953849226</v>
      </c>
      <c r="K177" s="5" t="str">
        <f>HYPERLINK("mailto:info@scottishigh.com", "info@scottishigh.com")</f>
        <v>info@scottishigh.com</v>
      </c>
      <c r="L177" s="6" t="s">
        <v>741</v>
      </c>
    </row>
    <row r="178" ht="15.75" customHeight="1">
      <c r="A178" s="3">
        <v>179.0</v>
      </c>
      <c r="B178" s="3" t="s">
        <v>1092</v>
      </c>
      <c r="C178" s="3" t="s">
        <v>1093</v>
      </c>
      <c r="D178" s="3" t="s">
        <v>1094</v>
      </c>
      <c r="E178" s="3" t="s">
        <v>1095</v>
      </c>
      <c r="F178" s="3" t="s">
        <v>1096</v>
      </c>
      <c r="G178" s="3" t="s">
        <v>58</v>
      </c>
      <c r="H178" s="4" t="str">
        <f>HYPERLINK("https://www.mesrajaschool.com/", "https://www.mesrajaschool.com/")</f>
        <v>https://www.mesrajaschool.com/</v>
      </c>
      <c r="I178" s="3" t="s">
        <v>1097</v>
      </c>
      <c r="J178" s="3" t="str">
        <f>HYPERLINK("tel:+914952287257", "+914952287257")</f>
        <v>+914952287257</v>
      </c>
      <c r="K178" s="5" t="str">
        <f>HYPERLINK("mailto:mesrajac@gmail.com", "mesrajac@gmail.com")</f>
        <v>mesrajac@gmail.com</v>
      </c>
      <c r="L178" s="6" t="s">
        <v>1098</v>
      </c>
    </row>
    <row r="179" ht="15.75" customHeight="1">
      <c r="A179" s="3">
        <v>180.0</v>
      </c>
      <c r="B179" s="3" t="s">
        <v>1099</v>
      </c>
      <c r="C179" s="3" t="s">
        <v>1100</v>
      </c>
      <c r="D179" s="3" t="s">
        <v>1101</v>
      </c>
      <c r="E179" s="3" t="s">
        <v>1102</v>
      </c>
      <c r="F179" s="3" t="s">
        <v>1103</v>
      </c>
      <c r="G179" s="3" t="s">
        <v>38</v>
      </c>
      <c r="H179" s="4" t="str">
        <f>HYPERLINK("https://navodaya.gov.in/", "https://navodaya.gov.in/")</f>
        <v>https://navodaya.gov.in/</v>
      </c>
      <c r="I179" s="3" t="s">
        <v>1104</v>
      </c>
      <c r="J179" s="3" t="str">
        <f>HYPERLINK("tel:+911202405968", "+911202405968")</f>
        <v>+911202405968</v>
      </c>
      <c r="K179" s="5" t="str">
        <f>HYPERLINK("mailto:nvsshww@gmail.com", "nvsshww@gmail.com")</f>
        <v>nvsshww@gmail.com</v>
      </c>
      <c r="L179" s="6" t="s">
        <v>1105</v>
      </c>
    </row>
    <row r="180" ht="15.75" customHeight="1">
      <c r="A180" s="3">
        <v>181.0</v>
      </c>
      <c r="B180" s="3" t="s">
        <v>1106</v>
      </c>
      <c r="C180" s="3" t="s">
        <v>1107</v>
      </c>
      <c r="D180" s="3" t="s">
        <v>1108</v>
      </c>
      <c r="E180" s="3" t="s">
        <v>1109</v>
      </c>
      <c r="F180" s="3" t="s">
        <v>1110</v>
      </c>
      <c r="G180" s="3" t="s">
        <v>17</v>
      </c>
      <c r="H180" s="4" t="str">
        <f>HYPERLINK("https://www.hinduvidyalaya.org/g-k-shetty-hindu-vidyalaya-mat-hr-sec-school/", "https://www.hinduvidyalaya.org/g-k-shetty-hindu-vidyalaya-mat-hr-sec-school/")</f>
        <v>https://www.hinduvidyalaya.org/g-k-shetty-hindu-vidyalaya-mat-hr-sec-school/</v>
      </c>
      <c r="J180" s="3" t="str">
        <f>HYPERLINK("tel:+914422531740", "+914422531740")</f>
        <v>+914422531740</v>
      </c>
      <c r="K180" s="5" t="str">
        <f>HYPERLINK("mailto:nan", "nan")</f>
        <v>nan</v>
      </c>
      <c r="L180" s="6" t="s">
        <v>217</v>
      </c>
    </row>
    <row r="181" ht="15.75" customHeight="1">
      <c r="A181" s="3">
        <v>182.0</v>
      </c>
      <c r="B181" s="3" t="s">
        <v>1111</v>
      </c>
      <c r="C181" s="3" t="s">
        <v>1112</v>
      </c>
      <c r="D181" s="3" t="s">
        <v>1113</v>
      </c>
      <c r="E181" s="3" t="s">
        <v>1114</v>
      </c>
      <c r="F181" s="3" t="s">
        <v>1115</v>
      </c>
      <c r="G181" s="3" t="s">
        <v>17</v>
      </c>
      <c r="H181" s="4" t="str">
        <f>HYPERLINK("https://coimbatore.adityacbse.com/", "https://coimbatore.adityacbse.com/")</f>
        <v>https://coimbatore.adityacbse.com/</v>
      </c>
      <c r="J181" s="3" t="str">
        <f>HYPERLINK("tel:+914222401848", "+914222401848")</f>
        <v>+914222401848</v>
      </c>
      <c r="K181" s="5" t="str">
        <f>HYPERLINK("mailto:info_cbe@adityacbse.com", "info_cbe@adityacbse.com")</f>
        <v>info_cbe@adityacbse.com</v>
      </c>
      <c r="L181" s="6" t="s">
        <v>1116</v>
      </c>
    </row>
    <row r="182" ht="15.75" customHeight="1">
      <c r="A182" s="3">
        <v>183.0</v>
      </c>
      <c r="B182" s="3" t="s">
        <v>1117</v>
      </c>
      <c r="C182" s="3" t="s">
        <v>1118</v>
      </c>
      <c r="D182" s="3" t="s">
        <v>1119</v>
      </c>
      <c r="E182" s="3" t="s">
        <v>1120</v>
      </c>
      <c r="F182" s="3" t="s">
        <v>1121</v>
      </c>
      <c r="G182" s="3" t="s">
        <v>130</v>
      </c>
      <c r="H182" s="4" t="str">
        <f>HYPERLINK("https://www.dpsnacharam.in/", "https://www.dpsnacharam.in/")</f>
        <v>https://www.dpsnacharam.in/</v>
      </c>
      <c r="I182" s="3" t="s">
        <v>1122</v>
      </c>
      <c r="J182" s="3" t="str">
        <f>HYPERLINK("tel:+917670900348", "+917670900348")</f>
        <v>+917670900348</v>
      </c>
      <c r="K182" s="5" t="str">
        <f>HYPERLINK("mailto:admission@dpssecunderabad.in", "admission@dpssecunderabad.in")</f>
        <v>admission@dpssecunderabad.in</v>
      </c>
      <c r="L182" s="6" t="s">
        <v>1123</v>
      </c>
    </row>
    <row r="183" ht="15.75" customHeight="1">
      <c r="A183" s="3">
        <v>184.0</v>
      </c>
      <c r="B183" s="3" t="s">
        <v>1124</v>
      </c>
      <c r="C183" s="3" t="s">
        <v>1125</v>
      </c>
      <c r="D183" s="3" t="s">
        <v>1126</v>
      </c>
      <c r="E183" s="3" t="s">
        <v>1127</v>
      </c>
      <c r="F183" s="3" t="s">
        <v>1128</v>
      </c>
      <c r="G183" s="3" t="s">
        <v>138</v>
      </c>
      <c r="H183" s="4" t="str">
        <f>HYPERLINK("https://stteresaschool.in/", "https://stteresaschool.in/")</f>
        <v>https://stteresaschool.in/</v>
      </c>
      <c r="J183" s="3" t="str">
        <f>HYPERLINK("tel:+918826000216", "+918826000216")</f>
        <v>+918826000216</v>
      </c>
      <c r="K183" s="5" t="str">
        <f>HYPERLINK("mailto:stteresaschool.indirapuram@gmail.com", "stteresaschool.indirapuram@gmail.com")</f>
        <v>stteresaschool.indirapuram@gmail.com</v>
      </c>
      <c r="L183" s="6"/>
    </row>
    <row r="184" ht="15.75" customHeight="1">
      <c r="A184" s="3">
        <v>185.0</v>
      </c>
      <c r="B184" s="3" t="s">
        <v>1129</v>
      </c>
      <c r="C184" s="3" t="s">
        <v>890</v>
      </c>
      <c r="D184" s="3" t="s">
        <v>1130</v>
      </c>
      <c r="E184" s="3" t="s">
        <v>1131</v>
      </c>
      <c r="F184" s="3" t="s">
        <v>893</v>
      </c>
      <c r="G184" s="3" t="s">
        <v>100</v>
      </c>
      <c r="H184" s="4" t="str">
        <f t="shared" ref="H184:H185" si="11">HYPERLINK("https://www.mamtamodernschool.com/", "https://www.mamtamodernschool.com/")</f>
        <v>https://www.mamtamodernschool.com/</v>
      </c>
      <c r="J184" s="3" t="str">
        <f t="shared" ref="J184:J185" si="12">HYPERLINK("tel:+911145614501", "+911145614501")</f>
        <v>+911145614501</v>
      </c>
      <c r="K184" s="5" t="str">
        <f t="shared" ref="K184:K185" si="13">HYPERLINK("mailto:mamtamodernschool@gmail.com", "mamtamodernschool@gmail.com")</f>
        <v>mamtamodernschool@gmail.com</v>
      </c>
      <c r="L184" s="6" t="s">
        <v>894</v>
      </c>
    </row>
    <row r="185" ht="15.75" customHeight="1">
      <c r="A185" s="3">
        <v>186.0</v>
      </c>
      <c r="B185" s="3" t="s">
        <v>1132</v>
      </c>
      <c r="C185" s="3" t="s">
        <v>890</v>
      </c>
      <c r="D185" s="3" t="s">
        <v>1133</v>
      </c>
      <c r="E185" s="3" t="s">
        <v>1134</v>
      </c>
      <c r="F185" s="3" t="s">
        <v>893</v>
      </c>
      <c r="G185" s="3" t="s">
        <v>100</v>
      </c>
      <c r="H185" s="4" t="str">
        <f t="shared" si="11"/>
        <v>https://www.mamtamodernschool.com/</v>
      </c>
      <c r="J185" s="3" t="str">
        <f t="shared" si="12"/>
        <v>+911145614501</v>
      </c>
      <c r="K185" s="5" t="str">
        <f t="shared" si="13"/>
        <v>mamtamodernschool@gmail.com</v>
      </c>
      <c r="L185" s="6" t="s">
        <v>894</v>
      </c>
    </row>
    <row r="186" ht="15.75" customHeight="1">
      <c r="A186" s="3">
        <v>187.0</v>
      </c>
      <c r="B186" s="3" t="s">
        <v>1135</v>
      </c>
      <c r="C186" s="3" t="s">
        <v>1136</v>
      </c>
      <c r="D186" s="3" t="s">
        <v>1137</v>
      </c>
      <c r="E186" s="3" t="s">
        <v>1138</v>
      </c>
      <c r="F186" s="3" t="s">
        <v>1139</v>
      </c>
      <c r="G186" s="3" t="s">
        <v>100</v>
      </c>
      <c r="H186" s="4" t="str">
        <f>HYPERLINK("https://amityschools.in/mayurvihar/", "https://amityschools.in/mayurvihar/")</f>
        <v>https://amityschools.in/mayurvihar/</v>
      </c>
      <c r="J186" s="3" t="str">
        <f>HYPERLINK("tel:+911122717261", "+911122717261")</f>
        <v>+911122717261</v>
      </c>
      <c r="K186" s="5" t="str">
        <f>HYPERLINK("mailto:principal@aismv.amity.edu", "principal@aismv.amity.edu")</f>
        <v>principal@aismv.amity.edu</v>
      </c>
      <c r="L186" s="6" t="s">
        <v>1140</v>
      </c>
    </row>
    <row r="187" ht="15.75" customHeight="1">
      <c r="A187" s="3">
        <v>188.0</v>
      </c>
      <c r="B187" s="3" t="s">
        <v>1141</v>
      </c>
      <c r="C187" s="3" t="s">
        <v>1142</v>
      </c>
      <c r="D187" s="3" t="s">
        <v>1143</v>
      </c>
      <c r="E187" s="3" t="s">
        <v>1144</v>
      </c>
      <c r="F187" s="3" t="s">
        <v>1145</v>
      </c>
      <c r="G187" s="3" t="s">
        <v>100</v>
      </c>
      <c r="H187" s="4" t="str">
        <f>HYPERLINK("https://bbpsrohini.balbharati.org/", "https://bbpsrohini.balbharati.org/")</f>
        <v>https://bbpsrohini.balbharati.org/</v>
      </c>
      <c r="J187" s="3" t="str">
        <f>HYPERLINK("tel:nan", "nan")</f>
        <v>nan</v>
      </c>
      <c r="K187" s="5" t="str">
        <f>HYPERLINK("mailto:nan", "nan")</f>
        <v>nan</v>
      </c>
      <c r="L187" s="6"/>
    </row>
    <row r="188" ht="15.75" customHeight="1">
      <c r="A188" s="3">
        <v>189.0</v>
      </c>
      <c r="B188" s="3" t="s">
        <v>1146</v>
      </c>
      <c r="C188" s="3" t="s">
        <v>1147</v>
      </c>
      <c r="D188" s="3" t="s">
        <v>1148</v>
      </c>
      <c r="E188" s="3" t="s">
        <v>1149</v>
      </c>
      <c r="F188" s="3" t="s">
        <v>1150</v>
      </c>
      <c r="G188" s="3" t="s">
        <v>100</v>
      </c>
      <c r="H188" s="4" t="str">
        <f>HYPERLINK("https://lilawatividyamandir.edu.in/contact-us/", "https://lilawatividyamandir.edu.in/contact-us/")</f>
        <v>https://lilawatividyamandir.edu.in/contact-us/</v>
      </c>
      <c r="I188" s="3" t="s">
        <v>286</v>
      </c>
      <c r="J188" s="3" t="str">
        <f>HYPERLINK("tel:+911120838442", "+911120838442")</f>
        <v>+911120838442</v>
      </c>
      <c r="K188" s="5" t="str">
        <f>HYPERLINK("mailto:lvm_sss@yahoo.co.in", "lvm_sss@yahoo.co.in")</f>
        <v>lvm_sss@yahoo.co.in</v>
      </c>
      <c r="L188" s="6" t="s">
        <v>1151</v>
      </c>
    </row>
    <row r="189" ht="15.75" customHeight="1">
      <c r="A189" s="3">
        <v>190.0</v>
      </c>
      <c r="B189" s="3" t="s">
        <v>1152</v>
      </c>
      <c r="C189" s="3" t="s">
        <v>1153</v>
      </c>
      <c r="D189" s="3" t="s">
        <v>1154</v>
      </c>
      <c r="E189" s="3" t="s">
        <v>1155</v>
      </c>
      <c r="F189" s="3" t="s">
        <v>1156</v>
      </c>
      <c r="G189" s="3" t="s">
        <v>100</v>
      </c>
      <c r="H189" s="4" t="str">
        <f>HYPERLINK("http://hansrajmodelschool.org/", "http://hansrajmodelschool.org/")</f>
        <v>http://hansrajmodelschool.org/</v>
      </c>
      <c r="J189" s="3" t="str">
        <f>HYPERLINK("tel:+911145911500", "+911145911500")</f>
        <v>+911145911500</v>
      </c>
      <c r="K189" s="5" t="str">
        <f>HYPERLINK("mailto:info@hansrajmodelschool.org", "info@hansrajmodelschool.org")</f>
        <v>info@hansrajmodelschool.org</v>
      </c>
      <c r="L189" s="6" t="s">
        <v>1157</v>
      </c>
    </row>
    <row r="190" ht="15.75" customHeight="1">
      <c r="A190" s="3">
        <v>191.0</v>
      </c>
      <c r="B190" s="3" t="s">
        <v>1158</v>
      </c>
      <c r="C190" s="3" t="s">
        <v>1159</v>
      </c>
      <c r="D190" s="3" t="s">
        <v>1160</v>
      </c>
      <c r="E190" s="3" t="s">
        <v>1161</v>
      </c>
      <c r="F190" s="3" t="s">
        <v>1162</v>
      </c>
      <c r="G190" s="3" t="s">
        <v>58</v>
      </c>
      <c r="H190" s="4" t="str">
        <f>HYPERLINK("https://schools.org.in/malappuram/32050500411/ghss-kunnakkavu.html", "https://schools.org.in/malappuram/32050500411/ghss-kunnakkavu.html")</f>
        <v>https://schools.org.in/malappuram/32050500411/ghss-kunnakkavu.html</v>
      </c>
      <c r="I190" s="3" t="s">
        <v>1163</v>
      </c>
      <c r="J190" s="3" t="str">
        <f>HYPERLINK("tel:+914712325106", "+914712325106")</f>
        <v>+914712325106</v>
      </c>
      <c r="K190" s="5" t="str">
        <f>HYPERLINK("mailto:dirdhse.dge@kerala.gov.in", "dirdhse.dge@kerala.gov.in")</f>
        <v>dirdhse.dge@kerala.gov.in</v>
      </c>
      <c r="L190" s="6" t="s">
        <v>1164</v>
      </c>
    </row>
    <row r="191" ht="15.75" customHeight="1">
      <c r="A191" s="3">
        <v>192.0</v>
      </c>
      <c r="B191" s="3" t="s">
        <v>1165</v>
      </c>
      <c r="C191" s="3" t="s">
        <v>1166</v>
      </c>
      <c r="D191" s="3" t="s">
        <v>1167</v>
      </c>
      <c r="E191" s="3" t="s">
        <v>1168</v>
      </c>
      <c r="F191" s="3" t="s">
        <v>1169</v>
      </c>
      <c r="G191" s="3" t="s">
        <v>38</v>
      </c>
      <c r="H191" s="4" t="str">
        <f>HYPERLINK("https://no1nashikcamp.kvs.ac.in/en/", "https://no1nashikcamp.kvs.ac.in/en/")</f>
        <v>https://no1nashikcamp.kvs.ac.in/en/</v>
      </c>
      <c r="I191" s="3" t="s">
        <v>625</v>
      </c>
      <c r="J191" s="3" t="str">
        <f>HYPERLINK("tel:+912532415429", "+912532415429")</f>
        <v>+912532415429</v>
      </c>
      <c r="K191" s="5" t="str">
        <f>HYPERLINK("mailto:nan", "nan")</f>
        <v>nan</v>
      </c>
      <c r="L191" s="6"/>
    </row>
    <row r="192" ht="15.75" customHeight="1">
      <c r="A192" s="3">
        <v>193.0</v>
      </c>
      <c r="B192" s="3" t="s">
        <v>1170</v>
      </c>
      <c r="C192" s="3" t="s">
        <v>1171</v>
      </c>
      <c r="D192" s="3" t="s">
        <v>1172</v>
      </c>
      <c r="E192" s="3" t="s">
        <v>1173</v>
      </c>
      <c r="F192" s="3" t="s">
        <v>1174</v>
      </c>
      <c r="G192" s="3" t="s">
        <v>17</v>
      </c>
      <c r="H192" s="4" t="str">
        <f>HYPERLINK("https://kikanicbse.kikanischools.org/", "https://kikanicbse.kikanischools.org/")</f>
        <v>https://kikanicbse.kikanischools.org/</v>
      </c>
      <c r="I192" s="3" t="s">
        <v>1175</v>
      </c>
      <c r="J192" s="3" t="str">
        <f>HYPERLINK("tel:+914222546180", "+914222546180")</f>
        <v>+914222546180</v>
      </c>
      <c r="K192" s="5" t="str">
        <f>HYPERLINK("mailto:kikaniglobalacademy@gmail.com", "kikaniglobalacademy@gmail.com")</f>
        <v>kikaniglobalacademy@gmail.com</v>
      </c>
      <c r="L192" s="6" t="s">
        <v>1176</v>
      </c>
    </row>
    <row r="193" ht="15.75" customHeight="1">
      <c r="A193" s="3">
        <v>194.0</v>
      </c>
      <c r="B193" s="3" t="s">
        <v>1177</v>
      </c>
      <c r="C193" s="3" t="s">
        <v>1178</v>
      </c>
      <c r="D193" s="3" t="s">
        <v>1179</v>
      </c>
      <c r="E193" s="3" t="s">
        <v>1180</v>
      </c>
      <c r="F193" s="3" t="s">
        <v>1181</v>
      </c>
      <c r="G193" s="3" t="s">
        <v>138</v>
      </c>
      <c r="H193" s="4" t="str">
        <f>HYPERLINK("https://kvsangathan.nic.in/en/", "https://kvsangathan.nic.in/en/")</f>
        <v>https://kvsangathan.nic.in/en/</v>
      </c>
      <c r="I193" s="3" t="s">
        <v>86</v>
      </c>
      <c r="J193" s="3" t="str">
        <f>HYPERLINK("tel:+911126858570", "+911126858570")</f>
        <v>+911126858570</v>
      </c>
      <c r="K193" s="5" t="str">
        <f>HYPERLINK("mailto:nan", "nan")</f>
        <v>nan</v>
      </c>
      <c r="L193" s="6" t="s">
        <v>1182</v>
      </c>
    </row>
    <row r="194" ht="15.75" customHeight="1">
      <c r="A194" s="3">
        <v>195.0</v>
      </c>
      <c r="B194" s="3" t="s">
        <v>1183</v>
      </c>
      <c r="C194" s="3" t="s">
        <v>1184</v>
      </c>
      <c r="D194" s="3" t="s">
        <v>1185</v>
      </c>
      <c r="E194" s="3" t="s">
        <v>1186</v>
      </c>
      <c r="F194" s="3" t="s">
        <v>1187</v>
      </c>
      <c r="G194" s="3" t="s">
        <v>1188</v>
      </c>
      <c r="H194" s="4" t="str">
        <f>HYPERLINK("https://serchhip.nic.in/public-utility/h-t-high-school-chhuanthar-lumpsum/", "https://serchhip.nic.in/public-utility/h-t-high-school-chhuanthar-lumpsum/")</f>
        <v>https://serchhip.nic.in/public-utility/h-t-high-school-chhuanthar-lumpsum/</v>
      </c>
      <c r="I194" s="3" t="s">
        <v>1189</v>
      </c>
      <c r="J194" s="3" t="str">
        <f>HYPERLINK("tel:+918974433476", "+918974433476")</f>
        <v>+918974433476</v>
      </c>
      <c r="K194" s="5" t="str">
        <f>HYPERLINK("mailto:mbseoffice@gmail.com", "mbseoffice@gmail.com")</f>
        <v>mbseoffice@gmail.com</v>
      </c>
      <c r="L194" s="6" t="s">
        <v>1190</v>
      </c>
    </row>
    <row r="195" ht="15.75" customHeight="1">
      <c r="A195" s="3">
        <v>196.0</v>
      </c>
      <c r="B195" s="3" t="s">
        <v>1191</v>
      </c>
      <c r="C195" s="3" t="s">
        <v>1192</v>
      </c>
      <c r="D195" s="3" t="s">
        <v>1193</v>
      </c>
      <c r="E195" s="3" t="s">
        <v>1194</v>
      </c>
      <c r="F195" s="3" t="s">
        <v>1195</v>
      </c>
      <c r="G195" s="3" t="s">
        <v>1196</v>
      </c>
      <c r="H195" s="4" t="str">
        <f>HYPERLINK("https://pvmagtonline.in/", "https://pvmagtonline.in/")</f>
        <v>https://pvmagtonline.in/</v>
      </c>
      <c r="J195" s="3" t="str">
        <f>HYPERLINK("tel:+919831890600", "+919831890600")</f>
        <v>+919831890600</v>
      </c>
      <c r="K195" s="5" t="str">
        <f>HYPERLINK("mailto:satya2mahapatra@gmail.com", "satya2mahapatra@gmail.com")</f>
        <v>satya2mahapatra@gmail.com</v>
      </c>
      <c r="L195" s="6"/>
    </row>
    <row r="196" ht="15.75" customHeight="1">
      <c r="A196" s="3">
        <v>197.0</v>
      </c>
      <c r="B196" s="3" t="s">
        <v>1197</v>
      </c>
      <c r="C196" s="3" t="s">
        <v>1047</v>
      </c>
      <c r="D196" s="3" t="s">
        <v>1198</v>
      </c>
      <c r="E196" s="3" t="s">
        <v>1199</v>
      </c>
      <c r="F196" s="3" t="s">
        <v>1050</v>
      </c>
      <c r="G196" s="3" t="s">
        <v>272</v>
      </c>
      <c r="H196" s="4" t="str">
        <f>HYPERLINK("https://swreis.ap.gov.in/", "https://swreis.ap.gov.in/")</f>
        <v>https://swreis.ap.gov.in/</v>
      </c>
      <c r="I196" s="3" t="s">
        <v>1200</v>
      </c>
      <c r="J196" s="3" t="str">
        <f>HYPERLINK("tel:nan", "nan")</f>
        <v>nan</v>
      </c>
      <c r="K196" s="5" t="str">
        <f>HYPERLINK("mailto:info@careers360.com", "info@careers360.com")</f>
        <v>info@careers360.com</v>
      </c>
      <c r="L196" s="6" t="s">
        <v>1201</v>
      </c>
    </row>
    <row r="197" ht="15.75" customHeight="1">
      <c r="A197" s="3">
        <v>198.0</v>
      </c>
      <c r="B197" s="3" t="s">
        <v>1202</v>
      </c>
      <c r="C197" s="3" t="s">
        <v>1203</v>
      </c>
      <c r="D197" s="3" t="s">
        <v>1204</v>
      </c>
      <c r="E197" s="3" t="s">
        <v>1205</v>
      </c>
      <c r="F197" s="3" t="s">
        <v>1206</v>
      </c>
      <c r="G197" s="3" t="s">
        <v>272</v>
      </c>
      <c r="H197" s="4" t="str">
        <f>HYPERLINK("https://zpananthapuramu.ap.gov.in/ZPHighSchool.html", "https://zpananthapuramu.ap.gov.in/ZPHighSchool.html")</f>
        <v>https://zpananthapuramu.ap.gov.in/ZPHighSchool.html</v>
      </c>
      <c r="I197" s="3" t="s">
        <v>1207</v>
      </c>
      <c r="J197" s="3" t="str">
        <f>HYPERLINK("tel:+918554274312", "+918554274312")</f>
        <v>+918554274312</v>
      </c>
      <c r="K197" s="5" t="str">
        <f>HYPERLINK("mailto:nan", "nan")</f>
        <v>nan</v>
      </c>
      <c r="L197" s="6" t="s">
        <v>1208</v>
      </c>
    </row>
    <row r="198" ht="15.75" customHeight="1">
      <c r="A198" s="3">
        <v>199.0</v>
      </c>
      <c r="B198" s="3" t="s">
        <v>1209</v>
      </c>
      <c r="C198" s="3" t="s">
        <v>530</v>
      </c>
      <c r="D198" s="3" t="s">
        <v>1210</v>
      </c>
      <c r="E198" s="3" t="s">
        <v>1211</v>
      </c>
      <c r="F198" s="3" t="s">
        <v>533</v>
      </c>
      <c r="G198" s="3" t="s">
        <v>229</v>
      </c>
      <c r="H198" s="4" t="str">
        <f>HYPERLINK("https://rksva.org/", "https://rksva.org/")</f>
        <v>https://rksva.org/</v>
      </c>
      <c r="I198" s="3" t="s">
        <v>534</v>
      </c>
      <c r="J198" s="3" t="str">
        <f>HYPERLINK("tel:+916267020803", "+916267020803")</f>
        <v>+916267020803</v>
      </c>
      <c r="K198" s="5" t="str">
        <f>HYPERLINK("mailto:admin@arksva.org", "admin@arksva.org")</f>
        <v>admin@arksva.org</v>
      </c>
      <c r="L198" s="6" t="s">
        <v>535</v>
      </c>
    </row>
    <row r="199" ht="15.75" customHeight="1">
      <c r="A199" s="3">
        <v>200.0</v>
      </c>
      <c r="B199" s="3" t="s">
        <v>1212</v>
      </c>
      <c r="C199" s="3" t="s">
        <v>1213</v>
      </c>
      <c r="D199" s="3" t="s">
        <v>1214</v>
      </c>
      <c r="E199" s="3" t="s">
        <v>1215</v>
      </c>
      <c r="F199" s="3" t="s">
        <v>1216</v>
      </c>
      <c r="G199" s="3" t="s">
        <v>100</v>
      </c>
      <c r="H199" s="4" t="str">
        <f>HYPERLINK("https://www.ngfsalaknanda.com/", "https://www.ngfsalaknanda.com/")</f>
        <v>https://www.ngfsalaknanda.com/</v>
      </c>
      <c r="J199" s="3" t="str">
        <f>HYPERLINK("tel:+911126023421", "+911126023421")</f>
        <v>+911126023421</v>
      </c>
      <c r="K199" s="5" t="str">
        <f>HYPERLINK("mailto:alaknanda_ngfs@rediffmail.com", "alaknanda_ngfs@rediffmail.com")</f>
        <v>alaknanda_ngfs@rediffmail.com</v>
      </c>
      <c r="L199" s="6" t="s">
        <v>1217</v>
      </c>
    </row>
    <row r="200" ht="15.75" customHeight="1">
      <c r="A200" s="3">
        <v>201.0</v>
      </c>
      <c r="B200" s="3" t="s">
        <v>1218</v>
      </c>
      <c r="C200" s="3" t="s">
        <v>1219</v>
      </c>
      <c r="D200" s="3" t="s">
        <v>1220</v>
      </c>
      <c r="E200" s="3" t="s">
        <v>1221</v>
      </c>
      <c r="F200" s="3" t="s">
        <v>1222</v>
      </c>
      <c r="G200" s="3" t="s">
        <v>58</v>
      </c>
      <c r="H200" s="4" t="str">
        <f>HYPERLINK("https://mgmschool.com/", "https://mgmschool.com/")</f>
        <v>https://mgmschool.com/</v>
      </c>
      <c r="J200" s="3" t="str">
        <f>HYPERLINK("tel:+917909211124", "+917909211124")</f>
        <v>+917909211124</v>
      </c>
      <c r="K200" s="5" t="str">
        <f>HYPERLINK("mailto:info@mgmedugroup.com", "info@mgmedugroup.com")</f>
        <v>info@mgmedugroup.com</v>
      </c>
      <c r="L200" s="6" t="s">
        <v>1223</v>
      </c>
    </row>
    <row r="201" ht="15.75" customHeight="1">
      <c r="A201" s="3">
        <v>202.0</v>
      </c>
      <c r="B201" s="3" t="s">
        <v>1224</v>
      </c>
      <c r="C201" s="3" t="s">
        <v>1225</v>
      </c>
      <c r="D201" s="3" t="s">
        <v>1226</v>
      </c>
      <c r="E201" s="3" t="s">
        <v>1227</v>
      </c>
      <c r="F201" s="3" t="s">
        <v>1228</v>
      </c>
      <c r="G201" s="3" t="s">
        <v>356</v>
      </c>
      <c r="H201" s="4" t="str">
        <f>HYPERLINK("http://davkng.org.in/", "http://davkng.org.in/")</f>
        <v>http://davkng.org.in/</v>
      </c>
      <c r="J201" s="3" t="str">
        <f>HYPERLINK("tel:+916742386185", "+916742386185")</f>
        <v>+916742386185</v>
      </c>
      <c r="K201" s="5" t="str">
        <f>HYPERLINK("mailto:davkng09@gmail.com", "davkng09@gmail.com")</f>
        <v>davkng09@gmail.com</v>
      </c>
      <c r="L201" s="6" t="s">
        <v>1229</v>
      </c>
    </row>
    <row r="202" ht="15.75" customHeight="1">
      <c r="A202" s="3">
        <v>203.0</v>
      </c>
      <c r="B202" s="3" t="s">
        <v>1230</v>
      </c>
      <c r="C202" s="3" t="s">
        <v>1231</v>
      </c>
      <c r="D202" s="3" t="s">
        <v>1232</v>
      </c>
      <c r="E202" s="3" t="s">
        <v>1233</v>
      </c>
      <c r="F202" s="3" t="s">
        <v>1234</v>
      </c>
      <c r="G202" s="3" t="s">
        <v>17</v>
      </c>
      <c r="H202" s="4" t="str">
        <f>HYPERLINK("https://schools.org.in/thoothukkudi/33281005501/ghs-vedanatham.html", "https://schools.org.in/thoothukkudi/33281005501/ghs-vedanatham.html")</f>
        <v>https://schools.org.in/thoothukkudi/33281005501/ghs-vedanatham.html</v>
      </c>
      <c r="I202" s="3" t="s">
        <v>1235</v>
      </c>
      <c r="J202" s="3" t="str">
        <f>HYPERLINK("tel:nan", "nan")</f>
        <v>nan</v>
      </c>
      <c r="K202" s="5" t="str">
        <f>HYPERLINK("mailto:nan", "nan")</f>
        <v>nan</v>
      </c>
      <c r="L202" s="6" t="s">
        <v>1236</v>
      </c>
    </row>
    <row r="203" ht="15.75" customHeight="1">
      <c r="A203" s="3">
        <v>204.0</v>
      </c>
      <c r="B203" s="3" t="s">
        <v>1237</v>
      </c>
      <c r="C203" s="3" t="s">
        <v>1238</v>
      </c>
      <c r="D203" s="3" t="s">
        <v>1239</v>
      </c>
      <c r="E203" s="3" t="s">
        <v>1240</v>
      </c>
      <c r="F203" s="3" t="s">
        <v>1241</v>
      </c>
      <c r="G203" s="3" t="s">
        <v>17</v>
      </c>
      <c r="H203" s="4" t="str">
        <f>HYPERLINK("https://stmarysaihss.com/", "https://stmarysaihss.com/")</f>
        <v>https://stmarysaihss.com/</v>
      </c>
      <c r="J203" s="3" t="str">
        <f>HYPERLINK("tel:+914425382152", "+914425382152")</f>
        <v>+914425382152</v>
      </c>
      <c r="K203" s="5" t="str">
        <f>HYPERLINK("mailto:stmarys.aihss@gmail.com", "stmarys.aihss@gmail.com")</f>
        <v>stmarys.aihss@gmail.com</v>
      </c>
      <c r="L203" s="6" t="s">
        <v>1242</v>
      </c>
    </row>
    <row r="204" ht="15.75" customHeight="1">
      <c r="A204" s="3">
        <v>205.0</v>
      </c>
      <c r="B204" s="3" t="s">
        <v>1243</v>
      </c>
      <c r="C204" s="3" t="s">
        <v>1244</v>
      </c>
      <c r="D204" s="3" t="s">
        <v>1245</v>
      </c>
      <c r="E204" s="3" t="s">
        <v>651</v>
      </c>
      <c r="F204" s="3" t="s">
        <v>1246</v>
      </c>
      <c r="G204" s="3" t="s">
        <v>17</v>
      </c>
      <c r="H204" s="4" t="str">
        <f>HYPERLINK("https://www.justdial.com/Perambalur/Moulana-Higher-Secondary-School-Super-Nagar-Super-Nagar/9999P4328-4328-210527170959-Y8G2_BZDET", "https://www.justdial.com/Perambalur/Moulana-Higher-Secondary-School-Super-Nagar-Super-Nagar/9999P4328-4328-210527170959-Y8G2_BZDET")</f>
        <v>https://www.justdial.com/Perambalur/Moulana-Higher-Secondary-School-Super-Nagar-Super-Nagar/9999P4328-4328-210527170959-Y8G2_BZDET</v>
      </c>
      <c r="I204" s="3" t="s">
        <v>1247</v>
      </c>
      <c r="J204" s="3" t="str">
        <f>HYPERLINK("tel:+911304184787", "+911304184787")</f>
        <v>+911304184787</v>
      </c>
      <c r="K204" s="5" t="str">
        <f t="shared" ref="K204:K206" si="14">HYPERLINK("mailto:nan", "nan")</f>
        <v>nan</v>
      </c>
      <c r="L204" s="6" t="s">
        <v>1248</v>
      </c>
    </row>
    <row r="205" ht="15.75" customHeight="1">
      <c r="A205" s="3">
        <v>206.0</v>
      </c>
      <c r="B205" s="3" t="s">
        <v>1249</v>
      </c>
      <c r="C205" s="3" t="s">
        <v>1250</v>
      </c>
      <c r="D205" s="3" t="s">
        <v>1251</v>
      </c>
      <c r="E205" s="3" t="s">
        <v>1252</v>
      </c>
      <c r="F205" s="3" t="s">
        <v>1253</v>
      </c>
      <c r="G205" s="3" t="s">
        <v>138</v>
      </c>
      <c r="H205" s="4" t="str">
        <f>HYPERLINK("https://no1gorakhpur.kvs.ac.in/en/", "https://no1gorakhpur.kvs.ac.in/en/")</f>
        <v>https://no1gorakhpur.kvs.ac.in/en/</v>
      </c>
      <c r="I205" s="3" t="s">
        <v>625</v>
      </c>
      <c r="J205" s="3" t="str">
        <f>HYPERLINK("tel:+915512273694", "+915512273694")</f>
        <v>+915512273694</v>
      </c>
      <c r="K205" s="5" t="str">
        <f t="shared" si="14"/>
        <v>nan</v>
      </c>
      <c r="L205" s="6" t="s">
        <v>1254</v>
      </c>
    </row>
    <row r="206" ht="15.75" customHeight="1">
      <c r="A206" s="3">
        <v>207.0</v>
      </c>
      <c r="B206" s="3" t="s">
        <v>1255</v>
      </c>
      <c r="C206" s="3" t="s">
        <v>1256</v>
      </c>
      <c r="D206" s="3" t="s">
        <v>1257</v>
      </c>
      <c r="E206" s="3" t="s">
        <v>1258</v>
      </c>
      <c r="F206" s="3" t="s">
        <v>1259</v>
      </c>
      <c r="G206" s="3" t="s">
        <v>17</v>
      </c>
      <c r="H206" s="4" t="str">
        <f>HYPERLINK("https://dipr.tn.gov.in/ords/r/dipr/info-prdept103/press-release1?p33_file_id=15324&amp;request=APPLICATION_PROCESS%3DGET_FILE&amp;session=204230482371883&amp;cs=1r8p38FbCYU4Fbcb8rAapM-8R4XpvBCxnAndyjr2Xls5xPt0rkFOh5Z0tSXJJdSWroT_LsMfYlyvBUYqeo7VnRQ", "https://dipr.tn.gov.in/ords/r/dipr/info-prdept103/press-release1?p33_file_id=15324&amp;request=APPLICATION_PROCESS%3DGET_FILE&amp;session=204230482371883&amp;cs=1r8p38FbCYU4Fbcb8rAapM-8R4XpvBCxnAndyjr2Xls5xPt0rkFOh5Z0tSXJJdSWroT_LsMfYlyvBUYqeo7VnRQ")</f>
        <v>https://dipr.tn.gov.in/ords/r/dipr/info-prdept103/press-release1?p33_file_id=15324&amp;request=APPLICATION_PROCESS%3DGET_FILE&amp;session=204230482371883&amp;cs=1r8p38FbCYU4Fbcb8rAapM-8R4XpvBCxnAndyjr2Xls5xPt0rkFOh5Z0tSXJJdSWroT_LsMfYlyvBUYqeo7VnRQ</v>
      </c>
      <c r="J206" s="3" t="str">
        <f>HYPERLINK("tel:nan", "nan")</f>
        <v>nan</v>
      </c>
      <c r="K206" s="5" t="str">
        <f t="shared" si="14"/>
        <v>nan</v>
      </c>
      <c r="L206" s="6"/>
    </row>
    <row r="207" ht="15.75" customHeight="1">
      <c r="A207" s="3">
        <v>208.0</v>
      </c>
      <c r="B207" s="3" t="s">
        <v>1260</v>
      </c>
      <c r="C207" s="3" t="s">
        <v>1261</v>
      </c>
      <c r="D207" s="3" t="s">
        <v>1262</v>
      </c>
      <c r="E207" s="3" t="s">
        <v>1263</v>
      </c>
      <c r="F207" s="3" t="s">
        <v>1264</v>
      </c>
      <c r="G207" s="3" t="s">
        <v>31</v>
      </c>
      <c r="H207" s="4" t="str">
        <f>HYPERLINK("https://svstems.edu.in/", "https://svstems.edu.in/")</f>
        <v>https://svstems.edu.in/</v>
      </c>
      <c r="I207" s="3" t="s">
        <v>1265</v>
      </c>
      <c r="J207" s="3" t="str">
        <f>HYPERLINK("tel:+919482423844", "+919482423844")</f>
        <v>+919482423844</v>
      </c>
      <c r="K207" s="5" t="str">
        <f>HYPERLINK("mailto:admissions@svstems.edu.in", "admissions@svstems.edu.in")</f>
        <v>admissions@svstems.edu.in</v>
      </c>
      <c r="L207" s="6" t="s">
        <v>1266</v>
      </c>
    </row>
    <row r="208" ht="15.75" customHeight="1">
      <c r="A208" s="3">
        <v>209.0</v>
      </c>
      <c r="B208" s="3" t="s">
        <v>1267</v>
      </c>
      <c r="C208" s="3" t="s">
        <v>1268</v>
      </c>
      <c r="D208" s="3" t="s">
        <v>1269</v>
      </c>
      <c r="E208" s="3" t="s">
        <v>1270</v>
      </c>
      <c r="F208" s="3" t="s">
        <v>1271</v>
      </c>
      <c r="G208" s="3" t="s">
        <v>58</v>
      </c>
      <c r="H208" s="4" t="str">
        <f>HYPERLINK("https://www.bhavans.info/about-bhavan/institution-details.php?name=Kozhikode&amp;dept_id=117", "https://www.bhavans.info/about-bhavan/institution-details.php?name=Kozhikode&amp;dept_id=117")</f>
        <v>https://www.bhavans.info/about-bhavan/institution-details.php?name=Kozhikode&amp;dept_id=117</v>
      </c>
      <c r="J208" s="3" t="str">
        <f>HYPERLINK("tel:+914952354043", "+914952354043")</f>
        <v>+914952354043</v>
      </c>
      <c r="K208" s="5" t="str">
        <f>HYPERLINK("mailto:bvbchevayur@yahoo.com", "bvbchevayur@yahoo.com")</f>
        <v>bvbchevayur@yahoo.com</v>
      </c>
      <c r="L208" s="6"/>
    </row>
    <row r="209" ht="15.75" customHeight="1">
      <c r="A209" s="3">
        <v>210.0</v>
      </c>
      <c r="B209" s="3" t="s">
        <v>1272</v>
      </c>
      <c r="C209" s="3" t="s">
        <v>1273</v>
      </c>
      <c r="D209" s="3" t="s">
        <v>1274</v>
      </c>
      <c r="E209" s="3" t="s">
        <v>1275</v>
      </c>
      <c r="F209" s="3" t="s">
        <v>1276</v>
      </c>
      <c r="G209" s="3" t="s">
        <v>17</v>
      </c>
      <c r="H209" s="4" t="str">
        <f>HYPERLINK("https://schools.org.in/viluppuram/33070502702/government-higher-secondary-school-pathirapuliyur.html", "https://schools.org.in/viluppuram/33070502702/government-higher-secondary-school-pathirapuliyur.html")</f>
        <v>https://schools.org.in/viluppuram/33070502702/government-higher-secondary-school-pathirapuliyur.html</v>
      </c>
      <c r="I209" s="3" t="s">
        <v>286</v>
      </c>
      <c r="J209" s="3" t="str">
        <f>HYPERLINK("tel:+914352944333", "+914352944333")</f>
        <v>+914352944333</v>
      </c>
      <c r="K209" s="5" t="str">
        <f>HYPERLINK("mailto:nan", "nan")</f>
        <v>nan</v>
      </c>
      <c r="L209" s="6" t="s">
        <v>1277</v>
      </c>
    </row>
    <row r="210" ht="15.75" customHeight="1">
      <c r="A210" s="3">
        <v>211.0</v>
      </c>
      <c r="B210" s="3" t="s">
        <v>1278</v>
      </c>
      <c r="C210" s="3" t="s">
        <v>1118</v>
      </c>
      <c r="D210" s="3" t="s">
        <v>1279</v>
      </c>
      <c r="E210" s="3" t="s">
        <v>1280</v>
      </c>
      <c r="F210" s="3" t="s">
        <v>1121</v>
      </c>
      <c r="G210" s="3" t="s">
        <v>130</v>
      </c>
      <c r="H210" s="4" t="str">
        <f>HYPERLINK("https://www.dpsnacharam.in/", "https://www.dpsnacharam.in/")</f>
        <v>https://www.dpsnacharam.in/</v>
      </c>
      <c r="I210" s="3" t="s">
        <v>1122</v>
      </c>
      <c r="J210" s="3" t="str">
        <f>HYPERLINK("tel:+917670900348", "+917670900348")</f>
        <v>+917670900348</v>
      </c>
      <c r="K210" s="5" t="str">
        <f>HYPERLINK("mailto:admission@dpssecunderabad.in", "admission@dpssecunderabad.in")</f>
        <v>admission@dpssecunderabad.in</v>
      </c>
      <c r="L210" s="6" t="s">
        <v>1123</v>
      </c>
    </row>
    <row r="211" ht="15.75" customHeight="1">
      <c r="A211" s="3">
        <v>212.0</v>
      </c>
      <c r="B211" s="3" t="s">
        <v>1281</v>
      </c>
      <c r="C211" s="3" t="s">
        <v>1282</v>
      </c>
      <c r="D211" s="3" t="s">
        <v>1283</v>
      </c>
      <c r="E211" s="3" t="s">
        <v>1284</v>
      </c>
      <c r="F211" s="3" t="s">
        <v>1285</v>
      </c>
      <c r="G211" s="3" t="s">
        <v>130</v>
      </c>
      <c r="H211" s="4" t="str">
        <f>HYPERLINK("https://medak.telangana.gov.in/public-utility/zphs-banjara-nagar/", "https://medak.telangana.gov.in/public-utility/zphs-banjara-nagar/")</f>
        <v>https://medak.telangana.gov.in/public-utility/zphs-banjara-nagar/</v>
      </c>
      <c r="I211" s="3" t="s">
        <v>1286</v>
      </c>
      <c r="J211" s="3" t="str">
        <f>HYPERLINK("tel:+919908599180", "+919908599180")</f>
        <v>+919908599180</v>
      </c>
      <c r="K211" s="5" t="str">
        <f>HYPERLINK("mailto:gadeprabhakar@gmail.com", "gadeprabhakar@gmail.com")</f>
        <v>gadeprabhakar@gmail.com</v>
      </c>
      <c r="L211" s="6" t="s">
        <v>1287</v>
      </c>
    </row>
    <row r="212" ht="15.75" customHeight="1">
      <c r="A212" s="3">
        <v>213.0</v>
      </c>
      <c r="B212" s="3" t="s">
        <v>1288</v>
      </c>
      <c r="C212" s="3" t="s">
        <v>1289</v>
      </c>
      <c r="D212" s="3" t="s">
        <v>1290</v>
      </c>
      <c r="E212" s="3" t="s">
        <v>1291</v>
      </c>
      <c r="F212" s="3" t="s">
        <v>1292</v>
      </c>
      <c r="G212" s="3" t="s">
        <v>130</v>
      </c>
      <c r="H212" s="4" t="str">
        <f>HYPERLINK("https://medak.telangana.gov.in/public-utility/tsms-regode/", "https://medak.telangana.gov.in/public-utility/tsms-regode/")</f>
        <v>https://medak.telangana.gov.in/public-utility/tsms-regode/</v>
      </c>
      <c r="I212" s="3" t="s">
        <v>1293</v>
      </c>
      <c r="J212" s="3" t="str">
        <f>HYPERLINK("tel:+919989950011", "+919989950011")</f>
        <v>+919989950011</v>
      </c>
      <c r="K212" s="5" t="str">
        <f>HYPERLINK("mailto:nan", "nan")</f>
        <v>nan</v>
      </c>
      <c r="L212" s="6" t="s">
        <v>1294</v>
      </c>
    </row>
    <row r="213" ht="15.75" customHeight="1">
      <c r="A213" s="3">
        <v>214.0</v>
      </c>
      <c r="B213" s="3" t="s">
        <v>1295</v>
      </c>
      <c r="C213" s="3" t="s">
        <v>1296</v>
      </c>
      <c r="D213" s="3" t="s">
        <v>1297</v>
      </c>
      <c r="E213" s="3" t="s">
        <v>1298</v>
      </c>
      <c r="F213" s="3" t="s">
        <v>1299</v>
      </c>
      <c r="G213" s="3" t="s">
        <v>138</v>
      </c>
      <c r="H213" s="4" t="str">
        <f>HYPERLINK("https://www.ipsindirapuramncr.com/", "https://www.ipsindirapuramncr.com/")</f>
        <v>https://www.ipsindirapuramncr.com/</v>
      </c>
      <c r="J213" s="3" t="str">
        <f>HYPERLINK("tel:+911202607103", "+911202607103")</f>
        <v>+911202607103</v>
      </c>
      <c r="K213" s="5" t="str">
        <f>HYPERLINK("mailto:admissions.ipsindirapuram@gmail.com", "admissions.ipsindirapuram@gmail.com")</f>
        <v>admissions.ipsindirapuram@gmail.com</v>
      </c>
      <c r="L213" s="6" t="s">
        <v>1300</v>
      </c>
    </row>
    <row r="214" ht="15.75" customHeight="1">
      <c r="A214" s="3">
        <v>215.0</v>
      </c>
      <c r="B214" s="3" t="s">
        <v>1301</v>
      </c>
      <c r="C214" s="3" t="s">
        <v>1302</v>
      </c>
      <c r="D214" s="3" t="s">
        <v>1303</v>
      </c>
      <c r="E214" s="3" t="s">
        <v>1304</v>
      </c>
      <c r="F214" s="3" t="s">
        <v>1305</v>
      </c>
      <c r="G214" s="3" t="s">
        <v>272</v>
      </c>
      <c r="H214" s="4" t="str">
        <f>HYPERLINK("https://www.justdial.com/Kadapa/Apmdc-Public-School-Mangampet/9999P8562-8562-170921112237-K9W7_BZDET", "https://www.justdial.com/Kadapa/Apmdc-Public-School-Mangampet/9999P8562-8562-170921112237-K9W7_BZDET")</f>
        <v>https://www.justdial.com/Kadapa/Apmdc-Public-School-Mangampet/9999P8562-8562-170921112237-K9W7_BZDET</v>
      </c>
      <c r="J214" s="3" t="str">
        <f>HYPERLINK("tel:+918662429999", "+918662429999")</f>
        <v>+918662429999</v>
      </c>
      <c r="K214" s="5" t="str">
        <f>HYPERLINK("mailto:info-ho@apmdc.in", "info-ho@apmdc.in")</f>
        <v>info-ho@apmdc.in</v>
      </c>
      <c r="L214" s="6"/>
    </row>
    <row r="215" ht="15.75" customHeight="1">
      <c r="A215" s="3">
        <v>216.0</v>
      </c>
      <c r="B215" s="3" t="s">
        <v>1306</v>
      </c>
      <c r="C215" s="3" t="s">
        <v>1307</v>
      </c>
      <c r="D215" s="3" t="s">
        <v>1308</v>
      </c>
      <c r="E215" s="3" t="s">
        <v>1309</v>
      </c>
      <c r="F215" s="3" t="s">
        <v>1310</v>
      </c>
      <c r="G215" s="3" t="s">
        <v>100</v>
      </c>
      <c r="H215" s="4" t="str">
        <f>HYPERLINK("https://www.mountabuschool.com/", "https://www.mountabuschool.com/")</f>
        <v>https://www.mountabuschool.com/</v>
      </c>
      <c r="J215" s="3" t="str">
        <f>HYPERLINK("tel:+911127041516", "+911127041516")</f>
        <v>+911127041516</v>
      </c>
      <c r="K215" s="5" t="str">
        <f>HYPERLINK("mailto:info@mountabuschool.com", "info@mountabuschool.com")</f>
        <v>info@mountabuschool.com</v>
      </c>
      <c r="L215" s="6" t="s">
        <v>1311</v>
      </c>
    </row>
    <row r="216" ht="15.75" customHeight="1">
      <c r="A216" s="3">
        <v>217.0</v>
      </c>
      <c r="B216" s="3" t="s">
        <v>1312</v>
      </c>
      <c r="C216" s="3" t="s">
        <v>1313</v>
      </c>
      <c r="D216" s="3" t="s">
        <v>1314</v>
      </c>
      <c r="E216" s="3" t="s">
        <v>1315</v>
      </c>
      <c r="F216" s="3" t="s">
        <v>1316</v>
      </c>
      <c r="G216" s="3" t="s">
        <v>175</v>
      </c>
      <c r="H216" s="4" t="str">
        <f>HYPERLINK("https://danteshwareng.barodahighschool.com/", "https://danteshwareng.barodahighschool.com/")</f>
        <v>https://danteshwareng.barodahighschool.com/</v>
      </c>
      <c r="J216" s="3" t="str">
        <f>HYPERLINK("tel:+919016962440", "+919016962440")</f>
        <v>+919016962440</v>
      </c>
      <c r="K216" s="5" t="str">
        <f>HYPERLINK("mailto:office.bhsde@bhs.edu.in", "office.bhsde@bhs.edu.in")</f>
        <v>office.bhsde@bhs.edu.in</v>
      </c>
      <c r="L216" s="6"/>
    </row>
    <row r="217" ht="15.75" customHeight="1">
      <c r="A217" s="3">
        <v>218.0</v>
      </c>
      <c r="B217" s="3" t="s">
        <v>1317</v>
      </c>
      <c r="C217" s="3" t="s">
        <v>1318</v>
      </c>
      <c r="D217" s="3" t="s">
        <v>1319</v>
      </c>
      <c r="E217" s="3" t="s">
        <v>1320</v>
      </c>
      <c r="F217" s="3" t="s">
        <v>1321</v>
      </c>
      <c r="G217" s="3" t="s">
        <v>24</v>
      </c>
      <c r="H217" s="4" t="str">
        <f>HYPERLINK("https://dav14faridabad.ac.in/", "https://dav14faridabad.ac.in/")</f>
        <v>https://dav14faridabad.ac.in/</v>
      </c>
      <c r="I217" s="3" t="s">
        <v>1322</v>
      </c>
      <c r="J217" s="3" t="str">
        <f>HYPERLINK("tel:+911292283335", "+911292283335")</f>
        <v>+911292283335</v>
      </c>
      <c r="K217" s="5" t="str">
        <f>HYPERLINK("mailto:davnh3fbd@gmail.com", "davnh3fbd@gmail.com")</f>
        <v>davnh3fbd@gmail.com</v>
      </c>
      <c r="L217" s="6" t="s">
        <v>1323</v>
      </c>
    </row>
    <row r="218" ht="15.75" customHeight="1">
      <c r="A218" s="3">
        <v>219.0</v>
      </c>
      <c r="B218" s="3" t="s">
        <v>1324</v>
      </c>
      <c r="C218" s="3" t="s">
        <v>506</v>
      </c>
      <c r="D218" s="3" t="s">
        <v>1325</v>
      </c>
      <c r="E218" s="3" t="s">
        <v>1326</v>
      </c>
      <c r="F218" s="3" t="s">
        <v>509</v>
      </c>
      <c r="G218" s="3" t="s">
        <v>24</v>
      </c>
      <c r="H218" s="4" t="str">
        <f>HYPERLINK("https://www.dpsgurgaon.org/", "https://www.dpsgurgaon.org/")</f>
        <v>https://www.dpsgurgaon.org/</v>
      </c>
      <c r="I218" s="3" t="s">
        <v>510</v>
      </c>
      <c r="J218" s="3" t="str">
        <f>HYPERLINK("tel:+918130314455", "+918130314455")</f>
        <v>+918130314455</v>
      </c>
      <c r="K218" s="5" t="str">
        <f>HYPERLINK("mailto:principal@dpsgurgaon.org", "principal@dpsgurgaon.org")</f>
        <v>principal@dpsgurgaon.org</v>
      </c>
      <c r="L218" s="6" t="s">
        <v>511</v>
      </c>
    </row>
    <row r="219" ht="15.75" customHeight="1">
      <c r="A219" s="3">
        <v>220.0</v>
      </c>
      <c r="B219" s="3" t="s">
        <v>1327</v>
      </c>
      <c r="C219" s="3" t="s">
        <v>147</v>
      </c>
      <c r="D219" s="3" t="s">
        <v>1328</v>
      </c>
      <c r="E219" s="3" t="s">
        <v>1329</v>
      </c>
      <c r="F219" s="3" t="s">
        <v>150</v>
      </c>
      <c r="G219" s="3" t="s">
        <v>24</v>
      </c>
      <c r="H219" s="4" t="str">
        <f>HYPERLINK("https://amityschools.in/gurugram46/", "https://amityschools.in/gurugram46/")</f>
        <v>https://amityschools.in/gurugram46/</v>
      </c>
      <c r="J219" s="3" t="str">
        <f>HYPERLINK("tel:+919810024354", "+919810024354")</f>
        <v>+919810024354</v>
      </c>
      <c r="K219" s="5" t="str">
        <f>HYPERLINK("mailto:aisg46@amity.edu", "aisg46@amity.edu")</f>
        <v>aisg46@amity.edu</v>
      </c>
      <c r="L219" s="6" t="s">
        <v>151</v>
      </c>
    </row>
    <row r="220" ht="15.75" customHeight="1">
      <c r="A220" s="3">
        <v>221.0</v>
      </c>
      <c r="B220" s="3" t="s">
        <v>1330</v>
      </c>
      <c r="C220" s="3" t="s">
        <v>1331</v>
      </c>
      <c r="D220" s="3" t="s">
        <v>1332</v>
      </c>
      <c r="E220" s="3" t="s">
        <v>1333</v>
      </c>
      <c r="F220" s="3" t="s">
        <v>1334</v>
      </c>
      <c r="G220" s="3" t="s">
        <v>182</v>
      </c>
      <c r="H220" s="4" t="str">
        <f>HYPERLINK("https://oxfordpresentationschool.com/", "https://oxfordpresentationschool.com/")</f>
        <v>https://oxfordpresentationschool.com/</v>
      </c>
      <c r="J220" s="3" t="str">
        <f>HYPERLINK("tel:+911932225379", "+911932225379")</f>
        <v>+911932225379</v>
      </c>
      <c r="K220" s="5" t="str">
        <f t="shared" ref="K220:K222" si="15">HYPERLINK("mailto:nan", "nan")</f>
        <v>nan</v>
      </c>
      <c r="L220" s="6"/>
    </row>
    <row r="221" ht="15.75" customHeight="1">
      <c r="A221" s="3">
        <v>222.0</v>
      </c>
      <c r="B221" s="3" t="s">
        <v>1335</v>
      </c>
      <c r="C221" s="3" t="s">
        <v>1336</v>
      </c>
      <c r="D221" s="3" t="s">
        <v>1337</v>
      </c>
      <c r="E221" s="3" t="s">
        <v>1338</v>
      </c>
      <c r="F221" s="3" t="s">
        <v>1339</v>
      </c>
      <c r="G221" s="3" t="s">
        <v>58</v>
      </c>
      <c r="H221" s="4" t="str">
        <f>HYPERLINK("https://schools.org.in/malappuram/32051200302/gups-ariyallur.html", "https://schools.org.in/malappuram/32051200302/gups-ariyallur.html")</f>
        <v>https://schools.org.in/malappuram/32051200302/gups-ariyallur.html</v>
      </c>
      <c r="I221" s="3" t="s">
        <v>1340</v>
      </c>
      <c r="J221" s="3" t="str">
        <f>HYPERLINK("tel:nan", "nan")</f>
        <v>nan</v>
      </c>
      <c r="K221" s="5" t="str">
        <f t="shared" si="15"/>
        <v>nan</v>
      </c>
      <c r="L221" s="6" t="s">
        <v>1341</v>
      </c>
    </row>
    <row r="222" ht="15.75" customHeight="1">
      <c r="A222" s="3">
        <v>223.0</v>
      </c>
      <c r="B222" s="3" t="s">
        <v>1342</v>
      </c>
      <c r="C222" s="3" t="s">
        <v>1343</v>
      </c>
      <c r="D222" s="3" t="s">
        <v>1344</v>
      </c>
      <c r="E222" s="3" t="s">
        <v>1345</v>
      </c>
      <c r="F222" s="3" t="s">
        <v>1346</v>
      </c>
      <c r="G222" s="3" t="s">
        <v>356</v>
      </c>
      <c r="H222" s="4" t="str">
        <f>HYPERLINK("https://no1bolangir.kvs.ac.in/en/", "https://no1bolangir.kvs.ac.in/en/")</f>
        <v>https://no1bolangir.kvs.ac.in/en/</v>
      </c>
      <c r="I222" s="3" t="s">
        <v>93</v>
      </c>
      <c r="J222" s="3" t="str">
        <f>HYPERLINK("tel:+916655295601", "+916655295601")</f>
        <v>+916655295601</v>
      </c>
      <c r="K222" s="5" t="str">
        <f t="shared" si="15"/>
        <v>nan</v>
      </c>
      <c r="L222" s="6" t="s">
        <v>1347</v>
      </c>
    </row>
    <row r="223" ht="15.75" customHeight="1">
      <c r="A223" s="3">
        <v>224.0</v>
      </c>
      <c r="B223" s="3" t="s">
        <v>1348</v>
      </c>
      <c r="C223" s="3" t="s">
        <v>1349</v>
      </c>
      <c r="D223" s="3" t="s">
        <v>1350</v>
      </c>
      <c r="E223" s="3" t="s">
        <v>1351</v>
      </c>
      <c r="F223" s="3" t="s">
        <v>1352</v>
      </c>
      <c r="G223" s="3" t="s">
        <v>237</v>
      </c>
      <c r="H223" s="4" t="str">
        <f>HYPERLINK("https://www.srisankarvidyalaya.com/", "https://www.srisankarvidyalaya.com/")</f>
        <v>https://www.srisankarvidyalaya.com/</v>
      </c>
      <c r="J223" s="3" t="str">
        <f>HYPERLINK("tel:+914132667185", "+914132667185")</f>
        <v>+914132667185</v>
      </c>
      <c r="K223" s="5" t="str">
        <f>HYPERLINK("mailto:principal@srisankarvidyalaya.com", "principal@srisankarvidyalaya.com")</f>
        <v>principal@srisankarvidyalaya.com</v>
      </c>
      <c r="L223" s="6" t="s">
        <v>1353</v>
      </c>
    </row>
    <row r="224" ht="15.75" customHeight="1">
      <c r="A224" s="3">
        <v>225.0</v>
      </c>
      <c r="B224" s="3" t="s">
        <v>1354</v>
      </c>
      <c r="C224" s="3" t="s">
        <v>1355</v>
      </c>
      <c r="D224" s="3" t="s">
        <v>1356</v>
      </c>
      <c r="E224" s="3" t="s">
        <v>1357</v>
      </c>
      <c r="F224" s="3" t="s">
        <v>1358</v>
      </c>
      <c r="G224" s="3" t="s">
        <v>70</v>
      </c>
      <c r="H224" s="4" t="str">
        <f>HYPERLINK("https://rajshaladarpan.rajasthan.gov.in/SD1/StudentAdmission/Home/MGGSSchoolDetail.aspx", "https://rajshaladarpan.rajasthan.gov.in/SD1/StudentAdmission/Home/MGGSSchoolDetail.aspx")</f>
        <v>https://rajshaladarpan.rajasthan.gov.in/SD1/StudentAdmission/Home/MGGSSchoolDetail.aspx</v>
      </c>
      <c r="I224" s="3" t="s">
        <v>1359</v>
      </c>
      <c r="J224" s="3" t="str">
        <f>HYPERLINK("tel:+912221373778", "+912221373778")</f>
        <v>+912221373778</v>
      </c>
      <c r="K224" s="5" t="str">
        <f>HYPERLINK("mailto:m@sh.uRN", "m@sh.uRN")</f>
        <v>m@sh.uRN</v>
      </c>
      <c r="L224" s="6" t="s">
        <v>1360</v>
      </c>
    </row>
    <row r="225" ht="15.75" customHeight="1">
      <c r="A225" s="3">
        <v>226.0</v>
      </c>
      <c r="B225" s="3" t="s">
        <v>1361</v>
      </c>
      <c r="C225" s="3" t="s">
        <v>1362</v>
      </c>
      <c r="D225" s="3" t="s">
        <v>1363</v>
      </c>
      <c r="E225" s="3" t="s">
        <v>1364</v>
      </c>
      <c r="F225" s="3" t="s">
        <v>1365</v>
      </c>
      <c r="G225" s="3" t="s">
        <v>130</v>
      </c>
      <c r="H225" s="4" t="str">
        <f>HYPERLINK("https://www.apsbolarum.edu.in/", "https://www.apsbolarum.edu.in/")</f>
        <v>https://www.apsbolarum.edu.in/</v>
      </c>
      <c r="J225" s="3" t="str">
        <f>HYPERLINK("tel:+914027940488", "+914027940488")</f>
        <v>+914027940488</v>
      </c>
      <c r="K225" s="5" t="str">
        <f>HYPERLINK("mailto:apsbolarum@gmail.com", "apsbolarum@gmail.com")</f>
        <v>apsbolarum@gmail.com</v>
      </c>
      <c r="L225" s="6" t="s">
        <v>1366</v>
      </c>
    </row>
    <row r="226" ht="15.75" customHeight="1">
      <c r="A226" s="3">
        <v>227.0</v>
      </c>
      <c r="B226" s="3" t="s">
        <v>1367</v>
      </c>
      <c r="C226" s="3" t="s">
        <v>1125</v>
      </c>
      <c r="D226" s="3" t="s">
        <v>1368</v>
      </c>
      <c r="E226" s="3" t="s">
        <v>1369</v>
      </c>
      <c r="F226" s="3" t="s">
        <v>1128</v>
      </c>
      <c r="G226" s="3" t="s">
        <v>138</v>
      </c>
      <c r="H226" s="4" t="str">
        <f>HYPERLINK("https://stteresaschool.in/", "https://stteresaschool.in/")</f>
        <v>https://stteresaschool.in/</v>
      </c>
      <c r="J226" s="3" t="str">
        <f>HYPERLINK("tel:+918826000216", "+918826000216")</f>
        <v>+918826000216</v>
      </c>
      <c r="K226" s="5" t="str">
        <f>HYPERLINK("mailto:stteresaschool.indirapuram@gmail.com", "stteresaschool.indirapuram@gmail.com")</f>
        <v>stteresaschool.indirapuram@gmail.com</v>
      </c>
      <c r="L226" s="6"/>
    </row>
    <row r="227" ht="15.75" customHeight="1">
      <c r="A227" s="3">
        <v>228.0</v>
      </c>
      <c r="B227" s="3" t="s">
        <v>1370</v>
      </c>
      <c r="C227" s="3" t="s">
        <v>1371</v>
      </c>
      <c r="D227" s="3" t="s">
        <v>1372</v>
      </c>
      <c r="E227" s="3" t="s">
        <v>1373</v>
      </c>
      <c r="F227" s="3" t="s">
        <v>1374</v>
      </c>
      <c r="G227" s="3" t="s">
        <v>138</v>
      </c>
      <c r="H227" s="4" t="str">
        <f>HYPERLINK("https://mdicknj.com/", "https://mdicknj.com/")</f>
        <v>https://mdicknj.com/</v>
      </c>
      <c r="I227" s="3" t="s">
        <v>1375</v>
      </c>
      <c r="J227" s="3" t="str">
        <f>HYPERLINK("tel:+919838715347", "+919838715347")</f>
        <v>+919838715347</v>
      </c>
      <c r="K227" s="5" t="str">
        <f>HYPERLINK("mailto:mdicknj@gmail.com", "mdicknj@gmail.com")</f>
        <v>mdicknj@gmail.com</v>
      </c>
      <c r="L227" s="6" t="s">
        <v>1376</v>
      </c>
    </row>
    <row r="228" ht="15.75" customHeight="1">
      <c r="A228" s="3">
        <v>229.0</v>
      </c>
      <c r="B228" s="3" t="s">
        <v>1377</v>
      </c>
      <c r="C228" s="3" t="s">
        <v>1378</v>
      </c>
      <c r="D228" s="3" t="s">
        <v>1379</v>
      </c>
      <c r="E228" s="3" t="s">
        <v>1380</v>
      </c>
      <c r="F228" s="3" t="s">
        <v>1381</v>
      </c>
      <c r="G228" s="3" t="s">
        <v>138</v>
      </c>
      <c r="H228" s="4" t="str">
        <f>HYPERLINK("https://muzaffarnagar.nic.in/", "https://muzaffarnagar.nic.in/")</f>
        <v>https://muzaffarnagar.nic.in/</v>
      </c>
      <c r="I228" s="3" t="s">
        <v>1382</v>
      </c>
      <c r="J228" s="3" t="str">
        <f>HYPERLINK("tel:+911800111555", "+911800111555")</f>
        <v>+911800111555</v>
      </c>
      <c r="K228" s="5" t="str">
        <f>HYPERLINK("mailto:nan", "nan")</f>
        <v>nan</v>
      </c>
      <c r="L228" s="6" t="s">
        <v>1383</v>
      </c>
    </row>
    <row r="229" ht="15.75" customHeight="1">
      <c r="A229" s="3">
        <v>230.0</v>
      </c>
      <c r="B229" s="3" t="s">
        <v>1384</v>
      </c>
      <c r="C229" s="3" t="s">
        <v>1385</v>
      </c>
      <c r="D229" s="3" t="s">
        <v>1386</v>
      </c>
      <c r="E229" s="3" t="s">
        <v>1387</v>
      </c>
      <c r="F229" s="3" t="s">
        <v>1388</v>
      </c>
      <c r="G229" s="3" t="s">
        <v>597</v>
      </c>
      <c r="H229" s="4" t="str">
        <f>HYPERLINK("https://bageshwar.nic.in/", "https://bageshwar.nic.in/")</f>
        <v>https://bageshwar.nic.in/</v>
      </c>
      <c r="I229" s="3" t="s">
        <v>1382</v>
      </c>
      <c r="J229" s="3" t="str">
        <f>HYPERLINK("tel:+918599800096", "+918599800096")</f>
        <v>+918599800096</v>
      </c>
      <c r="K229" s="5" t="str">
        <f>HYPERLINK("mailto:cvobageshwar@gmail.com", "cvobageshwar@gmail.com")</f>
        <v>cvobageshwar@gmail.com</v>
      </c>
      <c r="L229" s="6" t="s">
        <v>1389</v>
      </c>
    </row>
    <row r="230" ht="15.75" customHeight="1">
      <c r="A230" s="3">
        <v>231.0</v>
      </c>
      <c r="B230" s="3" t="s">
        <v>1390</v>
      </c>
      <c r="C230" s="3" t="s">
        <v>1391</v>
      </c>
      <c r="D230" s="3" t="s">
        <v>1392</v>
      </c>
      <c r="E230" s="3" t="s">
        <v>1393</v>
      </c>
      <c r="F230" s="3" t="s">
        <v>1181</v>
      </c>
      <c r="G230" s="3" t="s">
        <v>958</v>
      </c>
      <c r="H230" s="4" t="str">
        <f>HYPERLINK("https://rokolkata.kvs.gov.in/en/", "https://rokolkata.kvs.gov.in/en/")</f>
        <v>https://rokolkata.kvs.gov.in/en/</v>
      </c>
      <c r="J230" s="3" t="str">
        <f>HYPERLINK("tel:+913323376998", "+913323376998")</f>
        <v>+913323376998</v>
      </c>
      <c r="K230" s="5" t="str">
        <f>HYPERLINK("mailto:nan", "nan")</f>
        <v>nan</v>
      </c>
      <c r="L230" s="6" t="s">
        <v>1394</v>
      </c>
    </row>
    <row r="231" ht="15.75" customHeight="1">
      <c r="A231" s="3">
        <v>232.0</v>
      </c>
      <c r="B231" s="3" t="s">
        <v>1395</v>
      </c>
      <c r="C231" s="3" t="s">
        <v>1396</v>
      </c>
      <c r="D231" s="3" t="s">
        <v>1397</v>
      </c>
      <c r="E231" s="3" t="s">
        <v>1398</v>
      </c>
      <c r="F231" s="3" t="s">
        <v>1399</v>
      </c>
      <c r="G231" s="3" t="s">
        <v>975</v>
      </c>
      <c r="H231" s="4" t="str">
        <f>HYPERLINK("https://www.mrachd.com/", "https://www.mrachd.com/")</f>
        <v>https://www.mrachd.com/</v>
      </c>
      <c r="I231" s="3" t="s">
        <v>1400</v>
      </c>
      <c r="J231" s="3" t="str">
        <f>HYPERLINK("tel:+917814834047", "+917814834047")</f>
        <v>+917814834047</v>
      </c>
      <c r="K231" s="5" t="str">
        <f>HYPERLINK("mailto:mraschool@yahoo.com", "mraschool@yahoo.com")</f>
        <v>mraschool@yahoo.com</v>
      </c>
      <c r="L231" s="6" t="s">
        <v>1401</v>
      </c>
    </row>
    <row r="232" ht="15.75" customHeight="1">
      <c r="A232" s="3">
        <v>233.0</v>
      </c>
      <c r="B232" s="3" t="s">
        <v>1402</v>
      </c>
      <c r="C232" s="3" t="s">
        <v>1403</v>
      </c>
      <c r="D232" s="3" t="s">
        <v>1404</v>
      </c>
      <c r="E232" s="3" t="s">
        <v>1404</v>
      </c>
      <c r="F232" s="3" t="s">
        <v>1405</v>
      </c>
      <c r="G232" s="3" t="s">
        <v>100</v>
      </c>
      <c r="H232" s="4" t="str">
        <f>HYPERLINK("https://davschoolpemn.org/", "https://davschoolpemn.org/")</f>
        <v>https://davschoolpemn.org/</v>
      </c>
      <c r="I232" s="3" t="s">
        <v>1406</v>
      </c>
      <c r="J232" s="3" t="str">
        <f>HYPERLINK("tel:+911145679793", "+911145679793")</f>
        <v>+911145679793</v>
      </c>
      <c r="K232" s="5" t="str">
        <f>HYPERLINK("mailto:principal@agdav.edu.in", "principal@agdav.edu.in")</f>
        <v>principal@agdav.edu.in</v>
      </c>
      <c r="L232" s="6" t="s">
        <v>1407</v>
      </c>
    </row>
    <row r="233" ht="15.75" customHeight="1">
      <c r="A233" s="3">
        <v>234.0</v>
      </c>
      <c r="B233" s="3" t="s">
        <v>1408</v>
      </c>
      <c r="C233" s="3" t="s">
        <v>1409</v>
      </c>
      <c r="D233" s="3" t="s">
        <v>1410</v>
      </c>
      <c r="E233" s="3" t="s">
        <v>1411</v>
      </c>
      <c r="F233" s="3" t="s">
        <v>1412</v>
      </c>
      <c r="G233" s="3" t="s">
        <v>1413</v>
      </c>
      <c r="H233" s="4" t="str">
        <f>HYPERLINK("https://sarvodayahss.com/", "https://sarvodayahss.com/")</f>
        <v>https://sarvodayahss.com/</v>
      </c>
      <c r="I233" s="3" t="s">
        <v>1414</v>
      </c>
      <c r="J233" s="3" t="str">
        <f>HYPERLINK("tel:+919356868329", "+919356868329")</f>
        <v>+919356868329</v>
      </c>
      <c r="K233" s="5" t="str">
        <f>HYPERLINK("mailto:seshss5294@gmail.com", "seshss5294@gmail.com")</f>
        <v>seshss5294@gmail.com</v>
      </c>
      <c r="L233" s="6" t="s">
        <v>1415</v>
      </c>
    </row>
    <row r="234" ht="15.75" customHeight="1">
      <c r="A234" s="3">
        <v>235.0</v>
      </c>
      <c r="B234" s="3" t="s">
        <v>1416</v>
      </c>
      <c r="C234" s="3" t="s">
        <v>1318</v>
      </c>
      <c r="D234" s="3" t="s">
        <v>1417</v>
      </c>
      <c r="E234" s="3" t="s">
        <v>1418</v>
      </c>
      <c r="F234" s="3" t="s">
        <v>1321</v>
      </c>
      <c r="G234" s="3" t="s">
        <v>24</v>
      </c>
      <c r="H234" s="4" t="str">
        <f>HYPERLINK("https://dav14faridabad.ac.in/", "https://dav14faridabad.ac.in/")</f>
        <v>https://dav14faridabad.ac.in/</v>
      </c>
      <c r="I234" s="3" t="s">
        <v>1322</v>
      </c>
      <c r="J234" s="3" t="str">
        <f>HYPERLINK("tel:+911292283335", "+911292283335")</f>
        <v>+911292283335</v>
      </c>
      <c r="K234" s="5" t="str">
        <f>HYPERLINK("mailto:davnh3fbd@gmail.com", "davnh3fbd@gmail.com")</f>
        <v>davnh3fbd@gmail.com</v>
      </c>
      <c r="L234" s="6" t="s">
        <v>1323</v>
      </c>
    </row>
    <row r="235" ht="15.75" customHeight="1">
      <c r="A235" s="3">
        <v>236.0</v>
      </c>
      <c r="B235" s="3" t="s">
        <v>1419</v>
      </c>
      <c r="C235" s="3" t="s">
        <v>1420</v>
      </c>
      <c r="D235" s="3" t="s">
        <v>1421</v>
      </c>
      <c r="E235" s="3" t="s">
        <v>1422</v>
      </c>
      <c r="F235" s="3" t="s">
        <v>1423</v>
      </c>
      <c r="G235" s="3" t="s">
        <v>182</v>
      </c>
      <c r="H235" s="4" t="str">
        <f>HYPERLINK("https://radiantanantnag.com/", "https://radiantanantnag.com/")</f>
        <v>https://radiantanantnag.com/</v>
      </c>
      <c r="I235" s="3" t="s">
        <v>1424</v>
      </c>
      <c r="J235" s="3" t="str">
        <f>HYPERLINK("tel:nan", "nan")</f>
        <v>nan</v>
      </c>
      <c r="K235" s="5" t="str">
        <f t="shared" ref="K235:K239" si="16">HYPERLINK("mailto:nan", "nan")</f>
        <v>nan</v>
      </c>
      <c r="L235" s="6" t="s">
        <v>1425</v>
      </c>
    </row>
    <row r="236" ht="15.75" customHeight="1">
      <c r="A236" s="3">
        <v>237.0</v>
      </c>
      <c r="B236" s="3" t="s">
        <v>1426</v>
      </c>
      <c r="C236" s="3" t="s">
        <v>1427</v>
      </c>
      <c r="D236" s="3" t="s">
        <v>1428</v>
      </c>
      <c r="E236" s="3" t="s">
        <v>1429</v>
      </c>
      <c r="F236" s="3" t="s">
        <v>1430</v>
      </c>
      <c r="G236" s="3" t="s">
        <v>31</v>
      </c>
      <c r="H236" s="4" t="str">
        <f>HYPERLINK("https://megcentre.kvs.ac.in/en/", "https://megcentre.kvs.ac.in/en/")</f>
        <v>https://megcentre.kvs.ac.in/en/</v>
      </c>
      <c r="I236" s="3" t="s">
        <v>1431</v>
      </c>
      <c r="J236" s="3" t="str">
        <f>HYPERLINK("tel:+918025365053", "+918025365053")</f>
        <v>+918025365053</v>
      </c>
      <c r="K236" s="5" t="str">
        <f t="shared" si="16"/>
        <v>nan</v>
      </c>
      <c r="L236" s="6" t="s">
        <v>1432</v>
      </c>
    </row>
    <row r="237" ht="15.75" customHeight="1">
      <c r="A237" s="3">
        <v>238.0</v>
      </c>
      <c r="B237" s="3" t="s">
        <v>1433</v>
      </c>
      <c r="C237" s="3" t="s">
        <v>1434</v>
      </c>
      <c r="D237" s="3" t="s">
        <v>1435</v>
      </c>
      <c r="E237" s="3" t="s">
        <v>22</v>
      </c>
      <c r="F237" s="3" t="s">
        <v>1436</v>
      </c>
      <c r="G237" s="3" t="s">
        <v>17</v>
      </c>
      <c r="H237" s="4" t="str">
        <f>HYPERLINK("https://www.facebook.com/StMarysHigherSecondarySchoolVickramasingapuram/", "https://www.facebook.com/StMarysHigherSecondarySchoolVickramasingapuram/")</f>
        <v>https://www.facebook.com/StMarysHigherSecondarySchoolVickramasingapuram/</v>
      </c>
      <c r="I237" s="3" t="s">
        <v>500</v>
      </c>
      <c r="J237" s="3" t="str">
        <f t="shared" ref="J237:J238" si="17">HYPERLINK("tel:nan", "nan")</f>
        <v>nan</v>
      </c>
      <c r="K237" s="5" t="str">
        <f t="shared" si="16"/>
        <v>nan</v>
      </c>
      <c r="L237" s="6" t="s">
        <v>1437</v>
      </c>
    </row>
    <row r="238" ht="15.75" customHeight="1">
      <c r="A238" s="3">
        <v>239.0</v>
      </c>
      <c r="B238" s="3" t="s">
        <v>1438</v>
      </c>
      <c r="C238" s="3" t="s">
        <v>1439</v>
      </c>
      <c r="D238" s="3" t="s">
        <v>1440</v>
      </c>
      <c r="E238" s="3" t="s">
        <v>1441</v>
      </c>
      <c r="F238" s="3" t="s">
        <v>1442</v>
      </c>
      <c r="G238" s="3" t="s">
        <v>17</v>
      </c>
      <c r="H238" s="4" t="str">
        <f>HYPERLINK("https://schools.org.in/krishanagiri/33311700403/ghss-anchetty.html", "https://schools.org.in/krishanagiri/33311700403/ghss-anchetty.html")</f>
        <v>https://schools.org.in/krishanagiri/33311700403/ghss-anchetty.html</v>
      </c>
      <c r="I238" s="3" t="s">
        <v>1443</v>
      </c>
      <c r="J238" s="3" t="str">
        <f t="shared" si="17"/>
        <v>nan</v>
      </c>
      <c r="K238" s="5" t="str">
        <f t="shared" si="16"/>
        <v>nan</v>
      </c>
      <c r="L238" s="6" t="s">
        <v>1444</v>
      </c>
    </row>
    <row r="239" ht="15.75" customHeight="1">
      <c r="A239" s="3">
        <v>240.0</v>
      </c>
      <c r="B239" s="3" t="s">
        <v>1445</v>
      </c>
      <c r="C239" s="3" t="s">
        <v>771</v>
      </c>
      <c r="D239" s="3" t="s">
        <v>1446</v>
      </c>
      <c r="E239" s="3" t="s">
        <v>1447</v>
      </c>
      <c r="F239" s="3" t="s">
        <v>774</v>
      </c>
      <c r="G239" s="3" t="s">
        <v>130</v>
      </c>
      <c r="H239" s="4" t="str">
        <f>HYPERLINK("https://www.agakhanschools.org/India/PJHSW/Index", "https://www.agakhanschools.org/India/PJHSW/Index")</f>
        <v>https://www.agakhanschools.org/India/PJHSW/Index</v>
      </c>
      <c r="I239" s="3" t="s">
        <v>775</v>
      </c>
      <c r="J239" s="3" t="str">
        <f>HYPERLINK("tel:+918702421819", "+918702421819")</f>
        <v>+918702421819</v>
      </c>
      <c r="K239" s="5" t="str">
        <f t="shared" si="16"/>
        <v>nan</v>
      </c>
      <c r="L239" s="6"/>
    </row>
    <row r="240" ht="15.75" customHeight="1">
      <c r="A240" s="3">
        <v>241.0</v>
      </c>
      <c r="B240" s="3" t="s">
        <v>1448</v>
      </c>
      <c r="C240" s="3" t="s">
        <v>1449</v>
      </c>
      <c r="D240" s="3" t="s">
        <v>1450</v>
      </c>
      <c r="E240" s="3" t="s">
        <v>1451</v>
      </c>
      <c r="F240" s="3" t="s">
        <v>1452</v>
      </c>
      <c r="G240" s="3" t="s">
        <v>130</v>
      </c>
      <c r="H240" s="4" t="str">
        <f>HYPERLINK("https://bsrkv.edu.in/", "https://bsrkv.edu.in/")</f>
        <v>https://bsrkv.edu.in/</v>
      </c>
      <c r="J240" s="3" t="str">
        <f>HYPERLINK("tel:+919959112561", "+919959112561")</f>
        <v>+919959112561</v>
      </c>
      <c r="K240" s="5" t="str">
        <f>HYPERLINK("mailto:principal.bsrkv1974@gmail.com", "principal.bsrkv1974@gmail.com")</f>
        <v>principal.bsrkv1974@gmail.com</v>
      </c>
      <c r="L240" s="6" t="s">
        <v>1453</v>
      </c>
    </row>
    <row r="241" ht="15.75" customHeight="1">
      <c r="A241" s="3">
        <v>242.0</v>
      </c>
      <c r="B241" s="3" t="s">
        <v>1454</v>
      </c>
      <c r="C241" s="3" t="s">
        <v>1455</v>
      </c>
      <c r="D241" s="3" t="s">
        <v>1456</v>
      </c>
      <c r="E241" s="3" t="s">
        <v>1457</v>
      </c>
      <c r="F241" s="3" t="s">
        <v>1181</v>
      </c>
      <c r="G241" s="3" t="s">
        <v>597</v>
      </c>
      <c r="H241" s="4" t="str">
        <f>HYPERLINK("https://no1dehradun.kvs.ac.in/en/", "https://no1dehradun.kvs.ac.in/en/")</f>
        <v>https://no1dehradun.kvs.ac.in/en/</v>
      </c>
      <c r="I241" s="3" t="s">
        <v>1458</v>
      </c>
      <c r="J241" s="3" t="str">
        <f>HYPERLINK("tel:+911352743244", "+911352743244")</f>
        <v>+911352743244</v>
      </c>
      <c r="K241" s="5" t="str">
        <f t="shared" ref="K241:K242" si="18">HYPERLINK("mailto:nan", "nan")</f>
        <v>nan</v>
      </c>
      <c r="L241" s="6" t="s">
        <v>1459</v>
      </c>
    </row>
    <row r="242" ht="15.75" customHeight="1">
      <c r="A242" s="3">
        <v>243.0</v>
      </c>
      <c r="B242" s="3" t="s">
        <v>1460</v>
      </c>
      <c r="C242" s="3" t="s">
        <v>1461</v>
      </c>
      <c r="D242" s="3" t="s">
        <v>1462</v>
      </c>
      <c r="E242" s="3" t="s">
        <v>1463</v>
      </c>
      <c r="F242" s="3" t="s">
        <v>1464</v>
      </c>
      <c r="G242" s="3" t="s">
        <v>597</v>
      </c>
      <c r="H242" s="4" t="str">
        <f>HYPERLINK("https://lansdowne.kvs.ac.in/en/", "https://lansdowne.kvs.ac.in/en/")</f>
        <v>https://lansdowne.kvs.ac.in/en/</v>
      </c>
      <c r="I242" s="3" t="s">
        <v>1465</v>
      </c>
      <c r="J242" s="3" t="str">
        <f>HYPERLINK("tel:+911386262136", "+911386262136")</f>
        <v>+911386262136</v>
      </c>
      <c r="K242" s="5" t="str">
        <f t="shared" si="18"/>
        <v>nan</v>
      </c>
      <c r="L242" s="6" t="s">
        <v>598</v>
      </c>
    </row>
    <row r="243" ht="15.75" customHeight="1">
      <c r="A243" s="3">
        <v>244.0</v>
      </c>
      <c r="B243" s="3" t="s">
        <v>1466</v>
      </c>
      <c r="C243" s="3" t="s">
        <v>971</v>
      </c>
      <c r="D243" s="3" t="s">
        <v>1467</v>
      </c>
      <c r="E243" s="3" t="s">
        <v>1468</v>
      </c>
      <c r="F243" s="3" t="s">
        <v>974</v>
      </c>
      <c r="G243" s="3" t="s">
        <v>975</v>
      </c>
      <c r="H243" s="4" t="str">
        <f>HYPERLINK("https://carmelconvent.org/", "https://carmelconvent.org/")</f>
        <v>https://carmelconvent.org/</v>
      </c>
      <c r="J243" s="3" t="str">
        <f>HYPERLINK("tel:nan", "nan")</f>
        <v>nan</v>
      </c>
      <c r="K243" s="5" t="str">
        <f>HYPERLINK("mailto:app.nascorp@gmail.com", "app.nascorp@gmail.com")</f>
        <v>app.nascorp@gmail.com</v>
      </c>
      <c r="L243" s="6"/>
    </row>
    <row r="244" ht="15.75" customHeight="1">
      <c r="A244" s="3">
        <v>245.0</v>
      </c>
      <c r="B244" s="3" t="s">
        <v>1469</v>
      </c>
      <c r="C244" s="3" t="s">
        <v>1470</v>
      </c>
      <c r="D244" s="3" t="s">
        <v>1471</v>
      </c>
      <c r="E244" s="3" t="s">
        <v>1472</v>
      </c>
      <c r="F244" s="3" t="s">
        <v>1473</v>
      </c>
      <c r="G244" s="3" t="s">
        <v>24</v>
      </c>
      <c r="H244" s="4" t="str">
        <f t="shared" ref="H244:H245" si="19">HYPERLINK("https://dpsgfaridabad.com/", "https://dpsgfaridabad.com/")</f>
        <v>https://dpsgfaridabad.com/</v>
      </c>
      <c r="I244" s="3" t="s">
        <v>1474</v>
      </c>
      <c r="J244" s="3" t="str">
        <f t="shared" ref="J244:J245" si="20">HYPERLINK("tel:+911292555555", "+911292555555")</f>
        <v>+911292555555</v>
      </c>
      <c r="K244" s="5" t="str">
        <f t="shared" ref="K244:K245" si="21">HYPERLINK("mailto:info@dpsgfaridabad.com", "info@dpsgfaridabad.com")</f>
        <v>info@dpsgfaridabad.com</v>
      </c>
      <c r="L244" s="6" t="s">
        <v>1475</v>
      </c>
    </row>
    <row r="245" ht="15.75" customHeight="1">
      <c r="A245" s="3">
        <v>246.0</v>
      </c>
      <c r="B245" s="3" t="s">
        <v>1476</v>
      </c>
      <c r="C245" s="3" t="s">
        <v>1470</v>
      </c>
      <c r="D245" s="3" t="s">
        <v>1477</v>
      </c>
      <c r="E245" s="3" t="s">
        <v>1478</v>
      </c>
      <c r="F245" s="3" t="s">
        <v>1473</v>
      </c>
      <c r="G245" s="3" t="s">
        <v>24</v>
      </c>
      <c r="H245" s="4" t="str">
        <f t="shared" si="19"/>
        <v>https://dpsgfaridabad.com/</v>
      </c>
      <c r="I245" s="3" t="s">
        <v>1474</v>
      </c>
      <c r="J245" s="3" t="str">
        <f t="shared" si="20"/>
        <v>+911292555555</v>
      </c>
      <c r="K245" s="5" t="str">
        <f t="shared" si="21"/>
        <v>info@dpsgfaridabad.com</v>
      </c>
      <c r="L245" s="6" t="s">
        <v>1475</v>
      </c>
    </row>
    <row r="246" ht="15.75" customHeight="1">
      <c r="A246" s="3">
        <v>247.0</v>
      </c>
      <c r="B246" s="3" t="s">
        <v>1479</v>
      </c>
      <c r="C246" s="3" t="s">
        <v>1480</v>
      </c>
      <c r="D246" s="3" t="s">
        <v>1481</v>
      </c>
      <c r="E246" s="3" t="s">
        <v>1482</v>
      </c>
      <c r="F246" s="3" t="s">
        <v>1482</v>
      </c>
      <c r="G246" s="3" t="s">
        <v>31</v>
      </c>
      <c r="H246" s="4" t="str">
        <f>HYPERLINK("https://ksrlps.karnataka.gov.in/", "https://ksrlps.karnataka.gov.in/")</f>
        <v>https://ksrlps.karnataka.gov.in/</v>
      </c>
      <c r="I246" s="3" t="s">
        <v>1483</v>
      </c>
      <c r="J246" s="3" t="str">
        <f>HYPERLINK("tel:+918704280141", "+918704280141")</f>
        <v>+918704280141</v>
      </c>
      <c r="K246" s="5" t="str">
        <f>HYPERLINK("mailto:pd.webportal@karnataka.gov.in", "pd.webportal@karnataka.gov.in")</f>
        <v>pd.webportal@karnataka.gov.in</v>
      </c>
      <c r="L246" s="6" t="s">
        <v>1484</v>
      </c>
    </row>
    <row r="247" ht="15.75" customHeight="1">
      <c r="A247" s="3">
        <v>248.0</v>
      </c>
      <c r="B247" s="3" t="s">
        <v>1485</v>
      </c>
      <c r="C247" s="3" t="s">
        <v>1486</v>
      </c>
      <c r="D247" s="3" t="s">
        <v>1487</v>
      </c>
      <c r="E247" s="3" t="s">
        <v>1488</v>
      </c>
      <c r="F247" s="3" t="s">
        <v>1489</v>
      </c>
      <c r="G247" s="3" t="s">
        <v>58</v>
      </c>
      <c r="H247" s="4" t="str">
        <f>HYPERLINK("https://schools.org.in/thiruvananthapuram/32141100102/ghss-kamaleswaram.html", "https://schools.org.in/thiruvananthapuram/32141100102/ghss-kamaleswaram.html")</f>
        <v>https://schools.org.in/thiruvananthapuram/32141100102/ghss-kamaleswaram.html</v>
      </c>
      <c r="I247" s="3" t="s">
        <v>1490</v>
      </c>
      <c r="J247" s="3" t="str">
        <f>HYPERLINK("tel:+914712325106", "+914712325106")</f>
        <v>+914712325106</v>
      </c>
      <c r="K247" s="5" t="str">
        <f>HYPERLINK("mailto:dirdhse.dge@kerala.gov.in", "dirdhse.dge@kerala.gov.in")</f>
        <v>dirdhse.dge@kerala.gov.in</v>
      </c>
      <c r="L247" s="6" t="s">
        <v>1491</v>
      </c>
    </row>
    <row r="248" ht="15.75" customHeight="1">
      <c r="A248" s="3">
        <v>249.0</v>
      </c>
      <c r="B248" s="3" t="s">
        <v>1492</v>
      </c>
      <c r="C248" s="3" t="s">
        <v>1493</v>
      </c>
      <c r="D248" s="3" t="s">
        <v>1494</v>
      </c>
      <c r="E248" s="3" t="s">
        <v>1495</v>
      </c>
      <c r="F248" s="3" t="s">
        <v>1496</v>
      </c>
      <c r="G248" s="3" t="s">
        <v>58</v>
      </c>
      <c r="H248" s="4" t="str">
        <f>HYPERLINK("https://aim.gov.in/pdf/Final-List-Top-1000-teams.pdf", "https://aim.gov.in/pdf/Final-List-Top-1000-teams.pdf")</f>
        <v>https://aim.gov.in/pdf/Final-List-Top-1000-teams.pdf</v>
      </c>
      <c r="J248" s="3" t="str">
        <f>HYPERLINK("tel:+914742722350", "+914742722350")</f>
        <v>+914742722350</v>
      </c>
      <c r="K248" s="5" t="str">
        <f>HYPERLINK("mailto:azeeziadentalcollege@yahoo.com", "azeeziadentalcollege@yahoo.com")</f>
        <v>azeeziadentalcollege@yahoo.com</v>
      </c>
      <c r="L248" s="6" t="s">
        <v>1497</v>
      </c>
    </row>
    <row r="249" ht="15.75" customHeight="1">
      <c r="A249" s="3">
        <v>250.0</v>
      </c>
      <c r="B249" s="3" t="s">
        <v>1498</v>
      </c>
      <c r="C249" s="3" t="s">
        <v>1499</v>
      </c>
      <c r="D249" s="3" t="s">
        <v>1500</v>
      </c>
      <c r="E249" s="3" t="s">
        <v>1501</v>
      </c>
      <c r="F249" s="3" t="s">
        <v>1502</v>
      </c>
      <c r="G249" s="3" t="s">
        <v>58</v>
      </c>
      <c r="H249" s="4" t="str">
        <f>HYPERLINK("https://www.vhseportal.kerala.gov.in/public/portal/sl/565", "https://www.vhseportal.kerala.gov.in/public/portal/sl/565")</f>
        <v>https://www.vhseportal.kerala.gov.in/public/portal/sl/565</v>
      </c>
      <c r="I249" s="3" t="s">
        <v>1503</v>
      </c>
      <c r="J249" s="3" t="str">
        <f>HYPERLINK("tel:+914712210660", "+914712210660")</f>
        <v>+914712210660</v>
      </c>
      <c r="K249" s="5" t="str">
        <f>HYPERLINK("mailto:dirvhse.dge@kerala.gov.in", "dirvhse.dge@kerala.gov.in")</f>
        <v>dirvhse.dge@kerala.gov.in</v>
      </c>
      <c r="L249" s="6" t="s">
        <v>1504</v>
      </c>
    </row>
    <row r="250" ht="15.75" customHeight="1">
      <c r="A250" s="3">
        <v>251.0</v>
      </c>
      <c r="B250" s="3" t="s">
        <v>1505</v>
      </c>
      <c r="C250" s="3" t="s">
        <v>1506</v>
      </c>
      <c r="D250" s="3" t="s">
        <v>1507</v>
      </c>
      <c r="E250" s="3" t="s">
        <v>1508</v>
      </c>
      <c r="F250" s="3" t="s">
        <v>114</v>
      </c>
      <c r="G250" s="3" t="s">
        <v>115</v>
      </c>
      <c r="H250" s="4" t="str">
        <f>HYPERLINK("https://www.spssn.ac.in/sagar-public-school", "https://www.spssn.ac.in/sagar-public-school")</f>
        <v>https://www.spssn.ac.in/sagar-public-school</v>
      </c>
      <c r="I250" s="3" t="s">
        <v>116</v>
      </c>
      <c r="J250" s="3" t="str">
        <f>HYPERLINK("tel:+917553523719", "+917553523719")</f>
        <v>+917553523719</v>
      </c>
      <c r="K250" s="5" t="str">
        <f>HYPERLINK("mailto:spssn@spsbhopal.ac.in", "spssn@spsbhopal.ac.in")</f>
        <v>spssn@spsbhopal.ac.in</v>
      </c>
      <c r="L250" s="6" t="s">
        <v>117</v>
      </c>
    </row>
    <row r="251" ht="15.75" customHeight="1">
      <c r="A251" s="3">
        <v>252.0</v>
      </c>
      <c r="B251" s="3" t="s">
        <v>1509</v>
      </c>
      <c r="C251" s="3" t="s">
        <v>1510</v>
      </c>
      <c r="D251" s="3" t="s">
        <v>1511</v>
      </c>
      <c r="E251" s="3" t="s">
        <v>1512</v>
      </c>
      <c r="F251" s="3" t="s">
        <v>1513</v>
      </c>
      <c r="G251" s="3" t="s">
        <v>17</v>
      </c>
      <c r="H251" s="4" t="str">
        <f>HYPERLINK("https://schools.org.in/tiruvannamalai/33060405901/ghss-pernamallur.html", "https://schools.org.in/tiruvannamalai/33060405901/ghss-pernamallur.html")</f>
        <v>https://schools.org.in/tiruvannamalai/33060405901/ghss-pernamallur.html</v>
      </c>
      <c r="I251" s="3" t="s">
        <v>1514</v>
      </c>
      <c r="J251" s="3" t="str">
        <f>HYPERLINK("tel:nan", "nan")</f>
        <v>nan</v>
      </c>
      <c r="K251" s="5" t="str">
        <f>HYPERLINK("mailto:nan", "nan")</f>
        <v>nan</v>
      </c>
      <c r="L251" s="6" t="s">
        <v>1515</v>
      </c>
    </row>
    <row r="252" ht="15.75" customHeight="1">
      <c r="A252" s="3">
        <v>253.0</v>
      </c>
      <c r="B252" s="3" t="s">
        <v>1516</v>
      </c>
      <c r="C252" s="3" t="s">
        <v>1517</v>
      </c>
      <c r="D252" s="3" t="s">
        <v>1518</v>
      </c>
      <c r="E252" s="3" t="s">
        <v>1519</v>
      </c>
      <c r="F252" s="3" t="s">
        <v>1520</v>
      </c>
      <c r="G252" s="3" t="s">
        <v>17</v>
      </c>
      <c r="H252" s="4" t="str">
        <f>HYPERLINK("https://schools.org.in/the-nilgiris/33110101711/government-higher-secondary-school-sholur.html", "https://schools.org.in/the-nilgiris/33110101711/government-higher-secondary-school-sholur.html")</f>
        <v>https://schools.org.in/the-nilgiris/33110101711/government-higher-secondary-school-sholur.html</v>
      </c>
      <c r="I252" s="3" t="s">
        <v>1521</v>
      </c>
      <c r="J252" s="3" t="str">
        <f>HYPERLINK("tel:+914425672574", "+914425672574")</f>
        <v>+914425672574</v>
      </c>
      <c r="K252" s="5" t="str">
        <f>HYPERLINK("mailto:schsec@tn.gov.in", "schsec@tn.gov.in")</f>
        <v>schsec@tn.gov.in</v>
      </c>
      <c r="L252" s="6" t="s">
        <v>1522</v>
      </c>
    </row>
    <row r="253" ht="15.75" customHeight="1">
      <c r="A253" s="3">
        <v>254.0</v>
      </c>
      <c r="B253" s="3" t="s">
        <v>1523</v>
      </c>
      <c r="C253" s="3" t="s">
        <v>1524</v>
      </c>
      <c r="D253" s="3" t="s">
        <v>1525</v>
      </c>
      <c r="E253" s="3" t="s">
        <v>1526</v>
      </c>
      <c r="F253" s="3" t="s">
        <v>1527</v>
      </c>
      <c r="G253" s="3" t="s">
        <v>130</v>
      </c>
      <c r="H253" s="4" t="str">
        <f>HYPERLINK("https://schools.org.in/warangal/36091901803/zphs-munigalaveedu.html", "https://schools.org.in/warangal/36091901803/zphs-munigalaveedu.html")</f>
        <v>https://schools.org.in/warangal/36091901803/zphs-munigalaveedu.html</v>
      </c>
      <c r="I253" s="3" t="s">
        <v>1528</v>
      </c>
      <c r="J253" s="3" t="str">
        <f>HYPERLINK("tel:+919000900023", "+919000900023")</f>
        <v>+919000900023</v>
      </c>
      <c r="K253" s="5" t="str">
        <f>HYPERLINK("mailto:dio-mbd@nic.in", "dio-mbd@nic.in")</f>
        <v>dio-mbd@nic.in</v>
      </c>
      <c r="L253" s="6" t="s">
        <v>1529</v>
      </c>
    </row>
    <row r="254" ht="15.75" customHeight="1">
      <c r="A254" s="3">
        <v>255.0</v>
      </c>
      <c r="B254" s="3" t="s">
        <v>1530</v>
      </c>
      <c r="C254" s="3" t="s">
        <v>1531</v>
      </c>
      <c r="D254" s="3" t="s">
        <v>1532</v>
      </c>
      <c r="E254" s="3" t="s">
        <v>1533</v>
      </c>
      <c r="F254" s="3" t="s">
        <v>1534</v>
      </c>
      <c r="G254" s="3" t="s">
        <v>130</v>
      </c>
      <c r="H254" s="4" t="str">
        <f>HYPERLINK("https://schools.org.in/warangal/36091190405/ghs-g-l-bazar.html", "https://schools.org.in/warangal/36091190405/ghs-g-l-bazar.html")</f>
        <v>https://schools.org.in/warangal/36091190405/ghs-g-l-bazar.html</v>
      </c>
      <c r="I254" s="3" t="s">
        <v>1535</v>
      </c>
      <c r="J254" s="3" t="str">
        <f>HYPERLINK("tel:nan", "nan")</f>
        <v>nan</v>
      </c>
      <c r="K254" s="5" t="str">
        <f t="shared" ref="K254:K255" si="22">HYPERLINK("mailto:nan", "nan")</f>
        <v>nan</v>
      </c>
      <c r="L254" s="6" t="s">
        <v>1536</v>
      </c>
    </row>
    <row r="255" ht="15.75" customHeight="1">
      <c r="A255" s="3">
        <v>256.0</v>
      </c>
      <c r="B255" s="3" t="s">
        <v>1537</v>
      </c>
      <c r="C255" s="3" t="s">
        <v>1538</v>
      </c>
      <c r="D255" s="3" t="s">
        <v>1539</v>
      </c>
      <c r="E255" s="3" t="s">
        <v>1540</v>
      </c>
      <c r="F255" s="3" t="s">
        <v>1541</v>
      </c>
      <c r="G255" s="3" t="s">
        <v>272</v>
      </c>
      <c r="H255" s="4" t="str">
        <f>HYPERLINK("https://schools.org.in/kadapa/28204200715/zphs-chitvel.html", "https://schools.org.in/kadapa/28204200715/zphs-chitvel.html")</f>
        <v>https://schools.org.in/kadapa/28204200715/zphs-chitvel.html</v>
      </c>
      <c r="I255" s="3" t="s">
        <v>1542</v>
      </c>
      <c r="J255" s="3" t="str">
        <f>HYPERLINK("tel:+911295017905", "+911295017905")</f>
        <v>+911295017905</v>
      </c>
      <c r="K255" s="5" t="str">
        <f t="shared" si="22"/>
        <v>nan</v>
      </c>
      <c r="L255" s="6" t="s">
        <v>1543</v>
      </c>
    </row>
    <row r="256" ht="15.75" customHeight="1">
      <c r="A256" s="3">
        <v>257.0</v>
      </c>
      <c r="B256" s="3" t="s">
        <v>1544</v>
      </c>
      <c r="C256" s="3" t="s">
        <v>1545</v>
      </c>
      <c r="D256" s="3" t="s">
        <v>1546</v>
      </c>
      <c r="E256" s="3" t="s">
        <v>1547</v>
      </c>
      <c r="F256" s="3" t="s">
        <v>1548</v>
      </c>
      <c r="G256" s="3" t="s">
        <v>272</v>
      </c>
      <c r="H256" s="4" t="str">
        <f>HYPERLINK("https://krishna.ap.gov.in/public-utility/zphs-tavisipudi-28163701402/", "https://krishna.ap.gov.in/public-utility/zphs-tavisipudi-28163701402/")</f>
        <v>https://krishna.ap.gov.in/public-utility/zphs-tavisipudi-28163701402/</v>
      </c>
      <c r="I256" s="3" t="s">
        <v>1549</v>
      </c>
      <c r="J256" s="3" t="str">
        <f>HYPERLINK("tel:+918672252668", "+918672252668")</f>
        <v>+918672252668</v>
      </c>
      <c r="K256" s="5" t="str">
        <f>HYPERLINK("mailto:hello@scribd.com", "hello@scribd.com")</f>
        <v>hello@scribd.com</v>
      </c>
      <c r="L256" s="6" t="s">
        <v>1550</v>
      </c>
    </row>
    <row r="257" ht="15.75" customHeight="1">
      <c r="A257" s="3">
        <v>258.0</v>
      </c>
      <c r="B257" s="3" t="s">
        <v>1551</v>
      </c>
      <c r="C257" s="3" t="s">
        <v>1552</v>
      </c>
      <c r="D257" s="3" t="s">
        <v>1553</v>
      </c>
      <c r="E257" s="3" t="s">
        <v>1554</v>
      </c>
      <c r="F257" s="3" t="s">
        <v>1555</v>
      </c>
      <c r="G257" s="3" t="s">
        <v>272</v>
      </c>
      <c r="H257" s="4" t="str">
        <f>HYPERLINK("https://vignanschools.org/our-campuses/schools-in-vizag/duvvada/", "https://vignanschools.org/our-campuses/schools-in-vizag/duvvada/")</f>
        <v>https://vignanschools.org/our-campuses/schools-in-vizag/duvvada/</v>
      </c>
      <c r="I257" s="3" t="s">
        <v>1556</v>
      </c>
      <c r="J257" s="3" t="str">
        <f>HYPERLINK("tel:+919908850009", "+919908850009")</f>
        <v>+919908850009</v>
      </c>
      <c r="K257" s="5" t="str">
        <f>HYPERLINK("mailto:kranthikiran@vignan.edu.in", "kranthikiran@vignan.edu.in")</f>
        <v>kranthikiran@vignan.edu.in</v>
      </c>
      <c r="L257" s="6" t="s">
        <v>1557</v>
      </c>
    </row>
    <row r="258" ht="15.75" customHeight="1">
      <c r="A258" s="3">
        <v>259.0</v>
      </c>
      <c r="B258" s="3" t="s">
        <v>1558</v>
      </c>
      <c r="C258" s="3" t="s">
        <v>1559</v>
      </c>
      <c r="D258" s="3" t="s">
        <v>1560</v>
      </c>
      <c r="E258" s="3" t="s">
        <v>1561</v>
      </c>
      <c r="F258" s="3" t="s">
        <v>1562</v>
      </c>
      <c r="G258" s="3" t="s">
        <v>24</v>
      </c>
      <c r="H258" s="4" t="str">
        <f>HYPERLINK("https://bluebells.org/", "https://bluebells.org/")</f>
        <v>https://bluebells.org/</v>
      </c>
      <c r="J258" s="3" t="str">
        <f>HYPERLINK("tel:+911244698888", "+911244698888")</f>
        <v>+911244698888</v>
      </c>
      <c r="K258" s="5" t="str">
        <f>HYPERLINK("mailto:bbms@bluebells.org", "bbms@bluebells.org")</f>
        <v>bbms@bluebells.org</v>
      </c>
      <c r="L258" s="6" t="s">
        <v>1563</v>
      </c>
    </row>
    <row r="259" ht="15.75" customHeight="1">
      <c r="A259" s="3">
        <v>260.0</v>
      </c>
      <c r="B259" s="3" t="s">
        <v>1564</v>
      </c>
      <c r="C259" s="3" t="s">
        <v>1565</v>
      </c>
      <c r="D259" s="3" t="s">
        <v>1566</v>
      </c>
      <c r="E259" s="3" t="s">
        <v>1567</v>
      </c>
      <c r="F259" s="3" t="s">
        <v>1568</v>
      </c>
      <c r="G259" s="3" t="s">
        <v>24</v>
      </c>
      <c r="H259" s="4" t="str">
        <f>HYPERLINK("https://saintsoldierschool.org/", "https://saintsoldierschool.org/")</f>
        <v>https://saintsoldierschool.org/</v>
      </c>
      <c r="I259" s="3" t="s">
        <v>1569</v>
      </c>
      <c r="J259" s="3" t="str">
        <f>HYPERLINK("tel:+911722565184", "+911722565184")</f>
        <v>+911722565184</v>
      </c>
      <c r="K259" s="5" t="str">
        <f>HYPERLINK("mailto:saintsoldierschool@yahoo.in", "saintsoldierschool@yahoo.in")</f>
        <v>saintsoldierschool@yahoo.in</v>
      </c>
      <c r="L259" s="6" t="s">
        <v>1570</v>
      </c>
    </row>
    <row r="260" ht="15.75" customHeight="1">
      <c r="A260" s="3">
        <v>261.0</v>
      </c>
      <c r="B260" s="3" t="s">
        <v>1571</v>
      </c>
      <c r="C260" s="3" t="s">
        <v>1572</v>
      </c>
      <c r="D260" s="3" t="s">
        <v>1573</v>
      </c>
      <c r="E260" s="3" t="s">
        <v>1574</v>
      </c>
      <c r="F260" s="3" t="s">
        <v>1575</v>
      </c>
      <c r="G260" s="3" t="s">
        <v>182</v>
      </c>
      <c r="H260" s="4" t="str">
        <f>HYPERLINK("https://www.springdales.org/", "https://www.springdales.org/")</f>
        <v>https://www.springdales.org/</v>
      </c>
      <c r="J260" s="3" t="str">
        <f>HYPERLINK("tel:+919797723761", "+919797723761")</f>
        <v>+919797723761</v>
      </c>
      <c r="K260" s="5" t="str">
        <f>HYPERLINK("mailto:info@springdales.in", "info@springdales.in")</f>
        <v>info@springdales.in</v>
      </c>
      <c r="L260" s="6"/>
    </row>
    <row r="261" ht="15.75" customHeight="1">
      <c r="A261" s="3">
        <v>262.0</v>
      </c>
      <c r="B261" s="3" t="s">
        <v>1576</v>
      </c>
      <c r="C261" s="3" t="s">
        <v>1577</v>
      </c>
      <c r="D261" s="3" t="s">
        <v>1578</v>
      </c>
      <c r="E261" s="3" t="s">
        <v>1579</v>
      </c>
      <c r="F261" s="3" t="s">
        <v>1580</v>
      </c>
      <c r="G261" s="3" t="s">
        <v>182</v>
      </c>
      <c r="H261" s="4" t="str">
        <f>HYPERLINK("https://schools.org.in/anantnag/01061601403/ps-harpora-draway.html", "https://schools.org.in/anantnag/01061601403/ps-harpora-draway.html")</f>
        <v>https://schools.org.in/anantnag/01061601403/ps-harpora-draway.html</v>
      </c>
      <c r="I261" s="3" t="s">
        <v>1581</v>
      </c>
      <c r="J261" s="3" t="str">
        <f>HYPERLINK("tel:+917006745684", "+917006745684")</f>
        <v>+917006745684</v>
      </c>
      <c r="K261" s="5" t="str">
        <f>HYPERLINK("mailto:mskhudlassipora15@gmail.com", "mskhudlassipora15@gmail.com")</f>
        <v>mskhudlassipora15@gmail.com</v>
      </c>
      <c r="L261" s="6" t="s">
        <v>1582</v>
      </c>
    </row>
    <row r="262" ht="15.75" customHeight="1">
      <c r="A262" s="3">
        <v>263.0</v>
      </c>
      <c r="B262" s="3" t="s">
        <v>1583</v>
      </c>
      <c r="C262" s="3" t="s">
        <v>1584</v>
      </c>
      <c r="D262" s="3" t="s">
        <v>1585</v>
      </c>
      <c r="E262" s="3" t="s">
        <v>1586</v>
      </c>
      <c r="F262" s="3" t="s">
        <v>1587</v>
      </c>
      <c r="G262" s="3" t="s">
        <v>182</v>
      </c>
      <c r="H262" s="4" t="str">
        <f>HYPERLINK("https://kathua.kvs.ac.in/en/", "https://kathua.kvs.ac.in/en/")</f>
        <v>https://kathua.kvs.ac.in/en/</v>
      </c>
      <c r="I262" s="3" t="s">
        <v>86</v>
      </c>
      <c r="J262" s="3" t="str">
        <f>HYPERLINK("tel:+911922291301", "+911922291301")</f>
        <v>+911922291301</v>
      </c>
      <c r="K262" s="5" t="str">
        <f>HYPERLINK("mailto:nan", "nan")</f>
        <v>nan</v>
      </c>
      <c r="L262" s="6" t="s">
        <v>711</v>
      </c>
    </row>
    <row r="263" ht="15.75" customHeight="1">
      <c r="A263" s="3">
        <v>264.0</v>
      </c>
      <c r="B263" s="3" t="s">
        <v>1588</v>
      </c>
      <c r="C263" s="3" t="s">
        <v>1589</v>
      </c>
      <c r="D263" s="3" t="s">
        <v>1590</v>
      </c>
      <c r="E263" s="3" t="s">
        <v>1591</v>
      </c>
      <c r="F263" s="3" t="s">
        <v>1592</v>
      </c>
      <c r="G263" s="3" t="s">
        <v>58</v>
      </c>
      <c r="H263" s="4" t="str">
        <f>HYPERLINK("https://www.trkhss.org/", "https://www.trkhss.org/")</f>
        <v>https://www.trkhss.org/</v>
      </c>
      <c r="I263" s="3" t="s">
        <v>1593</v>
      </c>
      <c r="J263" s="3" t="str">
        <f>HYPERLINK("tel:+914662227774", "+914662227774")</f>
        <v>+914662227774</v>
      </c>
      <c r="K263" s="5" t="str">
        <f>HYPERLINK("mailto:trk9043@gmail.com", "trk9043@gmail.com")</f>
        <v>trk9043@gmail.com</v>
      </c>
      <c r="L263" s="6" t="s">
        <v>1594</v>
      </c>
    </row>
    <row r="264" ht="15.75" customHeight="1">
      <c r="A264" s="3">
        <v>265.0</v>
      </c>
      <c r="B264" s="3" t="s">
        <v>1595</v>
      </c>
      <c r="C264" s="3" t="s">
        <v>1596</v>
      </c>
      <c r="D264" s="3" t="s">
        <v>1597</v>
      </c>
      <c r="E264" s="3" t="s">
        <v>1598</v>
      </c>
      <c r="F264" s="3" t="s">
        <v>1599</v>
      </c>
      <c r="G264" s="3" t="s">
        <v>58</v>
      </c>
      <c r="H264" s="4" t="str">
        <f>HYPERLINK("https://en.wikipedia.org/wiki/Government_Higher_Secondary_School_for_Girls,_Cotton_Hill", "https://en.wikipedia.org/wiki/Government_Higher_Secondary_School_for_Girls,_Cotton_Hill")</f>
        <v>https://en.wikipedia.org/wiki/Government_Higher_Secondary_School_for_Girls,_Cotton_Hill</v>
      </c>
      <c r="I264" s="3" t="s">
        <v>1600</v>
      </c>
      <c r="J264" s="3" t="str">
        <f>HYPERLINK("tel:+911285238532", "+911285238532")</f>
        <v>+911285238532</v>
      </c>
      <c r="K264" s="5" t="str">
        <f>HYPERLINK("mailto:nan", "nan")</f>
        <v>nan</v>
      </c>
      <c r="L264" s="6" t="s">
        <v>1601</v>
      </c>
    </row>
    <row r="265" ht="15.75" customHeight="1">
      <c r="A265" s="3">
        <v>266.0</v>
      </c>
      <c r="B265" s="3" t="s">
        <v>1602</v>
      </c>
      <c r="C265" s="3" t="s">
        <v>1603</v>
      </c>
      <c r="D265" s="3" t="s">
        <v>1604</v>
      </c>
      <c r="E265" s="3" t="s">
        <v>1605</v>
      </c>
      <c r="F265" s="3" t="s">
        <v>1606</v>
      </c>
      <c r="G265" s="3" t="s">
        <v>38</v>
      </c>
      <c r="H265" s="4" t="str">
        <f>HYPERLINK("https://www.facebook.com/p/Baba-Nanak-Sindhi-Hindi-High-School-and-Junior-College-100077136821934/", "https://www.facebook.com/p/Baba-Nanak-Sindhi-Hindi-High-School-and-Junior-College-100077136821934/")</f>
        <v>https://www.facebook.com/p/Baba-Nanak-Sindhi-Hindi-High-School-and-Junior-College-100077136821934/</v>
      </c>
      <c r="I265" s="3" t="s">
        <v>1607</v>
      </c>
      <c r="J265" s="3" t="str">
        <f>HYPERLINK("tel:+917740066521", "+917740066521")</f>
        <v>+917740066521</v>
      </c>
      <c r="K265" s="5" t="str">
        <f>HYPERLINK("mailto:info@sgni.in", "info@sgni.in")</f>
        <v>info@sgni.in</v>
      </c>
      <c r="L265" s="6" t="s">
        <v>1608</v>
      </c>
    </row>
    <row r="266" ht="15.75" customHeight="1">
      <c r="A266" s="3">
        <v>267.0</v>
      </c>
      <c r="B266" s="3" t="s">
        <v>1609</v>
      </c>
      <c r="C266" s="3" t="s">
        <v>1610</v>
      </c>
      <c r="D266" s="3" t="s">
        <v>1611</v>
      </c>
      <c r="E266" s="3" t="s">
        <v>1612</v>
      </c>
      <c r="F266" s="3" t="s">
        <v>1613</v>
      </c>
      <c r="G266" s="3" t="s">
        <v>38</v>
      </c>
      <c r="H266" s="4" t="str">
        <f>HYPERLINK("https://schools.org.in/satara/27311026405/bhimabai-ambedakar-kanya-schoo.html", "https://schools.org.in/satara/27311026405/bhimabai-ambedakar-kanya-schoo.html")</f>
        <v>https://schools.org.in/satara/27311026405/bhimabai-ambedakar-kanya-schoo.html</v>
      </c>
      <c r="I266" s="3" t="s">
        <v>1614</v>
      </c>
      <c r="J266" s="3" t="str">
        <f>HYPERLINK("tel:+912162239407", "+912162239407")</f>
        <v>+912162239407</v>
      </c>
      <c r="K266" s="5" t="str">
        <f>HYPERLINK("mailto:contact@mappls.com", "contact@mappls.com")</f>
        <v>contact@mappls.com</v>
      </c>
      <c r="L266" s="6" t="s">
        <v>1615</v>
      </c>
    </row>
    <row r="267" ht="15.75" customHeight="1">
      <c r="A267" s="3">
        <v>268.0</v>
      </c>
      <c r="B267" s="3" t="s">
        <v>1616</v>
      </c>
      <c r="C267" s="3" t="s">
        <v>1617</v>
      </c>
      <c r="D267" s="3" t="s">
        <v>1618</v>
      </c>
      <c r="E267" s="3" t="s">
        <v>1619</v>
      </c>
      <c r="F267" s="3" t="s">
        <v>1620</v>
      </c>
      <c r="G267" s="3" t="s">
        <v>356</v>
      </c>
      <c r="H267" s="4" t="str">
        <f>HYPERLINK("https://sirs.edu.in/", "https://sirs.edu.in/")</f>
        <v>https://sirs.edu.in/</v>
      </c>
      <c r="J267" s="3" t="str">
        <f>HYPERLINK("tel:+918114368700", "+918114368700")</f>
        <v>+918114368700</v>
      </c>
      <c r="K267" s="5" t="str">
        <f>HYPERLINK("mailto:admissions@sirs.edu.in", "admissions@sirs.edu.in")</f>
        <v>admissions@sirs.edu.in</v>
      </c>
      <c r="L267" s="6" t="s">
        <v>1621</v>
      </c>
    </row>
    <row r="268" ht="15.75" customHeight="1">
      <c r="A268" s="3">
        <v>269.0</v>
      </c>
      <c r="B268" s="3" t="s">
        <v>1622</v>
      </c>
      <c r="C268" s="3" t="s">
        <v>1623</v>
      </c>
      <c r="D268" s="3" t="s">
        <v>1624</v>
      </c>
      <c r="E268" s="3" t="s">
        <v>1625</v>
      </c>
      <c r="F268" s="3" t="s">
        <v>1626</v>
      </c>
      <c r="G268" s="3" t="s">
        <v>265</v>
      </c>
      <c r="H268" s="4" t="str">
        <f>HYPERLINK("https://dugri.bcmschools.org/", "https://dugri.bcmschools.org/")</f>
        <v>https://dugri.bcmschools.org/</v>
      </c>
      <c r="J268" s="3" t="str">
        <f>HYPERLINK("tel:+919781198099", "+919781198099")</f>
        <v>+919781198099</v>
      </c>
      <c r="K268" s="5" t="str">
        <f>HYPERLINK("mailto:Info.dugri@bcmf.org.in", "Info.dugri@bcmf.org.in")</f>
        <v>Info.dugri@bcmf.org.in</v>
      </c>
      <c r="L268" s="6"/>
    </row>
    <row r="269" ht="15.75" customHeight="1">
      <c r="A269" s="3">
        <v>270.0</v>
      </c>
      <c r="B269" s="3" t="s">
        <v>1627</v>
      </c>
      <c r="C269" s="3" t="s">
        <v>1628</v>
      </c>
      <c r="D269" s="3" t="s">
        <v>1629</v>
      </c>
      <c r="E269" s="3" t="s">
        <v>1630</v>
      </c>
      <c r="F269" s="3" t="s">
        <v>1631</v>
      </c>
      <c r="G269" s="3" t="s">
        <v>265</v>
      </c>
      <c r="H269" s="4" t="str">
        <f>HYPERLINK("https://www.apsmadhopur.org/Contact_details.php", "https://www.apsmadhopur.org/Contact_details.php")</f>
        <v>https://www.apsmadhopur.org/Contact_details.php</v>
      </c>
      <c r="I269" s="3" t="s">
        <v>1632</v>
      </c>
      <c r="J269" s="3" t="str">
        <f>HYPERLINK("tel:+919988993501", "+919988993501")</f>
        <v>+919988993501</v>
      </c>
      <c r="K269" s="5" t="str">
        <f>HYPERLINK("mailto:info@careers360.com", "info@careers360.com")</f>
        <v>info@careers360.com</v>
      </c>
      <c r="L269" s="6" t="s">
        <v>1633</v>
      </c>
    </row>
    <row r="270" ht="15.75" customHeight="1">
      <c r="A270" s="3">
        <v>271.0</v>
      </c>
      <c r="B270" s="3" t="s">
        <v>1634</v>
      </c>
      <c r="C270" s="3" t="s">
        <v>1635</v>
      </c>
      <c r="D270" s="3" t="s">
        <v>1636</v>
      </c>
      <c r="E270" s="3" t="s">
        <v>1637</v>
      </c>
      <c r="F270" s="3" t="s">
        <v>1638</v>
      </c>
      <c r="G270" s="3" t="s">
        <v>138</v>
      </c>
      <c r="H270" s="4" t="str">
        <f>HYPERLINK("https://sunbeamschools.com/default.aspx", "https://sunbeamschools.com/default.aspx")</f>
        <v>https://sunbeamschools.com/default.aspx</v>
      </c>
      <c r="J270" s="3" t="str">
        <f>HYPERLINK("tel:+919721452435", "+919721452435")</f>
        <v>+919721452435</v>
      </c>
      <c r="K270" s="5" t="str">
        <f>HYPERLINK("mailto:info@sunbeamwcv.com", "info@sunbeamwcv.com")</f>
        <v>info@sunbeamwcv.com</v>
      </c>
      <c r="L270" s="6" t="s">
        <v>1042</v>
      </c>
    </row>
    <row r="271" ht="15.75" customHeight="1">
      <c r="A271" s="3">
        <v>272.0</v>
      </c>
      <c r="B271" s="3" t="s">
        <v>1639</v>
      </c>
      <c r="C271" s="3" t="s">
        <v>1640</v>
      </c>
      <c r="D271" s="3" t="s">
        <v>1641</v>
      </c>
      <c r="E271" s="3" t="s">
        <v>1642</v>
      </c>
      <c r="F271" s="3" t="s">
        <v>1643</v>
      </c>
      <c r="G271" s="3" t="s">
        <v>958</v>
      </c>
      <c r="H271" s="4" t="str">
        <f>HYPERLINK("https://bolpur.kvs.ac.in/en/contact-us/", "https://bolpur.kvs.ac.in/en/contact-us/")</f>
        <v>https://bolpur.kvs.ac.in/en/contact-us/</v>
      </c>
      <c r="I271" s="3" t="s">
        <v>1644</v>
      </c>
      <c r="J271" s="3" t="str">
        <f>HYPERLINK("tel:+918709076138", "+918709076138")</f>
        <v>+918709076138</v>
      </c>
      <c r="K271" s="5" t="str">
        <f>HYPERLINK("mailto:kvbolpur2010@gmail.com", "kvbolpur2010@gmail.com")</f>
        <v>kvbolpur2010@gmail.com</v>
      </c>
      <c r="L271" s="6" t="s">
        <v>1645</v>
      </c>
    </row>
    <row r="272" ht="15.75" customHeight="1">
      <c r="A272" s="3">
        <v>273.0</v>
      </c>
      <c r="B272" s="3" t="s">
        <v>1646</v>
      </c>
      <c r="C272" s="3" t="s">
        <v>1647</v>
      </c>
      <c r="D272" s="3" t="s">
        <v>1648</v>
      </c>
      <c r="E272" s="3" t="s">
        <v>1649</v>
      </c>
      <c r="F272" s="3" t="s">
        <v>1650</v>
      </c>
      <c r="G272" s="3" t="s">
        <v>229</v>
      </c>
      <c r="H272" s="4" t="str">
        <f>HYPERLINK("http://cgschool.in/SAEMS/SchoolWebsite/School.aspx?UdiseId=22110437302", "http://cgschool.in/SAEMS/SchoolWebsite/School.aspx?UdiseId=22110437302")</f>
        <v>http://cgschool.in/SAEMS/SchoolWebsite/School.aspx?UdiseId=22110437302</v>
      </c>
      <c r="J272" s="3" t="str">
        <f>HYPERLINK("tel:+917712331385", "+917712331385")</f>
        <v>+917712331385</v>
      </c>
      <c r="K272" s="5" t="str">
        <f>HYPERLINK("mailto:cg.dpi.dir@gmail.com", "cg.dpi.dir@gmail.com")</f>
        <v>cg.dpi.dir@gmail.com</v>
      </c>
      <c r="L272" s="6" t="s">
        <v>1651</v>
      </c>
    </row>
    <row r="273" ht="15.75" customHeight="1">
      <c r="A273" s="3">
        <v>274.0</v>
      </c>
      <c r="B273" s="3" t="s">
        <v>1652</v>
      </c>
      <c r="C273" s="3" t="s">
        <v>1653</v>
      </c>
      <c r="D273" s="3" t="s">
        <v>1654</v>
      </c>
      <c r="E273" s="3" t="s">
        <v>1655</v>
      </c>
      <c r="F273" s="3" t="s">
        <v>1656</v>
      </c>
      <c r="G273" s="3" t="s">
        <v>100</v>
      </c>
      <c r="H273" s="4" t="str">
        <f>HYPERLINK("https://www.mothersglobal.in/", "https://www.mothersglobal.in/")</f>
        <v>https://www.mothersglobal.in/</v>
      </c>
      <c r="J273" s="3" t="str">
        <f>HYPERLINK("tel:+911140500737", "+911140500737")</f>
        <v>+911140500737</v>
      </c>
      <c r="K273" s="5" t="str">
        <f>HYPERLINK("mailto:nan", "nan")</f>
        <v>nan</v>
      </c>
      <c r="L273" s="6"/>
    </row>
    <row r="274" ht="15.75" customHeight="1">
      <c r="A274" s="3">
        <v>275.0</v>
      </c>
      <c r="B274" s="3" t="s">
        <v>1657</v>
      </c>
      <c r="C274" s="3" t="s">
        <v>171</v>
      </c>
      <c r="D274" s="3" t="s">
        <v>1658</v>
      </c>
      <c r="E274" s="3" t="s">
        <v>1659</v>
      </c>
      <c r="F274" s="3" t="s">
        <v>174</v>
      </c>
      <c r="G274" s="3" t="s">
        <v>175</v>
      </c>
      <c r="H274" s="4" t="str">
        <f>HYPERLINK("https://anandniketanmaninagar.org/", "https://anandniketanmaninagar.org/")</f>
        <v>https://anandniketanmaninagar.org/</v>
      </c>
      <c r="J274" s="3" t="str">
        <f>HYPERLINK("tel:+919662115555", "+919662115555")</f>
        <v>+919662115555</v>
      </c>
      <c r="K274" s="5" t="str">
        <f>HYPERLINK("mailto:anmaninagar@anandniketan.org", "anmaninagar@anandniketan.org")</f>
        <v>anmaninagar@anandniketan.org</v>
      </c>
      <c r="L274" s="6" t="s">
        <v>176</v>
      </c>
    </row>
    <row r="275" ht="15.75" customHeight="1">
      <c r="A275" s="3">
        <v>276.0</v>
      </c>
      <c r="B275" s="3" t="s">
        <v>1660</v>
      </c>
      <c r="C275" s="3" t="s">
        <v>1661</v>
      </c>
      <c r="D275" s="3" t="s">
        <v>1662</v>
      </c>
      <c r="E275" s="3" t="s">
        <v>1663</v>
      </c>
      <c r="F275" s="3" t="s">
        <v>1664</v>
      </c>
      <c r="G275" s="3" t="s">
        <v>182</v>
      </c>
      <c r="H275" s="4" t="str">
        <f>HYPERLINK("https://schools.org.in/shopian/01150902501/high-school-shadab-karewa.html", "https://schools.org.in/shopian/01150902501/high-school-shadab-karewa.html")</f>
        <v>https://schools.org.in/shopian/01150902501/high-school-shadab-karewa.html</v>
      </c>
      <c r="I275" s="3" t="s">
        <v>1665</v>
      </c>
      <c r="J275" s="3" t="str">
        <f>HYPERLINK("tel:+911150902501", "+911150902501")</f>
        <v>+911150902501</v>
      </c>
      <c r="K275" s="5" t="str">
        <f>HYPERLINK("mailto:C@D8v.DlX", "C@D8v.DlX")</f>
        <v>C@D8v.DlX</v>
      </c>
      <c r="L275" s="6" t="s">
        <v>1666</v>
      </c>
    </row>
    <row r="276" ht="15.75" customHeight="1">
      <c r="A276" s="3">
        <v>277.0</v>
      </c>
      <c r="B276" s="3" t="s">
        <v>1667</v>
      </c>
      <c r="C276" s="3" t="s">
        <v>1668</v>
      </c>
      <c r="D276" s="3" t="s">
        <v>1669</v>
      </c>
      <c r="E276" s="3" t="s">
        <v>1670</v>
      </c>
      <c r="F276" s="3" t="s">
        <v>1671</v>
      </c>
      <c r="G276" s="3" t="s">
        <v>31</v>
      </c>
      <c r="H276" s="4" t="str">
        <f>HYPERLINK("https://www.blossomsschool.in/programs", "https://www.blossomsschool.in/programs")</f>
        <v>https://www.blossomsschool.in/programs</v>
      </c>
      <c r="J276" s="3" t="str">
        <f>HYPERLINK("tel:+919937478699", "+919937478699")</f>
        <v>+919937478699</v>
      </c>
      <c r="K276" s="5" t="str">
        <f>HYPERLINK("mailto:blossoms@blossomsschool.in", "blossoms@blossomsschool.in")</f>
        <v>blossoms@blossomsschool.in</v>
      </c>
      <c r="L276" s="6"/>
    </row>
    <row r="277" ht="15.75" customHeight="1">
      <c r="A277" s="3">
        <v>278.0</v>
      </c>
      <c r="B277" s="3" t="s">
        <v>1672</v>
      </c>
      <c r="C277" s="3" t="s">
        <v>1673</v>
      </c>
      <c r="D277" s="3" t="s">
        <v>1674</v>
      </c>
      <c r="E277" s="3" t="s">
        <v>1675</v>
      </c>
      <c r="F277" s="3" t="s">
        <v>1103</v>
      </c>
      <c r="G277" s="3" t="s">
        <v>31</v>
      </c>
      <c r="H277" s="4" t="str">
        <f>HYPERLINK("https://navodaya.gov.in/nvs/nvs-school/BANGALOREURBAN/en/home/", "https://navodaya.gov.in/nvs/nvs-school/BANGALOREURBAN/en/home/")</f>
        <v>https://navodaya.gov.in/nvs/nvs-school/BANGALOREURBAN/en/home/</v>
      </c>
      <c r="I277" s="3" t="s">
        <v>1676</v>
      </c>
      <c r="J277" s="3" t="str">
        <f>HYPERLINK("tel:+914029700571", "+914029700571")</f>
        <v>+914029700571</v>
      </c>
      <c r="K277" s="5" t="str">
        <f>HYPERLINK("mailto:ithelpdesk.nvs@gmail.com", "ithelpdesk.nvs@gmail.com")</f>
        <v>ithelpdesk.nvs@gmail.com</v>
      </c>
      <c r="L277" s="6" t="s">
        <v>1677</v>
      </c>
    </row>
    <row r="278" ht="15.75" customHeight="1">
      <c r="A278" s="3">
        <v>279.0</v>
      </c>
      <c r="B278" s="3" t="s">
        <v>1678</v>
      </c>
      <c r="C278" s="3" t="s">
        <v>1679</v>
      </c>
      <c r="D278" s="3" t="s">
        <v>1680</v>
      </c>
      <c r="E278" s="3" t="s">
        <v>1681</v>
      </c>
      <c r="F278" s="3" t="s">
        <v>1682</v>
      </c>
      <c r="G278" s="3" t="s">
        <v>58</v>
      </c>
      <c r="H278" s="4" t="str">
        <f>HYPERLINK("https://viswadeepthischool.com/", "https://viswadeepthischool.com/")</f>
        <v>https://viswadeepthischool.com/</v>
      </c>
      <c r="J278" s="3" t="str">
        <f>HYPERLINK("tel:+914712967905", "+914712967905")</f>
        <v>+914712967905</v>
      </c>
      <c r="K278" s="5" t="str">
        <f>HYPERLINK("mailto:viswadeepthiemschool@gmail.com", "viswadeepthiemschool@gmail.com")</f>
        <v>viswadeepthiemschool@gmail.com</v>
      </c>
      <c r="L278" s="6"/>
    </row>
    <row r="279" ht="15.75" customHeight="1">
      <c r="A279" s="3">
        <v>280.0</v>
      </c>
      <c r="B279" s="3" t="s">
        <v>1683</v>
      </c>
      <c r="C279" s="3" t="s">
        <v>1684</v>
      </c>
      <c r="D279" s="3" t="s">
        <v>1685</v>
      </c>
      <c r="E279" s="3" t="s">
        <v>1686</v>
      </c>
      <c r="F279" s="3" t="s">
        <v>1687</v>
      </c>
      <c r="G279" s="3" t="s">
        <v>58</v>
      </c>
      <c r="H279" s="4" t="str">
        <f>HYPERLINK("https://schools.org.in/wayanad/32030201406/ghss-meenangadi.html", "https://schools.org.in/wayanad/32030201406/ghss-meenangadi.html")</f>
        <v>https://schools.org.in/wayanad/32030201406/ghss-meenangadi.html</v>
      </c>
      <c r="I279" s="3" t="s">
        <v>1688</v>
      </c>
      <c r="J279" s="3" t="str">
        <f>HYPERLINK("tel:+914712325106", "+914712325106")</f>
        <v>+914712325106</v>
      </c>
      <c r="K279" s="5" t="str">
        <f>HYPERLINK("mailto:dirdhse.dge@kerala.gov.in", "dirdhse.dge@kerala.gov.in")</f>
        <v>dirdhse.dge@kerala.gov.in</v>
      </c>
      <c r="L279" s="6" t="s">
        <v>1689</v>
      </c>
    </row>
    <row r="280" ht="15.75" customHeight="1">
      <c r="A280" s="3">
        <v>281.0</v>
      </c>
      <c r="B280" s="3" t="s">
        <v>1690</v>
      </c>
      <c r="C280" s="3" t="s">
        <v>1691</v>
      </c>
      <c r="D280" s="3" t="s">
        <v>1692</v>
      </c>
      <c r="E280" s="3" t="s">
        <v>1693</v>
      </c>
      <c r="F280" s="3" t="s">
        <v>1694</v>
      </c>
      <c r="G280" s="3" t="s">
        <v>115</v>
      </c>
      <c r="H280" s="4" t="str">
        <f>HYPERLINK("https://www.sjcsbhopal.com/", "https://www.sjcsbhopal.com/")</f>
        <v>https://www.sjcsbhopal.com/</v>
      </c>
      <c r="J280" s="3" t="str">
        <f>HYPERLINK("tel:nan", "nan")</f>
        <v>nan</v>
      </c>
      <c r="K280" s="5" t="str">
        <f>HYPERLINK("mailto:nan", "nan")</f>
        <v>nan</v>
      </c>
      <c r="L280" s="6" t="s">
        <v>1695</v>
      </c>
    </row>
    <row r="281" ht="15.75" customHeight="1">
      <c r="A281" s="3">
        <v>282.0</v>
      </c>
      <c r="B281" s="3" t="s">
        <v>1696</v>
      </c>
      <c r="C281" s="3" t="s">
        <v>1697</v>
      </c>
      <c r="D281" s="3" t="s">
        <v>1698</v>
      </c>
      <c r="E281" s="3" t="s">
        <v>1699</v>
      </c>
      <c r="F281" s="3" t="s">
        <v>1700</v>
      </c>
      <c r="G281" s="3" t="s">
        <v>115</v>
      </c>
      <c r="H281" s="4" t="str">
        <f>HYPERLINK("https://schools.org.in/betul/23350314307/govt-hss-jeen.html", "https://schools.org.in/betul/23350314307/govt-hss-jeen.html")</f>
        <v>https://schools.org.in/betul/23350314307/govt-hss-jeen.html</v>
      </c>
      <c r="I281" s="3" t="s">
        <v>1701</v>
      </c>
      <c r="J281" s="3" t="str">
        <f>HYPERLINK("tel:+911800111555", "+911800111555")</f>
        <v>+911800111555</v>
      </c>
      <c r="K281" s="5" t="str">
        <f>HYPERLINK("mailto:dmBetul@nic.in", "dmBetul@nic.in")</f>
        <v>dmBetul@nic.in</v>
      </c>
      <c r="L281" s="6" t="s">
        <v>1702</v>
      </c>
    </row>
    <row r="282" ht="15.75" customHeight="1">
      <c r="A282" s="3">
        <v>283.0</v>
      </c>
      <c r="B282" s="3" t="s">
        <v>1703</v>
      </c>
      <c r="C282" s="3" t="s">
        <v>1704</v>
      </c>
      <c r="D282" s="3" t="s">
        <v>1705</v>
      </c>
      <c r="E282" s="3" t="s">
        <v>1706</v>
      </c>
      <c r="F282" s="3" t="s">
        <v>1707</v>
      </c>
      <c r="G282" s="3" t="s">
        <v>38</v>
      </c>
      <c r="H282" s="4" t="str">
        <f>HYPERLINK("https://crpfmudkhed.kvs.ac.in/en/", "https://crpfmudkhed.kvs.ac.in/en/")</f>
        <v>https://crpfmudkhed.kvs.ac.in/en/</v>
      </c>
      <c r="I282" s="3" t="s">
        <v>1708</v>
      </c>
      <c r="J282" s="3" t="str">
        <f>HYPERLINK("tel:+912462275588", "+912462275588")</f>
        <v>+912462275588</v>
      </c>
      <c r="K282" s="5" t="str">
        <f>HYPERLINK("mailto:mudkhedkv@gmail.com", "mudkhedkv@gmail.com")</f>
        <v>mudkhedkv@gmail.com</v>
      </c>
      <c r="L282" s="6" t="s">
        <v>1709</v>
      </c>
    </row>
    <row r="283" ht="15.75" customHeight="1">
      <c r="A283" s="3">
        <v>284.0</v>
      </c>
      <c r="B283" s="3" t="s">
        <v>1710</v>
      </c>
      <c r="C283" s="3" t="s">
        <v>1711</v>
      </c>
      <c r="D283" s="3" t="s">
        <v>1712</v>
      </c>
      <c r="E283" s="3" t="s">
        <v>1713</v>
      </c>
      <c r="F283" s="3" t="s">
        <v>1714</v>
      </c>
      <c r="G283" s="3" t="s">
        <v>70</v>
      </c>
      <c r="H283" s="4" t="str">
        <f>HYPERLINK("https://www.subodhpublicschool.com/", "https://www.subodhpublicschool.com/")</f>
        <v>https://www.subodhpublicschool.com/</v>
      </c>
      <c r="I283" s="3" t="s">
        <v>1715</v>
      </c>
      <c r="J283" s="3" t="str">
        <f>HYPERLINK("tel:+911412568477", "+911412568477")</f>
        <v>+911412568477</v>
      </c>
      <c r="K283" s="5" t="str">
        <f>HYPERLINK("mailto:info@spsjaipur.com", "info@spsjaipur.com")</f>
        <v>info@spsjaipur.com</v>
      </c>
      <c r="L283" s="6" t="s">
        <v>1716</v>
      </c>
    </row>
    <row r="284" ht="15.75" customHeight="1">
      <c r="A284" s="3">
        <v>285.0</v>
      </c>
      <c r="B284" s="3" t="s">
        <v>1717</v>
      </c>
      <c r="C284" s="3" t="s">
        <v>1718</v>
      </c>
      <c r="D284" s="3" t="s">
        <v>1719</v>
      </c>
      <c r="E284" s="3" t="s">
        <v>1720</v>
      </c>
      <c r="F284" s="3" t="s">
        <v>1721</v>
      </c>
      <c r="G284" s="3" t="s">
        <v>1722</v>
      </c>
      <c r="H284" s="4" t="str">
        <f>HYPERLINK("https://soreng.nic.in/public-utility/mangalbaria-government-senior-secondary-school/", "https://soreng.nic.in/public-utility/mangalbaria-government-senior-secondary-school/")</f>
        <v>https://soreng.nic.in/public-utility/mangalbaria-government-senior-secondary-school/</v>
      </c>
      <c r="I284" s="3" t="s">
        <v>1723</v>
      </c>
      <c r="J284" s="3" t="str">
        <f>HYPERLINK("tel:+913595253007", "+913595253007")</f>
        <v>+913595253007</v>
      </c>
      <c r="K284" s="5" t="str">
        <f>HYPERLINK("mailto:dit-sik@nic.in", "dit-sik@nic.in")</f>
        <v>dit-sik@nic.in</v>
      </c>
      <c r="L284" s="6" t="s">
        <v>1724</v>
      </c>
    </row>
    <row r="285" ht="15.75" customHeight="1">
      <c r="A285" s="3">
        <v>286.0</v>
      </c>
      <c r="B285" s="3" t="s">
        <v>1725</v>
      </c>
      <c r="C285" s="3" t="s">
        <v>1726</v>
      </c>
      <c r="D285" s="3" t="s">
        <v>1727</v>
      </c>
      <c r="E285" s="3" t="s">
        <v>1728</v>
      </c>
      <c r="F285" s="3" t="s">
        <v>1729</v>
      </c>
      <c r="G285" s="3" t="s">
        <v>17</v>
      </c>
      <c r="H285" s="4" t="str">
        <f>HYPERLINK("https://www.royalparkschool.com/", "https://www.royalparkschool.com/")</f>
        <v>https://www.royalparkschool.com/</v>
      </c>
      <c r="J285" s="3" t="str">
        <f>HYPERLINK("tel:nan", "nan")</f>
        <v>nan</v>
      </c>
      <c r="K285" s="5" t="str">
        <f>HYPERLINK("mailto:info@careers360.com", "info@careers360.com")</f>
        <v>info@careers360.com</v>
      </c>
      <c r="L285" s="6" t="s">
        <v>1730</v>
      </c>
    </row>
    <row r="286" ht="15.75" customHeight="1">
      <c r="A286" s="3">
        <v>287.0</v>
      </c>
      <c r="B286" s="3" t="s">
        <v>1731</v>
      </c>
      <c r="C286" s="3" t="s">
        <v>1732</v>
      </c>
      <c r="D286" s="3" t="s">
        <v>1733</v>
      </c>
      <c r="E286" s="3" t="s">
        <v>1734</v>
      </c>
      <c r="F286" s="3" t="s">
        <v>1735</v>
      </c>
      <c r="G286" s="3" t="s">
        <v>138</v>
      </c>
      <c r="H286" s="4" t="str">
        <f>HYPERLINK("https://www.lpmpublicschool.in/", "https://www.lpmpublicschool.in/")</f>
        <v>https://www.lpmpublicschool.in/</v>
      </c>
      <c r="J286" s="3" t="str">
        <f>HYPERLINK("tel:+915525297080", "+915525297080")</f>
        <v>+915525297080</v>
      </c>
      <c r="K286" s="5" t="str">
        <f>HYPERLINK("mailto:info@lpmpublicschool.in", "info@lpmpublicschool.in")</f>
        <v>info@lpmpublicschool.in</v>
      </c>
      <c r="L286" s="6"/>
    </row>
    <row r="287" ht="15.75" customHeight="1">
      <c r="A287" s="3">
        <v>288.0</v>
      </c>
      <c r="B287" s="3" t="s">
        <v>1736</v>
      </c>
      <c r="C287" s="3" t="s">
        <v>1737</v>
      </c>
      <c r="D287" s="3" t="s">
        <v>1738</v>
      </c>
      <c r="E287" s="3" t="s">
        <v>1739</v>
      </c>
      <c r="F287" s="3" t="s">
        <v>1740</v>
      </c>
      <c r="G287" s="3" t="s">
        <v>100</v>
      </c>
      <c r="H287" s="4" t="str">
        <f>HYPERLINK("https://www.birla.ac.in/", "https://www.birla.ac.in/")</f>
        <v>https://www.birla.ac.in/</v>
      </c>
      <c r="J287" s="3" t="str">
        <f>HYPERLINK("tel:+911129578960", "+911129578960")</f>
        <v>+911129578960</v>
      </c>
      <c r="K287" s="5" t="str">
        <f>HYPERLINK("mailto:s.info@birla.ac.in", "s.info@birla.ac.in")</f>
        <v>s.info@birla.ac.in</v>
      </c>
      <c r="L287" s="6" t="s">
        <v>1741</v>
      </c>
    </row>
    <row r="288" ht="15.75" customHeight="1">
      <c r="A288" s="3">
        <v>289.0</v>
      </c>
      <c r="B288" s="3" t="s">
        <v>1742</v>
      </c>
      <c r="C288" s="3" t="s">
        <v>1743</v>
      </c>
      <c r="D288" s="3" t="s">
        <v>1744</v>
      </c>
      <c r="E288" s="3" t="s">
        <v>1745</v>
      </c>
      <c r="F288" s="3" t="s">
        <v>1746</v>
      </c>
      <c r="G288" s="3" t="s">
        <v>175</v>
      </c>
      <c r="H288" s="4" t="str">
        <f>HYPERLINK("https://www.neweraschool.com/", "https://www.neweraschool.com/")</f>
        <v>https://www.neweraschool.com/</v>
      </c>
      <c r="J288" s="3" t="str">
        <f>HYPERLINK("tel:+916358918980", "+916358918980")</f>
        <v>+916358918980</v>
      </c>
      <c r="K288" s="5" t="str">
        <f>HYPERLINK("mailto:newerabaroda@gmail.com", "newerabaroda@gmail.com")</f>
        <v>newerabaroda@gmail.com</v>
      </c>
      <c r="L288" s="6" t="s">
        <v>1747</v>
      </c>
    </row>
    <row r="289" ht="15.75" customHeight="1">
      <c r="A289" s="3">
        <v>290.0</v>
      </c>
      <c r="B289" s="3" t="s">
        <v>1748</v>
      </c>
      <c r="C289" s="3" t="s">
        <v>1749</v>
      </c>
      <c r="D289" s="3" t="s">
        <v>1750</v>
      </c>
      <c r="E289" s="3" t="s">
        <v>1751</v>
      </c>
      <c r="F289" s="3" t="s">
        <v>1752</v>
      </c>
      <c r="G289" s="3" t="s">
        <v>24</v>
      </c>
      <c r="H289" s="4" t="str">
        <f>HYPERLINK("https://www.lotusvalleygurgaon.com/contactus.php", "https://www.lotusvalleygurgaon.com/contactus.php")</f>
        <v>https://www.lotusvalleygurgaon.com/contactus.php</v>
      </c>
      <c r="I289" s="3" t="s">
        <v>349</v>
      </c>
      <c r="J289" s="3" t="str">
        <f>HYPERLINK("tel:+919650544997", "+919650544997")</f>
        <v>+919650544997</v>
      </c>
      <c r="K289" s="5" t="str">
        <f>HYPERLINK("mailto:principal@lotusvalleygurgaon.com", "principal@lotusvalleygurgaon.com")</f>
        <v>principal@lotusvalleygurgaon.com</v>
      </c>
      <c r="L289" s="6" t="s">
        <v>1753</v>
      </c>
    </row>
    <row r="290" ht="15.75" customHeight="1">
      <c r="A290" s="3">
        <v>291.0</v>
      </c>
      <c r="B290" s="3" t="s">
        <v>1754</v>
      </c>
      <c r="C290" s="3" t="s">
        <v>1755</v>
      </c>
      <c r="D290" s="3" t="s">
        <v>1756</v>
      </c>
      <c r="E290" s="3" t="s">
        <v>1757</v>
      </c>
      <c r="F290" s="3" t="s">
        <v>1758</v>
      </c>
      <c r="G290" s="3" t="s">
        <v>554</v>
      </c>
      <c r="H290" s="4" t="str">
        <f>HYPERLINK("https://no1bokaro.kvs.ac.in/en/", "https://no1bokaro.kvs.ac.in/en/")</f>
        <v>https://no1bokaro.kvs.ac.in/en/</v>
      </c>
      <c r="I290" s="3" t="s">
        <v>625</v>
      </c>
      <c r="J290" s="3" t="str">
        <f>HYPERLINK("tel:+916542231207", "+916542231207")</f>
        <v>+916542231207</v>
      </c>
      <c r="K290" s="5" t="str">
        <f>HYPERLINK("mailto:nan", "nan")</f>
        <v>nan</v>
      </c>
      <c r="L290" s="6" t="s">
        <v>1759</v>
      </c>
    </row>
    <row r="291" ht="15.75" customHeight="1">
      <c r="A291" s="3">
        <v>292.0</v>
      </c>
      <c r="B291" s="3" t="s">
        <v>1760</v>
      </c>
      <c r="C291" s="3" t="s">
        <v>27</v>
      </c>
      <c r="D291" s="3" t="s">
        <v>1761</v>
      </c>
      <c r="E291" s="3" t="s">
        <v>1762</v>
      </c>
      <c r="F291" s="3" t="s">
        <v>30</v>
      </c>
      <c r="G291" s="3" t="s">
        <v>31</v>
      </c>
      <c r="H291" s="4" t="str">
        <f>HYPERLINK("https://excelpublicschool.com/", "https://excelpublicschool.com/")</f>
        <v>https://excelpublicschool.com/</v>
      </c>
      <c r="J291" s="3" t="str">
        <f>HYPERLINK("tel:+918212971004", "+918212971004")</f>
        <v>+918212971004</v>
      </c>
      <c r="K291" s="5" t="str">
        <f>HYPERLINK("mailto:eps@excelpublicschool.com", "eps@excelpublicschool.com")</f>
        <v>eps@excelpublicschool.com</v>
      </c>
      <c r="L291" s="6" t="s">
        <v>32</v>
      </c>
    </row>
    <row r="292" ht="15.75" customHeight="1">
      <c r="A292" s="3">
        <v>293.0</v>
      </c>
      <c r="B292" s="3" t="s">
        <v>1763</v>
      </c>
      <c r="C292" s="3" t="s">
        <v>1764</v>
      </c>
      <c r="D292" s="3" t="s">
        <v>1765</v>
      </c>
      <c r="E292" s="3" t="s">
        <v>1766</v>
      </c>
      <c r="F292" s="3" t="s">
        <v>1767</v>
      </c>
      <c r="G292" s="3" t="s">
        <v>31</v>
      </c>
      <c r="H292" s="4" t="str">
        <f>HYPERLINK("https://www.gearac.in/", "https://www.gearac.in/")</f>
        <v>https://www.gearac.in/</v>
      </c>
      <c r="J292" s="3" t="str">
        <f>HYPERLINK("tel:+919741777799", "+919741777799")</f>
        <v>+919741777799</v>
      </c>
      <c r="K292" s="5" t="str">
        <f>HYPERLINK("mailto:contactus@gear.ac.in", "contactus@gear.ac.in")</f>
        <v>contactus@gear.ac.in</v>
      </c>
      <c r="L292" s="6"/>
    </row>
    <row r="293" ht="15.75" customHeight="1">
      <c r="A293" s="3">
        <v>294.0</v>
      </c>
      <c r="B293" s="3" t="s">
        <v>1768</v>
      </c>
      <c r="C293" s="3" t="s">
        <v>1769</v>
      </c>
      <c r="D293" s="3" t="s">
        <v>1770</v>
      </c>
      <c r="E293" s="3" t="s">
        <v>1771</v>
      </c>
      <c r="F293" s="3" t="s">
        <v>1772</v>
      </c>
      <c r="G293" s="3" t="s">
        <v>58</v>
      </c>
      <c r="H293" s="4" t="str">
        <f>HYPERLINK("http://www.lakefordschoolkollam.com/", "http://www.lakefordschoolkollam.com/")</f>
        <v>http://www.lakefordschoolkollam.com/</v>
      </c>
      <c r="I293" s="3" t="s">
        <v>1773</v>
      </c>
      <c r="J293" s="3" t="str">
        <f>HYPERLINK("tel:+914742799777", "+914742799777")</f>
        <v>+914742799777</v>
      </c>
      <c r="K293" s="5" t="str">
        <f>HYPERLINK("mailto:lakefordschool@gmail.com", "lakefordschool@gmail.com")</f>
        <v>lakefordschool@gmail.com</v>
      </c>
      <c r="L293" s="6" t="s">
        <v>1774</v>
      </c>
    </row>
    <row r="294" ht="15.75" customHeight="1">
      <c r="A294" s="3">
        <v>295.0</v>
      </c>
      <c r="B294" s="3" t="s">
        <v>1775</v>
      </c>
      <c r="C294" s="3" t="s">
        <v>1776</v>
      </c>
      <c r="D294" s="3" t="s">
        <v>1777</v>
      </c>
      <c r="E294" s="3" t="s">
        <v>1778</v>
      </c>
      <c r="F294" s="3" t="s">
        <v>1779</v>
      </c>
      <c r="G294" s="3" t="s">
        <v>115</v>
      </c>
      <c r="H294" s="4" t="str">
        <f>HYPERLINK("https://stanfordujjain.com/", "https://stanfordujjain.com/")</f>
        <v>https://stanfordujjain.com/</v>
      </c>
      <c r="J294" s="3" t="str">
        <f>HYPERLINK("tel:+917342508201", "+917342508201")</f>
        <v>+917342508201</v>
      </c>
      <c r="K294" s="5" t="str">
        <f>HYPERLINK("mailto:principal@stanfordujjain.com", "principal@stanfordujjain.com")</f>
        <v>principal@stanfordujjain.com</v>
      </c>
      <c r="L294" s="6" t="s">
        <v>1780</v>
      </c>
    </row>
    <row r="295" ht="15.75" customHeight="1">
      <c r="A295" s="3">
        <v>296.0</v>
      </c>
      <c r="B295" s="3" t="s">
        <v>1781</v>
      </c>
      <c r="C295" s="3" t="s">
        <v>586</v>
      </c>
      <c r="D295" s="3" t="s">
        <v>1782</v>
      </c>
      <c r="E295" s="3" t="s">
        <v>1783</v>
      </c>
      <c r="F295" s="3" t="s">
        <v>589</v>
      </c>
      <c r="G295" s="3" t="s">
        <v>130</v>
      </c>
      <c r="H295" s="4" t="str">
        <f>HYPERLINK("https://dpshyderabad.in/", "https://dpshyderabad.in/")</f>
        <v>https://dpshyderabad.in/</v>
      </c>
      <c r="I295" s="3" t="s">
        <v>590</v>
      </c>
      <c r="J295" s="3" t="str">
        <f>HYPERLINK("tel:+919676300411", "+919676300411")</f>
        <v>+919676300411</v>
      </c>
      <c r="K295" s="5" t="str">
        <f>HYPERLINK("mailto:contact@dpswarangal.in", "contact@dpswarangal.in")</f>
        <v>contact@dpswarangal.in</v>
      </c>
      <c r="L295" s="6" t="s">
        <v>591</v>
      </c>
    </row>
    <row r="296" ht="15.75" customHeight="1">
      <c r="A296" s="3">
        <v>297.0</v>
      </c>
      <c r="B296" s="3" t="s">
        <v>1784</v>
      </c>
      <c r="C296" s="3" t="s">
        <v>1785</v>
      </c>
      <c r="D296" s="3" t="s">
        <v>1786</v>
      </c>
      <c r="E296" s="3" t="s">
        <v>1787</v>
      </c>
      <c r="F296" s="3" t="s">
        <v>1788</v>
      </c>
      <c r="G296" s="3" t="s">
        <v>85</v>
      </c>
      <c r="H296" s="4" t="str">
        <f>HYPERLINK("https://rcabegusarai.in/", "https://rcabegusarai.in/")</f>
        <v>https://rcabegusarai.in/</v>
      </c>
      <c r="J296" s="3" t="str">
        <f>HYPERLINK("tel:+919334283090", "+919334283090")</f>
        <v>+919334283090</v>
      </c>
      <c r="K296" s="5" t="str">
        <f>HYPERLINK("mailto:mukeshkrrca@gmail.com", "mukeshkrrca@gmail.com")</f>
        <v>mukeshkrrca@gmail.com</v>
      </c>
      <c r="L296" s="6" t="s">
        <v>1789</v>
      </c>
    </row>
    <row r="297" ht="15.75" customHeight="1">
      <c r="A297" s="3">
        <v>298.0</v>
      </c>
      <c r="B297" s="3" t="s">
        <v>1790</v>
      </c>
      <c r="C297" s="3" t="s">
        <v>1791</v>
      </c>
      <c r="D297" s="3" t="s">
        <v>1792</v>
      </c>
      <c r="E297" s="3" t="s">
        <v>1793</v>
      </c>
      <c r="F297" s="3" t="s">
        <v>1794</v>
      </c>
      <c r="G297" s="3" t="s">
        <v>100</v>
      </c>
      <c r="H297" s="4" t="str">
        <f>HYPERLINK("https://www.bbpsmv.com/", "https://www.bbpsmv.com/")</f>
        <v>https://www.bbpsmv.com/</v>
      </c>
      <c r="J297" s="3" t="str">
        <f>HYPERLINK("tel:+911122774591", "+911122774591")</f>
        <v>+911122774591</v>
      </c>
      <c r="K297" s="5" t="str">
        <f>HYPERLINK("mailto:info@bbpsln.com", "info@bbpsln.com")</f>
        <v>info@bbpsln.com</v>
      </c>
      <c r="L297" s="6" t="s">
        <v>1795</v>
      </c>
    </row>
    <row r="298" ht="15.75" customHeight="1">
      <c r="A298" s="3">
        <v>299.0</v>
      </c>
      <c r="B298" s="3" t="s">
        <v>1796</v>
      </c>
      <c r="C298" s="3" t="s">
        <v>1797</v>
      </c>
      <c r="D298" s="3" t="s">
        <v>1798</v>
      </c>
      <c r="E298" s="3" t="s">
        <v>1799</v>
      </c>
      <c r="F298" s="3" t="s">
        <v>1800</v>
      </c>
      <c r="G298" s="3" t="s">
        <v>24</v>
      </c>
      <c r="H298" s="4" t="str">
        <f>HYPERLINK("https://moderndis.org/", "https://moderndis.org/")</f>
        <v>https://moderndis.org/</v>
      </c>
      <c r="J298" s="3" t="str">
        <f>HYPERLINK("tel:+911294241500", "+911294241500")</f>
        <v>+911294241500</v>
      </c>
      <c r="K298" s="5" t="str">
        <f>HYPERLINK("mailto:info@dpsfsis.com", "info@dpsfsis.com")</f>
        <v>info@dpsfsis.com</v>
      </c>
      <c r="L298" s="6" t="s">
        <v>1801</v>
      </c>
    </row>
    <row r="299" ht="15.75" customHeight="1">
      <c r="A299" s="3">
        <v>300.0</v>
      </c>
      <c r="B299" s="3" t="s">
        <v>1802</v>
      </c>
      <c r="C299" s="3" t="s">
        <v>1803</v>
      </c>
      <c r="D299" s="3" t="s">
        <v>1804</v>
      </c>
      <c r="E299" s="3" t="s">
        <v>1805</v>
      </c>
      <c r="F299" s="3" t="s">
        <v>1806</v>
      </c>
      <c r="G299" s="3" t="s">
        <v>182</v>
      </c>
      <c r="H299" s="4" t="str">
        <f>HYPERLINK("https://www.facebook.com/p/Govt-Boys-Higher-Secondary-School-Wagoora-100066676537894/", "https://www.facebook.com/p/Govt-Boys-Higher-Secondary-School-Wagoora-100066676537894/")</f>
        <v>https://www.facebook.com/p/Govt-Boys-Higher-Secondary-School-Wagoora-100066676537894/</v>
      </c>
      <c r="I299" s="3" t="s">
        <v>1807</v>
      </c>
      <c r="J299" s="3" t="str">
        <f>HYPERLINK("tel:nan", "nan")</f>
        <v>nan</v>
      </c>
      <c r="K299" s="5" t="str">
        <f t="shared" ref="K299:K301" si="23">HYPERLINK("mailto:nan", "nan")</f>
        <v>nan</v>
      </c>
      <c r="L299" s="6" t="s">
        <v>1808</v>
      </c>
    </row>
    <row r="300" ht="15.75" customHeight="1">
      <c r="A300" s="3">
        <v>301.0</v>
      </c>
      <c r="B300" s="3" t="s">
        <v>1809</v>
      </c>
      <c r="C300" s="3" t="s">
        <v>1810</v>
      </c>
      <c r="D300" s="3" t="s">
        <v>1811</v>
      </c>
      <c r="E300" s="3" t="s">
        <v>1812</v>
      </c>
      <c r="F300" s="3" t="s">
        <v>1813</v>
      </c>
      <c r="G300" s="3" t="s">
        <v>58</v>
      </c>
      <c r="H300" s="4" t="str">
        <f>HYPERLINK("https://trivendrampangode.kvs.ac.in/en/", "https://trivendrampangode.kvs.ac.in/en/")</f>
        <v>https://trivendrampangode.kvs.ac.in/en/</v>
      </c>
      <c r="I300" s="3" t="s">
        <v>1814</v>
      </c>
      <c r="J300" s="3" t="str">
        <f>HYPERLINK("tel:+914712351784", "+914712351784")</f>
        <v>+914712351784</v>
      </c>
      <c r="K300" s="5" t="str">
        <f t="shared" si="23"/>
        <v>nan</v>
      </c>
      <c r="L300" s="6" t="s">
        <v>1815</v>
      </c>
    </row>
    <row r="301" ht="15.75" customHeight="1">
      <c r="A301" s="3">
        <v>302.0</v>
      </c>
      <c r="B301" s="3" t="s">
        <v>1816</v>
      </c>
      <c r="C301" s="3" t="s">
        <v>798</v>
      </c>
      <c r="D301" s="3" t="s">
        <v>1817</v>
      </c>
      <c r="E301" s="3" t="s">
        <v>1818</v>
      </c>
      <c r="F301" s="3" t="s">
        <v>801</v>
      </c>
      <c r="G301" s="3" t="s">
        <v>58</v>
      </c>
      <c r="H301" s="4" t="str">
        <f>HYPERLINK("https://adoor.kvs.ac.in/en/", "https://adoor.kvs.ac.in/en/")</f>
        <v>https://adoor.kvs.ac.in/en/</v>
      </c>
      <c r="I301" s="3" t="s">
        <v>93</v>
      </c>
      <c r="J301" s="3" t="str">
        <f>HYPERLINK("tel:+914734224808", "+914734224808")</f>
        <v>+914734224808</v>
      </c>
      <c r="K301" s="5" t="str">
        <f t="shared" si="23"/>
        <v>nan</v>
      </c>
      <c r="L301" s="6" t="s">
        <v>802</v>
      </c>
    </row>
    <row r="302" ht="15.75" customHeight="1">
      <c r="A302" s="3">
        <v>303.0</v>
      </c>
      <c r="B302" s="3" t="s">
        <v>1819</v>
      </c>
      <c r="C302" s="3" t="s">
        <v>1118</v>
      </c>
      <c r="D302" s="3" t="s">
        <v>1820</v>
      </c>
      <c r="E302" s="3" t="s">
        <v>1821</v>
      </c>
      <c r="F302" s="3" t="s">
        <v>1121</v>
      </c>
      <c r="G302" s="3" t="s">
        <v>130</v>
      </c>
      <c r="H302" s="4" t="str">
        <f>HYPERLINK("https://www.dpsnacharam.in/", "https://www.dpsnacharam.in/")</f>
        <v>https://www.dpsnacharam.in/</v>
      </c>
      <c r="I302" s="3" t="s">
        <v>1122</v>
      </c>
      <c r="J302" s="3" t="str">
        <f>HYPERLINK("tel:+917670900348", "+917670900348")</f>
        <v>+917670900348</v>
      </c>
      <c r="K302" s="5" t="str">
        <f>HYPERLINK("mailto:admission@dpssecunderabad.in", "admission@dpssecunderabad.in")</f>
        <v>admission@dpssecunderabad.in</v>
      </c>
      <c r="L302" s="6" t="s">
        <v>1123</v>
      </c>
    </row>
    <row r="303" ht="15.75" customHeight="1">
      <c r="A303" s="3">
        <v>304.0</v>
      </c>
      <c r="B303" s="3" t="s">
        <v>1822</v>
      </c>
      <c r="C303" s="3" t="s">
        <v>1823</v>
      </c>
      <c r="D303" s="3" t="s">
        <v>1824</v>
      </c>
      <c r="E303" s="3" t="s">
        <v>1825</v>
      </c>
      <c r="F303" s="3" t="s">
        <v>1826</v>
      </c>
      <c r="G303" s="3" t="s">
        <v>272</v>
      </c>
      <c r="H303" s="4" t="str">
        <f>HYPERLINK("https://www.recw.ac.in/our-management/", "https://www.recw.ac.in/our-management/")</f>
        <v>https://www.recw.ac.in/our-management/</v>
      </c>
      <c r="I303" s="3" t="s">
        <v>1827</v>
      </c>
      <c r="J303" s="3" t="str">
        <f>HYPERLINK("tel:+918639756876", "+918639756876")</f>
        <v>+918639756876</v>
      </c>
      <c r="K303" s="5" t="str">
        <f>HYPERLINK("mailto:principal@recw.ac.in", "principal@recw.ac.in")</f>
        <v>principal@recw.ac.in</v>
      </c>
      <c r="L303" s="6" t="s">
        <v>1828</v>
      </c>
    </row>
    <row r="304" ht="15.75" customHeight="1">
      <c r="A304" s="3">
        <v>305.0</v>
      </c>
      <c r="B304" s="3" t="s">
        <v>1829</v>
      </c>
      <c r="C304" s="3" t="s">
        <v>1830</v>
      </c>
      <c r="D304" s="3" t="s">
        <v>1831</v>
      </c>
      <c r="E304" s="3" t="s">
        <v>1832</v>
      </c>
      <c r="F304" s="3" t="s">
        <v>1833</v>
      </c>
      <c r="G304" s="3" t="s">
        <v>100</v>
      </c>
      <c r="H304" s="4" t="str">
        <f>HYPERLINK("https://vikasbharati.com/", "https://vikasbharati.com/")</f>
        <v>https://vikasbharati.com/</v>
      </c>
      <c r="J304" s="3" t="str">
        <f>HYPERLINK("tel:+911127052641", "+911127052641")</f>
        <v>+911127052641</v>
      </c>
      <c r="K304" s="5" t="str">
        <f>HYPERLINK("mailto:info@vikasbharati.com", "info@vikasbharati.com")</f>
        <v>info@vikasbharati.com</v>
      </c>
      <c r="L304" s="6" t="s">
        <v>1834</v>
      </c>
    </row>
    <row r="305" ht="15.75" customHeight="1">
      <c r="A305" s="3">
        <v>306.0</v>
      </c>
      <c r="B305" s="3" t="s">
        <v>1835</v>
      </c>
      <c r="C305" s="3" t="s">
        <v>396</v>
      </c>
      <c r="D305" s="3" t="s">
        <v>1836</v>
      </c>
      <c r="E305" s="3" t="s">
        <v>1837</v>
      </c>
      <c r="F305" s="3" t="s">
        <v>399</v>
      </c>
      <c r="G305" s="3" t="s">
        <v>31</v>
      </c>
      <c r="H305" s="4" t="str">
        <f>HYPERLINK("https://bgsnps.edu.in/", "https://bgsnps.edu.in/")</f>
        <v>https://bgsnps.edu.in/</v>
      </c>
      <c r="J305" s="3" t="str">
        <f>HYPERLINK("tel:+918026484933", "+918026484933")</f>
        <v>+918026484933</v>
      </c>
      <c r="K305" s="5" t="str">
        <f>HYPERLINK("mailto:principal@bgsnps.edu.in", "principal@bgsnps.edu.in")</f>
        <v>principal@bgsnps.edu.in</v>
      </c>
      <c r="L305" s="6" t="s">
        <v>400</v>
      </c>
    </row>
    <row r="306" ht="15.75" customHeight="1">
      <c r="A306" s="3">
        <v>307.0</v>
      </c>
      <c r="B306" s="3" t="s">
        <v>1838</v>
      </c>
      <c r="C306" s="3" t="s">
        <v>1839</v>
      </c>
      <c r="D306" s="3" t="s">
        <v>1840</v>
      </c>
      <c r="E306" s="3" t="s">
        <v>1841</v>
      </c>
      <c r="F306" s="3" t="s">
        <v>1842</v>
      </c>
      <c r="G306" s="3" t="s">
        <v>31</v>
      </c>
      <c r="H306" s="4" t="str">
        <f>HYPERLINK("https://pue.karnataka.gov.in/english", "https://pue.karnataka.gov.in/english")</f>
        <v>https://pue.karnataka.gov.in/english</v>
      </c>
      <c r="I306" s="3" t="s">
        <v>1843</v>
      </c>
      <c r="J306" s="3" t="str">
        <f>HYPERLINK("tel:+918704280141", "+918704280141")</f>
        <v>+918704280141</v>
      </c>
      <c r="K306" s="5" t="str">
        <f>HYPERLINK("mailto:jdexam.kseab@gmail.com", "jdexam.kseab@gmail.com")</f>
        <v>jdexam.kseab@gmail.com</v>
      </c>
      <c r="L306" s="6" t="s">
        <v>1844</v>
      </c>
    </row>
    <row r="307" ht="15.75" customHeight="1">
      <c r="A307" s="3">
        <v>308.0</v>
      </c>
      <c r="B307" s="3" t="s">
        <v>1845</v>
      </c>
      <c r="C307" s="3" t="s">
        <v>1846</v>
      </c>
      <c r="D307" s="3" t="s">
        <v>1847</v>
      </c>
      <c r="E307" s="3" t="s">
        <v>1848</v>
      </c>
      <c r="F307" s="3" t="s">
        <v>1849</v>
      </c>
      <c r="G307" s="3" t="s">
        <v>58</v>
      </c>
      <c r="H307" s="4" t="str">
        <f>HYPERLINK("https://schools.org.in/kollam/32130500402/gfhss-kuzhithura.html", "https://schools.org.in/kollam/32130500402/gfhss-kuzhithura.html")</f>
        <v>https://schools.org.in/kollam/32130500402/gfhss-kuzhithura.html</v>
      </c>
      <c r="I307" s="3" t="s">
        <v>1850</v>
      </c>
      <c r="J307" s="3" t="str">
        <f>HYPERLINK("tel:+918828130695", "+918828130695")</f>
        <v>+918828130695</v>
      </c>
      <c r="K307" s="5" t="str">
        <f t="shared" ref="K307:K308" si="24">HYPERLINK("mailto:nan", "nan")</f>
        <v>nan</v>
      </c>
      <c r="L307" s="6" t="s">
        <v>1851</v>
      </c>
    </row>
    <row r="308" ht="15.75" customHeight="1">
      <c r="A308" s="3">
        <v>309.0</v>
      </c>
      <c r="B308" s="3" t="s">
        <v>1852</v>
      </c>
      <c r="C308" s="3" t="s">
        <v>1853</v>
      </c>
      <c r="D308" s="3" t="s">
        <v>1854</v>
      </c>
      <c r="E308" s="3" t="s">
        <v>1855</v>
      </c>
      <c r="F308" s="3" t="s">
        <v>1856</v>
      </c>
      <c r="G308" s="3" t="s">
        <v>58</v>
      </c>
      <c r="H308" s="4" t="str">
        <f>HYPERLINK("https://schools.org.in/alappuzha/32110400201/mannancherry-govt-hs.html", "https://schools.org.in/alappuzha/32110400201/mannancherry-govt-hs.html")</f>
        <v>https://schools.org.in/alappuzha/32110400201/mannancherry-govt-hs.html</v>
      </c>
      <c r="I308" s="3" t="s">
        <v>1857</v>
      </c>
      <c r="J308" s="3" t="str">
        <f>HYPERLINK("tel:+917736306065", "+917736306065")</f>
        <v>+917736306065</v>
      </c>
      <c r="K308" s="5" t="str">
        <f t="shared" si="24"/>
        <v>nan</v>
      </c>
      <c r="L308" s="6" t="s">
        <v>1858</v>
      </c>
    </row>
    <row r="309" ht="15.75" customHeight="1">
      <c r="A309" s="3">
        <v>310.0</v>
      </c>
      <c r="B309" s="3" t="s">
        <v>1859</v>
      </c>
      <c r="C309" s="3" t="s">
        <v>1860</v>
      </c>
      <c r="D309" s="3" t="s">
        <v>1861</v>
      </c>
      <c r="E309" s="3" t="s">
        <v>1862</v>
      </c>
      <c r="F309" s="3" t="s">
        <v>1863</v>
      </c>
      <c r="G309" s="3" t="s">
        <v>58</v>
      </c>
      <c r="H309" s="4" t="str">
        <f>HYPERLINK("http://www.dhsekerala.gov.in/schoolist.aspx?dcode=09", "http://www.dhsekerala.gov.in/schoolist.aspx?dcode=09")</f>
        <v>http://www.dhsekerala.gov.in/schoolist.aspx?dcode=09</v>
      </c>
      <c r="I309" s="3" t="s">
        <v>1864</v>
      </c>
      <c r="J309" s="3" t="str">
        <f>HYPERLINK("tel:+914712325106", "+914712325106")</f>
        <v>+914712325106</v>
      </c>
      <c r="K309" s="5" t="str">
        <f>HYPERLINK("mailto:dirdhse.dge@kerala.gov.in", "dirdhse.dge@kerala.gov.in")</f>
        <v>dirdhse.dge@kerala.gov.in</v>
      </c>
      <c r="L309" s="6"/>
    </row>
    <row r="310" ht="15.75" customHeight="1">
      <c r="A310" s="3">
        <v>311.0</v>
      </c>
      <c r="B310" s="3" t="s">
        <v>1865</v>
      </c>
      <c r="C310" s="3" t="s">
        <v>1866</v>
      </c>
      <c r="D310" s="3" t="s">
        <v>1867</v>
      </c>
      <c r="E310" s="3" t="s">
        <v>1868</v>
      </c>
      <c r="F310" s="3" t="s">
        <v>1869</v>
      </c>
      <c r="G310" s="3" t="s">
        <v>38</v>
      </c>
      <c r="H310" s="4" t="str">
        <f>HYPERLINK("https://schools.org.in/kolhapur/27340113504/new-english-sch-for-girls.html", "https://schools.org.in/kolhapur/27340113504/new-english-sch-for-girls.html")</f>
        <v>https://schools.org.in/kolhapur/27340113504/new-english-sch-for-girls.html</v>
      </c>
      <c r="I310" s="3" t="s">
        <v>1870</v>
      </c>
      <c r="J310" s="3" t="str">
        <f>HYPERLINK("tel:+912312654811", "+912312654811")</f>
        <v>+912312654811</v>
      </c>
      <c r="K310" s="5" t="str">
        <f>HYPERLINK("mailto:contact@mappls.com", "contact@mappls.com")</f>
        <v>contact@mappls.com</v>
      </c>
      <c r="L310" s="6" t="s">
        <v>1871</v>
      </c>
    </row>
    <row r="311" ht="15.75" customHeight="1">
      <c r="A311" s="3">
        <v>312.0</v>
      </c>
      <c r="B311" s="3" t="s">
        <v>1872</v>
      </c>
      <c r="C311" s="3" t="s">
        <v>1296</v>
      </c>
      <c r="D311" s="3" t="s">
        <v>1873</v>
      </c>
      <c r="E311" s="3" t="s">
        <v>1874</v>
      </c>
      <c r="F311" s="3" t="s">
        <v>1299</v>
      </c>
      <c r="G311" s="3" t="s">
        <v>138</v>
      </c>
      <c r="H311" s="4" t="str">
        <f>HYPERLINK("https://www.ipsindirapuramncr.com/", "https://www.ipsindirapuramncr.com/")</f>
        <v>https://www.ipsindirapuramncr.com/</v>
      </c>
      <c r="J311" s="3" t="str">
        <f>HYPERLINK("tel:+911202607103", "+911202607103")</f>
        <v>+911202607103</v>
      </c>
      <c r="K311" s="5" t="str">
        <f>HYPERLINK("mailto:admissions.ipsindirapuram@gmail.com", "admissions.ipsindirapuram@gmail.com")</f>
        <v>admissions.ipsindirapuram@gmail.com</v>
      </c>
      <c r="L311" s="6" t="s">
        <v>1300</v>
      </c>
    </row>
    <row r="312" ht="15.75" customHeight="1">
      <c r="A312" s="3">
        <v>313.0</v>
      </c>
      <c r="B312" s="3" t="s">
        <v>1875</v>
      </c>
      <c r="C312" s="3" t="s">
        <v>1876</v>
      </c>
      <c r="D312" s="3" t="s">
        <v>1877</v>
      </c>
      <c r="E312" s="3" t="s">
        <v>1878</v>
      </c>
      <c r="F312" s="3" t="s">
        <v>1879</v>
      </c>
      <c r="G312" s="3" t="s">
        <v>138</v>
      </c>
      <c r="H312" s="4" t="str">
        <f>HYPERLINK("https://bbpsnoida.balbharati.org/", "https://bbpsnoida.balbharati.org/")</f>
        <v>https://bbpsnoida.balbharati.org/</v>
      </c>
      <c r="J312" s="3" t="str">
        <f>HYPERLINK("tel:+917290014141", "+917290014141")</f>
        <v>+917290014141</v>
      </c>
      <c r="K312" s="5" t="str">
        <f>HYPERLINK("mailto:bbpsip@gmail.com", "bbpsip@gmail.com")</f>
        <v>bbpsip@gmail.com</v>
      </c>
      <c r="L312" s="6"/>
    </row>
    <row r="313" ht="15.75" customHeight="1">
      <c r="A313" s="3">
        <v>315.0</v>
      </c>
      <c r="B313" s="3" t="s">
        <v>1880</v>
      </c>
      <c r="C313" s="3" t="s">
        <v>1785</v>
      </c>
      <c r="D313" s="3" t="s">
        <v>1881</v>
      </c>
      <c r="E313" s="3" t="s">
        <v>1882</v>
      </c>
      <c r="F313" s="3" t="s">
        <v>1788</v>
      </c>
      <c r="G313" s="3" t="s">
        <v>85</v>
      </c>
      <c r="H313" s="4" t="str">
        <f>HYPERLINK("https://rcabegusarai.in/", "https://rcabegusarai.in/")</f>
        <v>https://rcabegusarai.in/</v>
      </c>
      <c r="J313" s="3" t="str">
        <f>HYPERLINK("tel:+919334283090", "+919334283090")</f>
        <v>+919334283090</v>
      </c>
      <c r="K313" s="5" t="str">
        <f>HYPERLINK("mailto:mukeshkrrca@gmail.com", "mukeshkrrca@gmail.com")</f>
        <v>mukeshkrrca@gmail.com</v>
      </c>
      <c r="L313" s="6" t="s">
        <v>1789</v>
      </c>
    </row>
    <row r="314" ht="15.75" customHeight="1">
      <c r="A314" s="3">
        <v>316.0</v>
      </c>
      <c r="B314" s="3" t="s">
        <v>1883</v>
      </c>
      <c r="C314" s="3" t="s">
        <v>1884</v>
      </c>
      <c r="D314" s="3" t="s">
        <v>1885</v>
      </c>
      <c r="E314" s="3" t="s">
        <v>1886</v>
      </c>
      <c r="F314" s="3" t="s">
        <v>1887</v>
      </c>
      <c r="G314" s="3" t="s">
        <v>975</v>
      </c>
      <c r="H314" s="4" t="str">
        <f>HYPERLINK("https://www.facebook.com/p/Government-High-School-Dadu-Majra-Chandigarh-100064104994172/", "https://www.facebook.com/p/Government-High-School-Dadu-Majra-Chandigarh-100064104994172/")</f>
        <v>https://www.facebook.com/p/Government-High-School-Dadu-Majra-Chandigarh-100064104994172/</v>
      </c>
      <c r="I314" s="3" t="s">
        <v>1888</v>
      </c>
      <c r="J314" s="3" t="str">
        <f>HYPERLINK("tel:+911722700274", "+911722700274")</f>
        <v>+911722700274</v>
      </c>
      <c r="K314" s="5" t="str">
        <f>HYPERLINK("mailto:info@careers360.com", "info@careers360.com")</f>
        <v>info@careers360.com</v>
      </c>
      <c r="L314" s="6" t="s">
        <v>1889</v>
      </c>
    </row>
    <row r="315" ht="15.75" customHeight="1">
      <c r="A315" s="3">
        <v>317.0</v>
      </c>
      <c r="B315" s="3" t="s">
        <v>1890</v>
      </c>
      <c r="C315" s="3" t="s">
        <v>1891</v>
      </c>
      <c r="D315" s="3" t="s">
        <v>1892</v>
      </c>
      <c r="E315" s="3" t="s">
        <v>1893</v>
      </c>
      <c r="F315" s="3" t="s">
        <v>1894</v>
      </c>
      <c r="G315" s="3" t="s">
        <v>58</v>
      </c>
      <c r="H315" s="4" t="str">
        <f>HYPERLINK("https://schools.org.in/alappuzha/32110400101/kattoor-holy-family-hss.html", "https://schools.org.in/alappuzha/32110400101/kattoor-holy-family-hss.html")</f>
        <v>https://schools.org.in/alappuzha/32110400101/kattoor-holy-family-hss.html</v>
      </c>
      <c r="I315" s="3" t="s">
        <v>1895</v>
      </c>
      <c r="J315" s="3" t="str">
        <f>HYPERLINK("tel:+914712325106", "+914712325106")</f>
        <v>+914712325106</v>
      </c>
      <c r="K315" s="5" t="str">
        <f>HYPERLINK("mailto:dirdhse.dge@kerala.gov.in", "dirdhse.dge@kerala.gov.in")</f>
        <v>dirdhse.dge@kerala.gov.in</v>
      </c>
      <c r="L315" s="6" t="s">
        <v>1896</v>
      </c>
    </row>
    <row r="316" ht="15.75" customHeight="1">
      <c r="A316" s="3">
        <v>318.0</v>
      </c>
      <c r="B316" s="3" t="s">
        <v>1897</v>
      </c>
      <c r="C316" s="3" t="s">
        <v>1898</v>
      </c>
      <c r="D316" s="3" t="s">
        <v>1899</v>
      </c>
      <c r="E316" s="3" t="s">
        <v>1900</v>
      </c>
      <c r="F316" s="3" t="s">
        <v>1901</v>
      </c>
      <c r="G316" s="3" t="s">
        <v>38</v>
      </c>
      <c r="H316" s="4" t="str">
        <f>HYPERLINK("https://adtbaramaticbse.org/", "https://adtbaramaticbse.org/")</f>
        <v>https://adtbaramaticbse.org/</v>
      </c>
      <c r="I316" s="3" t="s">
        <v>1902</v>
      </c>
      <c r="J316" s="3" t="str">
        <f>HYPERLINK("tel:+917588390349", "+917588390349")</f>
        <v>+917588390349</v>
      </c>
      <c r="K316" s="5" t="str">
        <f>HYPERLINK("mailto:cbse@adtbaramati.com", "cbse@adtbaramati.com")</f>
        <v>cbse@adtbaramati.com</v>
      </c>
      <c r="L316" s="6" t="s">
        <v>1903</v>
      </c>
    </row>
    <row r="317" ht="15.75" customHeight="1">
      <c r="A317" s="3">
        <v>319.0</v>
      </c>
      <c r="B317" s="3" t="s">
        <v>1904</v>
      </c>
      <c r="C317" s="3" t="s">
        <v>1905</v>
      </c>
      <c r="D317" s="3" t="s">
        <v>1906</v>
      </c>
      <c r="E317" s="3" t="s">
        <v>1907</v>
      </c>
      <c r="F317" s="3" t="s">
        <v>1908</v>
      </c>
      <c r="G317" s="3" t="s">
        <v>17</v>
      </c>
      <c r="H317" s="4" t="str">
        <f>HYPERLINK("https://schools.org.in/kanniyakumari/33300500715/infant-jesus-h-s-mulagumoodu.html", "https://schools.org.in/kanniyakumari/33300500715/infant-jesus-h-s-mulagumoodu.html")</f>
        <v>https://schools.org.in/kanniyakumari/33300500715/infant-jesus-h-s-mulagumoodu.html</v>
      </c>
      <c r="I317" s="3" t="s">
        <v>1909</v>
      </c>
      <c r="J317" s="3" t="str">
        <f>HYPERLINK("tel:+914652263533", "+914652263533")</f>
        <v>+914652263533</v>
      </c>
      <c r="K317" s="5" t="str">
        <f>HYPERLINK("mailto:nan", "nan")</f>
        <v>nan</v>
      </c>
      <c r="L317" s="6" t="s">
        <v>1910</v>
      </c>
    </row>
    <row r="318" ht="15.75" customHeight="1">
      <c r="A318" s="3">
        <v>320.0</v>
      </c>
      <c r="B318" s="3" t="s">
        <v>1911</v>
      </c>
      <c r="C318" s="3" t="s">
        <v>1912</v>
      </c>
      <c r="D318" s="3" t="s">
        <v>1913</v>
      </c>
      <c r="E318" s="3" t="s">
        <v>1914</v>
      </c>
      <c r="F318" s="3" t="s">
        <v>1915</v>
      </c>
      <c r="G318" s="3" t="s">
        <v>17</v>
      </c>
      <c r="H318" s="4" t="str">
        <f>HYPERLINK("https://nationalacademyuch.org/", "https://nationalacademyuch.org/")</f>
        <v>https://nationalacademyuch.org/</v>
      </c>
      <c r="I318" s="3" t="s">
        <v>1916</v>
      </c>
      <c r="J318" s="3" t="str">
        <f>HYPERLINK("tel:+918754618019", "+918754618019")</f>
        <v>+918754618019</v>
      </c>
      <c r="K318" s="5" t="str">
        <f>HYPERLINK("mailto:nasicse@gmail.com", "nasicse@gmail.com")</f>
        <v>nasicse@gmail.com</v>
      </c>
      <c r="L318" s="6" t="s">
        <v>1917</v>
      </c>
    </row>
    <row r="319" ht="15.75" customHeight="1">
      <c r="A319" s="3">
        <v>321.0</v>
      </c>
      <c r="B319" s="3" t="s">
        <v>1918</v>
      </c>
      <c r="C319" s="3" t="s">
        <v>1919</v>
      </c>
      <c r="D319" s="3" t="s">
        <v>1920</v>
      </c>
      <c r="E319" s="3" t="s">
        <v>1921</v>
      </c>
      <c r="F319" s="3" t="s">
        <v>1922</v>
      </c>
      <c r="G319" s="3" t="s">
        <v>17</v>
      </c>
      <c r="H319" s="4" t="str">
        <f>HYPERLINK("https://cuddalore.nic.in/public-utility/govt-higher-secondary-school-manjakkuppam/", "https://cuddalore.nic.in/public-utility/govt-higher-secondary-school-manjakkuppam/")</f>
        <v>https://cuddalore.nic.in/public-utility/govt-higher-secondary-school-manjakkuppam/</v>
      </c>
      <c r="I319" s="3" t="s">
        <v>1923</v>
      </c>
      <c r="J319" s="3" t="str">
        <f>HYPERLINK("tel:+917598778978", "+917598778978")</f>
        <v>+917598778978</v>
      </c>
      <c r="K319" s="5" t="str">
        <f>HYPERLINK("mailto:hello@scribd.com", "hello@scribd.com")</f>
        <v>hello@scribd.com</v>
      </c>
      <c r="L319" s="6" t="s">
        <v>1924</v>
      </c>
    </row>
    <row r="320" ht="15.75" customHeight="1">
      <c r="A320" s="3">
        <v>322.0</v>
      </c>
      <c r="B320" s="3" t="s">
        <v>1925</v>
      </c>
      <c r="C320" s="3" t="s">
        <v>1926</v>
      </c>
      <c r="D320" s="3" t="s">
        <v>1927</v>
      </c>
      <c r="E320" s="3" t="s">
        <v>1928</v>
      </c>
      <c r="F320" s="3" t="s">
        <v>1929</v>
      </c>
      <c r="G320" s="3" t="s">
        <v>138</v>
      </c>
      <c r="H320" s="4" t="str">
        <f>HYPERLINK("https://mgicgkp.edu.in/", "https://mgicgkp.edu.in/")</f>
        <v>https://mgicgkp.edu.in/</v>
      </c>
      <c r="I320" s="3" t="s">
        <v>1930</v>
      </c>
      <c r="J320" s="3" t="str">
        <f>HYPERLINK("tel:+919415107174", "+919415107174")</f>
        <v>+919415107174</v>
      </c>
      <c r="K320" s="5" t="str">
        <f>HYPERLINK("mailto:mgic_gkp@rediffmail.com", "mgic_gkp@rediffmail.com")</f>
        <v>mgic_gkp@rediffmail.com</v>
      </c>
      <c r="L320" s="6"/>
    </row>
    <row r="321" ht="15.75" customHeight="1">
      <c r="A321" s="3">
        <v>323.0</v>
      </c>
      <c r="B321" s="3" t="s">
        <v>1931</v>
      </c>
      <c r="C321" s="3" t="s">
        <v>1932</v>
      </c>
      <c r="D321" s="3" t="s">
        <v>1933</v>
      </c>
      <c r="E321" s="3" t="s">
        <v>1934</v>
      </c>
      <c r="F321" s="3" t="s">
        <v>1935</v>
      </c>
      <c r="G321" s="3" t="s">
        <v>138</v>
      </c>
      <c r="H321" s="4" t="str">
        <f>HYPERLINK("https://bbpsnoida.balbharati.org/", "https://bbpsnoida.balbharati.org/")</f>
        <v>https://bbpsnoida.balbharati.org/</v>
      </c>
      <c r="J321" s="3" t="str">
        <f>HYPERLINK("tel:+917290014141", "+917290014141")</f>
        <v>+917290014141</v>
      </c>
      <c r="K321" s="5" t="str">
        <f>HYPERLINK("mailto:bbpsip@gmail.com", "bbpsip@gmail.com")</f>
        <v>bbpsip@gmail.com</v>
      </c>
      <c r="L321" s="6"/>
    </row>
    <row r="322" ht="15.75" customHeight="1">
      <c r="A322" s="3">
        <v>324.0</v>
      </c>
      <c r="B322" s="3" t="s">
        <v>1936</v>
      </c>
      <c r="C322" s="3" t="s">
        <v>1937</v>
      </c>
      <c r="D322" s="3" t="s">
        <v>1938</v>
      </c>
      <c r="E322" s="3" t="s">
        <v>1939</v>
      </c>
      <c r="F322" s="3" t="s">
        <v>1940</v>
      </c>
      <c r="G322" s="3" t="s">
        <v>597</v>
      </c>
      <c r="H322" s="4" t="str">
        <f>HYPERLINK("https://pmgkasampur.com/", "https://pmgkasampur.com/")</f>
        <v>https://pmgkasampur.com/</v>
      </c>
      <c r="I322" s="3" t="s">
        <v>1941</v>
      </c>
      <c r="J322" s="3" t="str">
        <f>HYPERLINK("tel:+918755579555", "+918755579555")</f>
        <v>+918755579555</v>
      </c>
      <c r="K322" s="5" t="str">
        <f>HYPERLINK("mailto:Principalgickasampur@gmail.com", "Principalgickasampur@gmail.com")</f>
        <v>Principalgickasampur@gmail.com</v>
      </c>
      <c r="L322" s="6" t="s">
        <v>1942</v>
      </c>
    </row>
    <row r="323" ht="15.75" customHeight="1">
      <c r="A323" s="3">
        <v>325.0</v>
      </c>
      <c r="B323" s="3" t="s">
        <v>1943</v>
      </c>
      <c r="C323" s="3" t="s">
        <v>1944</v>
      </c>
      <c r="D323" s="3" t="s">
        <v>1945</v>
      </c>
      <c r="E323" s="3" t="s">
        <v>1946</v>
      </c>
      <c r="F323" s="3" t="s">
        <v>1947</v>
      </c>
      <c r="G323" s="3" t="s">
        <v>272</v>
      </c>
      <c r="H323" s="4" t="str">
        <f>HYPERLINK("https://apms.apcfss.in/", "https://apms.apcfss.in/")</f>
        <v>https://apms.apcfss.in/</v>
      </c>
      <c r="I323" s="3" t="s">
        <v>1948</v>
      </c>
      <c r="J323" s="3" t="str">
        <f>HYPERLINK("tel:nan", "nan")</f>
        <v>nan</v>
      </c>
      <c r="K323" s="5" t="str">
        <f>HYPERLINK("mailto:info@careers360.com", "info@careers360.com")</f>
        <v>info@careers360.com</v>
      </c>
      <c r="L323" s="6" t="s">
        <v>1949</v>
      </c>
    </row>
    <row r="324" ht="15.75" customHeight="1">
      <c r="A324" s="3">
        <v>326.0</v>
      </c>
      <c r="B324" s="3" t="s">
        <v>1950</v>
      </c>
      <c r="C324" s="3" t="s">
        <v>1951</v>
      </c>
      <c r="D324" s="3" t="s">
        <v>1952</v>
      </c>
      <c r="E324" s="3" t="s">
        <v>1953</v>
      </c>
      <c r="F324" s="3" t="s">
        <v>1954</v>
      </c>
      <c r="G324" s="3" t="s">
        <v>229</v>
      </c>
      <c r="H324" s="4" t="str">
        <f>HYPERLINK("https://bvbraipur.org/", "https://bvbraipur.org/")</f>
        <v>https://bvbraipur.org/</v>
      </c>
      <c r="I324" s="3" t="s">
        <v>534</v>
      </c>
      <c r="J324" s="3" t="str">
        <f>HYPERLINK("tel:+917713500941", "+917713500941")</f>
        <v>+917713500941</v>
      </c>
      <c r="K324" s="5" t="str">
        <f>HYPERLINK("mailto:principal@bvbraipur.org", "principal@bvbraipur.org")</f>
        <v>principal@bvbraipur.org</v>
      </c>
      <c r="L324" s="6" t="s">
        <v>1955</v>
      </c>
    </row>
    <row r="325" ht="15.75" customHeight="1">
      <c r="A325" s="3">
        <v>327.0</v>
      </c>
      <c r="B325" s="3" t="s">
        <v>1956</v>
      </c>
      <c r="C325" s="3" t="s">
        <v>977</v>
      </c>
      <c r="D325" s="3" t="s">
        <v>1957</v>
      </c>
      <c r="E325" s="3" t="s">
        <v>1958</v>
      </c>
      <c r="F325" s="3" t="s">
        <v>979</v>
      </c>
      <c r="G325" s="3" t="s">
        <v>100</v>
      </c>
      <c r="H325" s="4" t="str">
        <f>HYPERLINK("https://mayurpublicschool.com/", "https://mayurpublicschool.com/")</f>
        <v>https://mayurpublicschool.com/</v>
      </c>
      <c r="J325" s="3" t="str">
        <f>HYPERLINK("tel:+911122477676", "+911122477676")</f>
        <v>+911122477676</v>
      </c>
      <c r="K325" s="5" t="str">
        <f>HYPERLINK("mailto:mps_edu@yahoo.com", "mps_edu@yahoo.com")</f>
        <v>mps_edu@yahoo.com</v>
      </c>
      <c r="L325" s="6"/>
    </row>
    <row r="326" ht="15.75" customHeight="1">
      <c r="A326" s="3">
        <v>328.0</v>
      </c>
      <c r="B326" s="3" t="s">
        <v>1959</v>
      </c>
      <c r="C326" s="3" t="s">
        <v>1960</v>
      </c>
      <c r="D326" s="3" t="s">
        <v>1961</v>
      </c>
      <c r="E326" s="3" t="s">
        <v>1962</v>
      </c>
      <c r="F326" s="3" t="s">
        <v>150</v>
      </c>
      <c r="G326" s="3" t="s">
        <v>100</v>
      </c>
      <c r="H326" s="4" t="str">
        <f>HYPERLINK("http://amityschools.in/", "http://amityschools.in/")</f>
        <v>http://amityschools.in/</v>
      </c>
      <c r="I326" s="3" t="s">
        <v>1382</v>
      </c>
      <c r="J326" s="3" t="str">
        <f>HYPERLINK("tel:+911140738400", "+911140738400")</f>
        <v>+911140738400</v>
      </c>
      <c r="K326" s="5" t="str">
        <f>HYPERLINK("mailto:principal@aiss.amity.edu", "principal@aiss.amity.edu")</f>
        <v>principal@aiss.amity.edu</v>
      </c>
      <c r="L326" s="6" t="s">
        <v>1963</v>
      </c>
    </row>
    <row r="327" ht="15.75" customHeight="1">
      <c r="A327" s="3">
        <v>329.0</v>
      </c>
      <c r="B327" s="3" t="s">
        <v>1964</v>
      </c>
      <c r="C327" s="3" t="s">
        <v>1965</v>
      </c>
      <c r="D327" s="3" t="s">
        <v>1966</v>
      </c>
      <c r="E327" s="3" t="s">
        <v>1967</v>
      </c>
      <c r="F327" s="3" t="s">
        <v>1968</v>
      </c>
      <c r="G327" s="3" t="s">
        <v>1413</v>
      </c>
      <c r="H327" s="4" t="str">
        <f>HYPERLINK("https://no2vascodagama.kvs.ac.in/en/", "https://no2vascodagama.kvs.ac.in/en/")</f>
        <v>https://no2vascodagama.kvs.ac.in/en/</v>
      </c>
      <c r="I327" s="3" t="s">
        <v>93</v>
      </c>
      <c r="J327" s="3" t="str">
        <f>HYPERLINK("tel:+918322531060", "+918322531060")</f>
        <v>+918322531060</v>
      </c>
      <c r="K327" s="5" t="str">
        <f>HYPERLINK("mailto:nan", "nan")</f>
        <v>nan</v>
      </c>
      <c r="L327" s="6" t="s">
        <v>1969</v>
      </c>
    </row>
    <row r="328" ht="15.75" customHeight="1">
      <c r="A328" s="3">
        <v>330.0</v>
      </c>
      <c r="B328" s="3" t="s">
        <v>1970</v>
      </c>
      <c r="C328" s="3" t="s">
        <v>1971</v>
      </c>
      <c r="D328" s="3" t="s">
        <v>1972</v>
      </c>
      <c r="E328" s="3" t="s">
        <v>1973</v>
      </c>
      <c r="F328" s="3" t="s">
        <v>1974</v>
      </c>
      <c r="G328" s="3" t="s">
        <v>175</v>
      </c>
      <c r="H328" s="4" t="str">
        <f t="shared" ref="H328:H329" si="25">HYPERLINK("https://dholakiyaschools.org/", "https://dholakiyaschools.org/")</f>
        <v>https://dholakiyaschools.org/</v>
      </c>
      <c r="J328" s="3" t="str">
        <f t="shared" ref="J328:J329" si="26">HYPERLINK("tel:+919979682222", "+919979682222")</f>
        <v>+919979682222</v>
      </c>
      <c r="K328" s="5" t="str">
        <f t="shared" ref="K328:K329" si="27">HYPERLINK("mailto:Dholakiyasschools@gmail.com", "Dholakiyasschools@gmail.com")</f>
        <v>Dholakiyasschools@gmail.com</v>
      </c>
      <c r="L328" s="6" t="s">
        <v>1975</v>
      </c>
    </row>
    <row r="329" ht="15.75" customHeight="1">
      <c r="A329" s="3">
        <v>331.0</v>
      </c>
      <c r="B329" s="3" t="s">
        <v>1976</v>
      </c>
      <c r="C329" s="3" t="s">
        <v>1977</v>
      </c>
      <c r="D329" s="3" t="s">
        <v>1978</v>
      </c>
      <c r="E329" s="3" t="s">
        <v>1979</v>
      </c>
      <c r="F329" s="3" t="s">
        <v>1980</v>
      </c>
      <c r="G329" s="3" t="s">
        <v>175</v>
      </c>
      <c r="H329" s="4" t="str">
        <f t="shared" si="25"/>
        <v>https://dholakiyaschools.org/</v>
      </c>
      <c r="I329" s="3" t="s">
        <v>1981</v>
      </c>
      <c r="J329" s="3" t="str">
        <f t="shared" si="26"/>
        <v>+919979682222</v>
      </c>
      <c r="K329" s="5" t="str">
        <f t="shared" si="27"/>
        <v>Dholakiyasschools@gmail.com</v>
      </c>
      <c r="L329" s="6" t="s">
        <v>1975</v>
      </c>
    </row>
    <row r="330" ht="15.75" customHeight="1">
      <c r="A330" s="3">
        <v>332.0</v>
      </c>
      <c r="B330" s="3" t="s">
        <v>1982</v>
      </c>
      <c r="C330" s="3" t="s">
        <v>104</v>
      </c>
      <c r="D330" s="3" t="s">
        <v>1983</v>
      </c>
      <c r="E330" s="3" t="s">
        <v>1429</v>
      </c>
      <c r="F330" s="3" t="s">
        <v>107</v>
      </c>
      <c r="G330" s="3" t="s">
        <v>24</v>
      </c>
      <c r="H330" s="4" t="str">
        <f>HYPERLINK("https://www.scottishigh.com/", "https://www.scottishigh.com/")</f>
        <v>https://www.scottishigh.com/</v>
      </c>
      <c r="I330" s="3" t="s">
        <v>108</v>
      </c>
      <c r="J330" s="3" t="str">
        <f>HYPERLINK("tel:+919953849226", "+919953849226")</f>
        <v>+919953849226</v>
      </c>
      <c r="K330" s="5" t="str">
        <f>HYPERLINK("mailto:info@scottishigh.com", "info@scottishigh.com")</f>
        <v>info@scottishigh.com</v>
      </c>
      <c r="L330" s="6" t="s">
        <v>741</v>
      </c>
    </row>
    <row r="331" ht="15.75" customHeight="1">
      <c r="A331" s="3">
        <v>333.0</v>
      </c>
      <c r="B331" s="3" t="s">
        <v>1984</v>
      </c>
      <c r="C331" s="3" t="s">
        <v>402</v>
      </c>
      <c r="D331" s="3" t="s">
        <v>1985</v>
      </c>
      <c r="E331" s="3" t="s">
        <v>1986</v>
      </c>
      <c r="F331" s="3" t="s">
        <v>405</v>
      </c>
      <c r="G331" s="3" t="s">
        <v>31</v>
      </c>
      <c r="H331" s="4" t="str">
        <f>HYPERLINK("https://rvkcbse.in/", "https://rvkcbse.in/")</f>
        <v>https://rvkcbse.in/</v>
      </c>
      <c r="J331" s="3" t="str">
        <f>HYPERLINK("tel:+916364460807", "+916364460807")</f>
        <v>+916364460807</v>
      </c>
      <c r="K331" s="5" t="str">
        <f>HYPERLINK("mailto:info@rvkcbse.in", "info@rvkcbse.in")</f>
        <v>info@rvkcbse.in</v>
      </c>
      <c r="L331" s="6" t="s">
        <v>406</v>
      </c>
    </row>
    <row r="332" ht="15.75" customHeight="1">
      <c r="A332" s="3">
        <v>334.0</v>
      </c>
      <c r="B332" s="3" t="s">
        <v>1987</v>
      </c>
      <c r="C332" s="3" t="s">
        <v>513</v>
      </c>
      <c r="D332" s="3" t="s">
        <v>1988</v>
      </c>
      <c r="E332" s="3" t="s">
        <v>1989</v>
      </c>
      <c r="F332" s="3" t="s">
        <v>516</v>
      </c>
      <c r="G332" s="3" t="s">
        <v>31</v>
      </c>
      <c r="H332" s="4" t="str">
        <f>HYPERLINK("https://vivekedu.org/", "https://vivekedu.org/")</f>
        <v>https://vivekedu.org/</v>
      </c>
      <c r="I332" s="3" t="s">
        <v>517</v>
      </c>
      <c r="J332" s="3" t="str">
        <f>HYPERLINK("tel:+918027931778", "+918027931778")</f>
        <v>+918027931778</v>
      </c>
      <c r="K332" s="5" t="str">
        <f>HYPERLINK("mailto:svvkcbse@gmail.com", "svvkcbse@gmail.com")</f>
        <v>svvkcbse@gmail.com</v>
      </c>
      <c r="L332" s="6" t="s">
        <v>518</v>
      </c>
    </row>
    <row r="333" ht="15.75" customHeight="1">
      <c r="A333" s="3">
        <v>335.0</v>
      </c>
      <c r="B333" s="3" t="s">
        <v>1990</v>
      </c>
      <c r="C333" s="3" t="s">
        <v>798</v>
      </c>
      <c r="D333" s="3" t="s">
        <v>1991</v>
      </c>
      <c r="E333" s="3" t="s">
        <v>1992</v>
      </c>
      <c r="F333" s="3" t="s">
        <v>801</v>
      </c>
      <c r="G333" s="3" t="s">
        <v>58</v>
      </c>
      <c r="H333" s="4" t="str">
        <f>HYPERLINK("https://adoor.kvs.ac.in/en/", "https://adoor.kvs.ac.in/en/")</f>
        <v>https://adoor.kvs.ac.in/en/</v>
      </c>
      <c r="I333" s="3" t="s">
        <v>93</v>
      </c>
      <c r="J333" s="3" t="str">
        <f>HYPERLINK("tel:+914734224808", "+914734224808")</f>
        <v>+914734224808</v>
      </c>
      <c r="K333" s="5" t="str">
        <f>HYPERLINK("mailto:nan", "nan")</f>
        <v>nan</v>
      </c>
      <c r="L333" s="6" t="s">
        <v>802</v>
      </c>
    </row>
    <row r="334" ht="15.75" customHeight="1">
      <c r="A334" s="3">
        <v>336.0</v>
      </c>
      <c r="B334" s="3" t="s">
        <v>1993</v>
      </c>
      <c r="C334" s="3" t="s">
        <v>1994</v>
      </c>
      <c r="D334" s="3" t="s">
        <v>1995</v>
      </c>
      <c r="E334" s="3" t="s">
        <v>1996</v>
      </c>
      <c r="F334" s="3" t="s">
        <v>1997</v>
      </c>
      <c r="G334" s="3" t="s">
        <v>38</v>
      </c>
      <c r="H334" s="4" t="str">
        <f>HYPERLINK("https://saraswatibhuvan.org/318-2/", "https://saraswatibhuvan.org/318-2/")</f>
        <v>https://saraswatibhuvan.org/318-2/</v>
      </c>
      <c r="J334" s="3" t="str">
        <f>HYPERLINK("tel:+919511816251", "+919511816251")</f>
        <v>+919511816251</v>
      </c>
      <c r="K334" s="5" t="str">
        <f>HYPERLINK("mailto:s.b.bidkin1111@gmail.com", "s.b.bidkin1111@gmail.com")</f>
        <v>s.b.bidkin1111@gmail.com</v>
      </c>
      <c r="L334" s="6" t="s">
        <v>1998</v>
      </c>
    </row>
    <row r="335" ht="15.75" customHeight="1">
      <c r="A335" s="3">
        <v>337.0</v>
      </c>
      <c r="B335" s="3" t="s">
        <v>1999</v>
      </c>
      <c r="C335" s="3" t="s">
        <v>2000</v>
      </c>
      <c r="D335" s="3" t="s">
        <v>2001</v>
      </c>
      <c r="E335" s="3" t="s">
        <v>2002</v>
      </c>
      <c r="F335" s="3" t="s">
        <v>2003</v>
      </c>
      <c r="G335" s="3" t="s">
        <v>265</v>
      </c>
      <c r="H335" s="4" t="str">
        <f>HYPERLINK("https://smartwonderschool.com/", "https://smartwonderschool.com/")</f>
        <v>https://smartwonderschool.com/</v>
      </c>
      <c r="J335" s="3" t="str">
        <f>HYPERLINK("tel:nan", "nan")</f>
        <v>nan</v>
      </c>
      <c r="K335" s="5" t="str">
        <f t="shared" ref="K335:K338" si="28">HYPERLINK("mailto:nan", "nan")</f>
        <v>nan</v>
      </c>
      <c r="L335" s="6"/>
    </row>
    <row r="336" ht="15.75" customHeight="1">
      <c r="A336" s="3">
        <v>338.0</v>
      </c>
      <c r="B336" s="3" t="s">
        <v>2004</v>
      </c>
      <c r="C336" s="3" t="s">
        <v>2005</v>
      </c>
      <c r="D336" s="3" t="s">
        <v>2006</v>
      </c>
      <c r="E336" s="3" t="s">
        <v>2007</v>
      </c>
      <c r="F336" s="3" t="s">
        <v>2008</v>
      </c>
      <c r="G336" s="3" t="s">
        <v>70</v>
      </c>
      <c r="H336" s="4" t="str">
        <f>HYPERLINK("https://www.bsvpilani.edu.in/", "https://www.bsvpilani.edu.in/")</f>
        <v>https://www.bsvpilani.edu.in/</v>
      </c>
      <c r="J336" s="3" t="str">
        <f>HYPERLINK("tel:+911596242208", "+911596242208")</f>
        <v>+911596242208</v>
      </c>
      <c r="K336" s="5" t="str">
        <f t="shared" si="28"/>
        <v>nan</v>
      </c>
      <c r="L336" s="6"/>
    </row>
    <row r="337" ht="15.75" customHeight="1">
      <c r="A337" s="3">
        <v>339.0</v>
      </c>
      <c r="B337" s="3" t="s">
        <v>2009</v>
      </c>
      <c r="C337" s="3" t="s">
        <v>2010</v>
      </c>
      <c r="D337" s="3" t="s">
        <v>2011</v>
      </c>
      <c r="E337" s="3" t="s">
        <v>2012</v>
      </c>
      <c r="F337" s="3" t="s">
        <v>2013</v>
      </c>
      <c r="G337" s="3" t="s">
        <v>272</v>
      </c>
      <c r="H337" s="4" t="str">
        <f>HYPERLINK("https://krishna.ap.gov.in/public-utility/zphs-lankapalli-28163101905/", "https://krishna.ap.gov.in/public-utility/zphs-lankapalli-28163101905/")</f>
        <v>https://krishna.ap.gov.in/public-utility/zphs-lankapalli-28163101905/</v>
      </c>
      <c r="I337" s="3" t="s">
        <v>2014</v>
      </c>
      <c r="J337" s="3" t="str">
        <f>HYPERLINK("tel:+918672252668", "+918672252668")</f>
        <v>+918672252668</v>
      </c>
      <c r="K337" s="5" t="str">
        <f t="shared" si="28"/>
        <v>nan</v>
      </c>
      <c r="L337" s="6" t="s">
        <v>2015</v>
      </c>
    </row>
    <row r="338" ht="15.75" customHeight="1">
      <c r="A338" s="3">
        <v>340.0</v>
      </c>
      <c r="B338" s="3" t="s">
        <v>2016</v>
      </c>
      <c r="C338" s="3" t="s">
        <v>2017</v>
      </c>
      <c r="D338" s="3" t="s">
        <v>2018</v>
      </c>
      <c r="E338" s="3" t="s">
        <v>2019</v>
      </c>
      <c r="F338" s="3" t="s">
        <v>2020</v>
      </c>
      <c r="G338" s="3" t="s">
        <v>100</v>
      </c>
      <c r="H338" s="4" t="str">
        <f>HYPERLINK("https://msmsdelhi.in/", "https://msmsdelhi.in/")</f>
        <v>https://msmsdelhi.in/</v>
      </c>
      <c r="J338" s="3" t="str">
        <f>HYPERLINK("tel:+917010307101", "+917010307101")</f>
        <v>+917010307101</v>
      </c>
      <c r="K338" s="5" t="str">
        <f t="shared" si="28"/>
        <v>nan</v>
      </c>
      <c r="L338" s="6"/>
    </row>
    <row r="339" ht="15.75" customHeight="1">
      <c r="A339" s="3">
        <v>341.0</v>
      </c>
      <c r="B339" s="3" t="s">
        <v>2021</v>
      </c>
      <c r="C339" s="3" t="s">
        <v>890</v>
      </c>
      <c r="D339" s="3" t="s">
        <v>2022</v>
      </c>
      <c r="E339" s="3" t="s">
        <v>2023</v>
      </c>
      <c r="F339" s="3" t="s">
        <v>893</v>
      </c>
      <c r="G339" s="3" t="s">
        <v>100</v>
      </c>
      <c r="H339" s="4" t="str">
        <f>HYPERLINK("https://www.mamtamodernschool.com/", "https://www.mamtamodernschool.com/")</f>
        <v>https://www.mamtamodernschool.com/</v>
      </c>
      <c r="J339" s="3" t="str">
        <f>HYPERLINK("tel:+911145614501", "+911145614501")</f>
        <v>+911145614501</v>
      </c>
      <c r="K339" s="5" t="str">
        <f>HYPERLINK("mailto:mamtamodernschool@gmail.com", "mamtamodernschool@gmail.com")</f>
        <v>mamtamodernschool@gmail.com</v>
      </c>
      <c r="L339" s="6" t="s">
        <v>894</v>
      </c>
    </row>
    <row r="340" ht="15.75" customHeight="1">
      <c r="A340" s="3">
        <v>342.0</v>
      </c>
      <c r="B340" s="3" t="s">
        <v>2024</v>
      </c>
      <c r="C340" s="3" t="s">
        <v>2025</v>
      </c>
      <c r="D340" s="3" t="s">
        <v>2026</v>
      </c>
      <c r="E340" s="3" t="s">
        <v>2027</v>
      </c>
      <c r="F340" s="3" t="s">
        <v>2028</v>
      </c>
      <c r="G340" s="3" t="s">
        <v>24</v>
      </c>
      <c r="H340" s="4" t="str">
        <f>HYPERLINK("https://www.presidiumgurgaon.com/", "https://www.presidiumgurgaon.com/")</f>
        <v>https://www.presidiumgurgaon.com/</v>
      </c>
      <c r="J340" s="3" t="str">
        <f>HYPERLINK("tel:+917838654234", "+917838654234")</f>
        <v>+917838654234</v>
      </c>
      <c r="K340" s="5" t="str">
        <f>HYPERLINK("mailto:gurgaon57@presidiumonline.com", "gurgaon57@presidiumonline.com")</f>
        <v>gurgaon57@presidiumonline.com</v>
      </c>
      <c r="L340" s="6" t="s">
        <v>2029</v>
      </c>
    </row>
    <row r="341" ht="15.75" customHeight="1">
      <c r="A341" s="3">
        <v>343.0</v>
      </c>
      <c r="B341" s="3" t="s">
        <v>2030</v>
      </c>
      <c r="C341" s="3" t="s">
        <v>1764</v>
      </c>
      <c r="D341" s="3" t="s">
        <v>2031</v>
      </c>
      <c r="E341" s="3" t="s">
        <v>2031</v>
      </c>
      <c r="F341" s="3" t="s">
        <v>1767</v>
      </c>
      <c r="G341" s="3" t="s">
        <v>31</v>
      </c>
      <c r="H341" s="4" t="str">
        <f>HYPERLINK("https://www.gearac.in/", "https://www.gearac.in/")</f>
        <v>https://www.gearac.in/</v>
      </c>
      <c r="J341" s="3" t="str">
        <f>HYPERLINK("tel:+919741777799", "+919741777799")</f>
        <v>+919741777799</v>
      </c>
      <c r="K341" s="5" t="str">
        <f>HYPERLINK("mailto:contactus@gear.ac.in", "contactus@gear.ac.in")</f>
        <v>contactus@gear.ac.in</v>
      </c>
      <c r="L341" s="6"/>
    </row>
    <row r="342" ht="15.75" customHeight="1">
      <c r="A342" s="3">
        <v>344.0</v>
      </c>
      <c r="B342" s="3" t="s">
        <v>2032</v>
      </c>
      <c r="C342" s="3" t="s">
        <v>2033</v>
      </c>
      <c r="D342" s="3" t="s">
        <v>2034</v>
      </c>
      <c r="E342" s="3" t="s">
        <v>2035</v>
      </c>
      <c r="F342" s="3" t="s">
        <v>2036</v>
      </c>
      <c r="G342" s="3" t="s">
        <v>58</v>
      </c>
      <c r="H342" s="4" t="str">
        <f>HYPERLINK("http://www.dhsekerala.gov.in/schoolist.aspx?dcode=09", "http://www.dhsekerala.gov.in/schoolist.aspx?dcode=09")</f>
        <v>http://www.dhsekerala.gov.in/schoolist.aspx?dcode=09</v>
      </c>
      <c r="I342" s="3" t="s">
        <v>2037</v>
      </c>
      <c r="J342" s="3" t="str">
        <f>HYPERLINK("tel:nan", "nan")</f>
        <v>nan</v>
      </c>
      <c r="K342" s="5" t="str">
        <f t="shared" ref="K342:K343" si="29">HYPERLINK("mailto:nan", "nan")</f>
        <v>nan</v>
      </c>
      <c r="L342" s="6" t="s">
        <v>2038</v>
      </c>
    </row>
    <row r="343" ht="15.75" customHeight="1">
      <c r="A343" s="3">
        <v>345.0</v>
      </c>
      <c r="B343" s="3" t="s">
        <v>2039</v>
      </c>
      <c r="C343" s="3" t="s">
        <v>754</v>
      </c>
      <c r="D343" s="3" t="s">
        <v>2040</v>
      </c>
      <c r="E343" s="3" t="s">
        <v>2041</v>
      </c>
      <c r="F343" s="3" t="s">
        <v>2042</v>
      </c>
      <c r="G343" s="3" t="s">
        <v>58</v>
      </c>
      <c r="H343" s="4" t="str">
        <f>HYPERLINK("https://ottapalam.kvs.ac.in/en/", "https://ottapalam.kvs.ac.in/en/")</f>
        <v>https://ottapalam.kvs.ac.in/en/</v>
      </c>
      <c r="I343" s="3" t="s">
        <v>93</v>
      </c>
      <c r="J343" s="3" t="str">
        <f>HYPERLINK("tel:+914662244388", "+914662244388")</f>
        <v>+914662244388</v>
      </c>
      <c r="K343" s="5" t="str">
        <f t="shared" si="29"/>
        <v>nan</v>
      </c>
      <c r="L343" s="6" t="s">
        <v>758</v>
      </c>
    </row>
    <row r="344" ht="15.75" customHeight="1">
      <c r="A344" s="3">
        <v>346.0</v>
      </c>
      <c r="B344" s="3" t="s">
        <v>2043</v>
      </c>
      <c r="C344" s="3" t="s">
        <v>2044</v>
      </c>
      <c r="D344" s="3" t="s">
        <v>2045</v>
      </c>
      <c r="E344" s="3" t="s">
        <v>2046</v>
      </c>
      <c r="F344" s="3" t="s">
        <v>2047</v>
      </c>
      <c r="G344" s="3" t="s">
        <v>17</v>
      </c>
      <c r="H344" s="4" t="str">
        <f>HYPERLINK("https://schools.org.in/salem/33081101306/gbhss-jalakandapuram.html", "https://schools.org.in/salem/33081101306/gbhss-jalakandapuram.html")</f>
        <v>https://schools.org.in/salem/33081101306/gbhss-jalakandapuram.html</v>
      </c>
      <c r="I344" s="3" t="s">
        <v>2048</v>
      </c>
      <c r="J344" s="3" t="str">
        <f>HYPERLINK("tel:+917358150599", "+917358150599")</f>
        <v>+917358150599</v>
      </c>
      <c r="K344" s="5" t="str">
        <f>HYPERLINK("mailto:dmrhstn@gmail.com", "dmrhstn@gmail.com")</f>
        <v>dmrhstn@gmail.com</v>
      </c>
      <c r="L344" s="6" t="s">
        <v>2049</v>
      </c>
    </row>
    <row r="345" ht="15.75" customHeight="1">
      <c r="A345" s="3">
        <v>347.0</v>
      </c>
      <c r="B345" s="3" t="s">
        <v>2050</v>
      </c>
      <c r="C345" s="3" t="s">
        <v>478</v>
      </c>
      <c r="D345" s="3" t="s">
        <v>2051</v>
      </c>
      <c r="E345" s="3" t="s">
        <v>2052</v>
      </c>
      <c r="F345" s="3" t="s">
        <v>481</v>
      </c>
      <c r="G345" s="3" t="s">
        <v>17</v>
      </c>
      <c r="H345" s="4" t="str">
        <f>HYPERLINK("http://sriramanavidyalaya.org/", "http://sriramanavidyalaya.org/")</f>
        <v>http://sriramanavidyalaya.org/</v>
      </c>
      <c r="I345" s="3" t="s">
        <v>210</v>
      </c>
      <c r="J345" s="3" t="str">
        <f>HYPERLINK("tel:+914563236090", "+914563236090")</f>
        <v>+914563236090</v>
      </c>
      <c r="K345" s="5" t="str">
        <f>HYPERLINK("mailto:srps102013@gmail.com", "srps102013@gmail.com")</f>
        <v>srps102013@gmail.com</v>
      </c>
      <c r="L345" s="6"/>
    </row>
    <row r="346" ht="15.75" customHeight="1">
      <c r="A346" s="3">
        <v>348.0</v>
      </c>
      <c r="B346" s="3" t="s">
        <v>2053</v>
      </c>
      <c r="C346" s="3" t="s">
        <v>2054</v>
      </c>
      <c r="D346" s="3" t="s">
        <v>2055</v>
      </c>
      <c r="E346" s="3" t="s">
        <v>2056</v>
      </c>
      <c r="F346" s="3" t="s">
        <v>2057</v>
      </c>
      <c r="G346" s="3" t="s">
        <v>130</v>
      </c>
      <c r="H346" s="4" t="str">
        <f>HYPERLINK("https://bolarum.kvs.ac.in/en/", "https://bolarum.kvs.ac.in/en/")</f>
        <v>https://bolarum.kvs.ac.in/en/</v>
      </c>
      <c r="J346" s="3" t="str">
        <f>HYPERLINK("tel:+914029803596", "+914029803596")</f>
        <v>+914029803596</v>
      </c>
      <c r="K346" s="5" t="str">
        <f>HYPERLINK("mailto:nan", "nan")</f>
        <v>nan</v>
      </c>
      <c r="L346" s="6"/>
    </row>
    <row r="347" ht="15.75" customHeight="1">
      <c r="A347" s="3">
        <v>349.0</v>
      </c>
      <c r="B347" s="3" t="s">
        <v>2058</v>
      </c>
      <c r="C347" s="3" t="s">
        <v>2059</v>
      </c>
      <c r="D347" s="3" t="s">
        <v>2060</v>
      </c>
      <c r="E347" s="3" t="s">
        <v>2061</v>
      </c>
      <c r="F347" s="3" t="s">
        <v>2062</v>
      </c>
      <c r="G347" s="3" t="s">
        <v>1196</v>
      </c>
      <c r="H347" s="4" t="str">
        <f>HYPERLINK("https://navodaya.gov.in/nvs/nvs-school/KHOWAI/en/about_us/About-JNV/", "https://navodaya.gov.in/nvs/nvs-school/KHOWAI/en/about_us/About-JNV/")</f>
        <v>https://navodaya.gov.in/nvs/nvs-school/KHOWAI/en/about_us/About-JNV/</v>
      </c>
      <c r="I347" s="3" t="s">
        <v>2063</v>
      </c>
      <c r="J347" s="3" t="str">
        <f>HYPERLINK("tel:+913825296095", "+913825296095")</f>
        <v>+913825296095</v>
      </c>
      <c r="K347" s="5" t="str">
        <f>HYPERLINK("mailto:dmkhowai-tr@nic.in", "dmkhowai-tr@nic.in")</f>
        <v>dmkhowai-tr@nic.in</v>
      </c>
      <c r="L347" s="6" t="s">
        <v>2064</v>
      </c>
    </row>
    <row r="348" ht="15.75" customHeight="1">
      <c r="A348" s="3">
        <v>350.0</v>
      </c>
      <c r="B348" s="3" t="s">
        <v>2065</v>
      </c>
      <c r="C348" s="3" t="s">
        <v>2066</v>
      </c>
      <c r="D348" s="3" t="s">
        <v>2067</v>
      </c>
      <c r="E348" s="3" t="s">
        <v>2068</v>
      </c>
      <c r="F348" s="3" t="s">
        <v>2069</v>
      </c>
      <c r="G348" s="3" t="s">
        <v>138</v>
      </c>
      <c r="H348" s="4" t="str">
        <f>HYPERLINK("https://jaipuriaghaziabad.edu.in/", "https://jaipuriaghaziabad.edu.in/")</f>
        <v>https://jaipuriaghaziabad.edu.in/</v>
      </c>
      <c r="I348" s="3" t="s">
        <v>2070</v>
      </c>
      <c r="J348" s="3" t="str">
        <f>HYPERLINK("tel:+919151005503", "+919151005503")</f>
        <v>+919151005503</v>
      </c>
      <c r="K348" s="5" t="str">
        <f>HYPERLINK("mailto:officialjpsnaini@gmail.com", "officialjpsnaini@gmail.com")</f>
        <v>officialjpsnaini@gmail.com</v>
      </c>
      <c r="L348" s="6"/>
    </row>
    <row r="349" ht="15.75" customHeight="1">
      <c r="A349" s="3">
        <v>351.0</v>
      </c>
      <c r="B349" s="3" t="s">
        <v>2071</v>
      </c>
      <c r="C349" s="3" t="s">
        <v>2072</v>
      </c>
      <c r="D349" s="3" t="s">
        <v>2073</v>
      </c>
      <c r="E349" s="3" t="s">
        <v>2074</v>
      </c>
      <c r="F349" s="3" t="s">
        <v>2075</v>
      </c>
      <c r="G349" s="3" t="s">
        <v>272</v>
      </c>
      <c r="H349" s="4" t="str">
        <f>HYPERLINK("https://ap.gov.in/", "https://ap.gov.in/")</f>
        <v>https://ap.gov.in/</v>
      </c>
      <c r="J349" s="3" t="str">
        <f>HYPERLINK("tel:nan", "nan")</f>
        <v>nan</v>
      </c>
      <c r="K349" s="5" t="str">
        <f>HYPERLINK("mailto:nan", "nan")</f>
        <v>nan</v>
      </c>
      <c r="L349" s="6"/>
    </row>
    <row r="350" ht="15.75" customHeight="1">
      <c r="A350" s="3">
        <v>352.0</v>
      </c>
      <c r="B350" s="3" t="s">
        <v>2076</v>
      </c>
      <c r="C350" s="3" t="s">
        <v>2077</v>
      </c>
      <c r="D350" s="3" t="s">
        <v>2078</v>
      </c>
      <c r="E350" s="3" t="s">
        <v>2079</v>
      </c>
      <c r="F350" s="3" t="s">
        <v>2080</v>
      </c>
      <c r="G350" s="3" t="s">
        <v>272</v>
      </c>
      <c r="H350" s="4" t="str">
        <f>HYPERLINK("https://eastgodavari.ap.gov.in/public-utility/zphs-a-kothapalli/", "https://eastgodavari.ap.gov.in/public-utility/zphs-a-kothapalli/")</f>
        <v>https://eastgodavari.ap.gov.in/public-utility/zphs-a-kothapalli/</v>
      </c>
      <c r="I350" s="3" t="s">
        <v>2081</v>
      </c>
      <c r="J350" s="3" t="str">
        <f>HYPERLINK("tel:+918832940508", "+918832940508")</f>
        <v>+918832940508</v>
      </c>
      <c r="K350" s="5" t="str">
        <f>HYPERLINK("mailto:sp@eg.appolice.gov.in", "sp@eg.appolice.gov.in")</f>
        <v>sp@eg.appolice.gov.in</v>
      </c>
      <c r="L350" s="6" t="s">
        <v>2082</v>
      </c>
    </row>
    <row r="351" ht="15.75" customHeight="1">
      <c r="A351" s="3">
        <v>353.0</v>
      </c>
      <c r="B351" s="3" t="s">
        <v>2083</v>
      </c>
      <c r="C351" s="3" t="s">
        <v>2084</v>
      </c>
      <c r="D351" s="3" t="s">
        <v>2085</v>
      </c>
      <c r="E351" s="3" t="s">
        <v>2086</v>
      </c>
      <c r="F351" s="3" t="s">
        <v>2087</v>
      </c>
      <c r="G351" s="3" t="s">
        <v>100</v>
      </c>
      <c r="H351" s="4" t="str">
        <f>HYPERLINK("https://arjangarhafs.kvs.ac.in/en/", "https://arjangarhafs.kvs.ac.in/en/")</f>
        <v>https://arjangarhafs.kvs.ac.in/en/</v>
      </c>
      <c r="I351" s="3" t="s">
        <v>2088</v>
      </c>
      <c r="J351" s="3" t="str">
        <f>HYPERLINK("tel:+911126503073", "+911126503073")</f>
        <v>+911126503073</v>
      </c>
      <c r="K351" s="5" t="str">
        <f>HYPERLINK("mailto:dc@kvsrodelhi.in", "dc@kvsrodelhi.in")</f>
        <v>dc@kvsrodelhi.in</v>
      </c>
      <c r="L351" s="6" t="s">
        <v>2089</v>
      </c>
    </row>
    <row r="352" ht="15.75" customHeight="1">
      <c r="A352" s="3">
        <v>354.0</v>
      </c>
      <c r="B352" s="3" t="s">
        <v>2090</v>
      </c>
      <c r="C352" s="3" t="s">
        <v>2091</v>
      </c>
      <c r="D352" s="3" t="s">
        <v>2092</v>
      </c>
      <c r="E352" s="3" t="s">
        <v>2093</v>
      </c>
      <c r="F352" s="3" t="s">
        <v>2094</v>
      </c>
      <c r="G352" s="3" t="s">
        <v>31</v>
      </c>
      <c r="H352" s="4" t="str">
        <f>HYPERLINK("https://amrathabharathitrust.com/", "https://amrathabharathitrust.com/")</f>
        <v>https://amrathabharathitrust.com/</v>
      </c>
      <c r="I352" s="3" t="s">
        <v>2095</v>
      </c>
      <c r="J352" s="3" t="str">
        <f>HYPERLINK("tel:+917259003867", "+917259003867")</f>
        <v>+917259003867</v>
      </c>
      <c r="K352" s="5" t="str">
        <f>HYPERLINK("mailto:state@amrathabharathitrust.com", "state@amrathabharathitrust.com")</f>
        <v>state@amrathabharathitrust.com</v>
      </c>
      <c r="L352" s="6" t="s">
        <v>2096</v>
      </c>
    </row>
    <row r="353" ht="15.75" customHeight="1">
      <c r="A353" s="3">
        <v>355.0</v>
      </c>
      <c r="B353" s="3" t="s">
        <v>2097</v>
      </c>
      <c r="C353" s="3" t="s">
        <v>2098</v>
      </c>
      <c r="D353" s="3" t="s">
        <v>2099</v>
      </c>
      <c r="E353" s="3" t="s">
        <v>2100</v>
      </c>
      <c r="F353" s="3" t="s">
        <v>2101</v>
      </c>
      <c r="G353" s="3" t="s">
        <v>31</v>
      </c>
      <c r="H353" s="4" t="str">
        <f>HYPERLINK("https://dom.karnataka.gov.in/page/Contact+us/MDRS+School+Contact+Details/en", "https://dom.karnataka.gov.in/page/Contact+us/MDRS+School+Contact+Details/en")</f>
        <v>https://dom.karnataka.gov.in/page/Contact+us/MDRS+School+Contact+Details/en</v>
      </c>
      <c r="I353" s="3" t="s">
        <v>2102</v>
      </c>
      <c r="J353" s="3" t="str">
        <f>HYPERLINK("tel:+919035039118", "+919035039118")</f>
        <v>+919035039118</v>
      </c>
      <c r="K353" s="5" t="str">
        <f>HYPERLINK("mailto:hello@scribd.com", "hello@scribd.com")</f>
        <v>hello@scribd.com</v>
      </c>
      <c r="L353" s="6" t="s">
        <v>2103</v>
      </c>
    </row>
    <row r="354" ht="15.75" customHeight="1">
      <c r="A354" s="3">
        <v>356.0</v>
      </c>
      <c r="B354" s="3" t="s">
        <v>2104</v>
      </c>
      <c r="C354" s="3" t="s">
        <v>2105</v>
      </c>
      <c r="D354" s="3" t="s">
        <v>2106</v>
      </c>
      <c r="E354" s="3" t="s">
        <v>2107</v>
      </c>
      <c r="F354" s="3" t="s">
        <v>2108</v>
      </c>
      <c r="G354" s="3" t="s">
        <v>58</v>
      </c>
      <c r="H354" s="4" t="str">
        <f>HYPERLINK("https://schools.org.in/kollam/32130700302/st-mary-s-hs-kizhakkekara.html", "https://schools.org.in/kollam/32130700302/st-mary-s-hs-kizhakkekara.html")</f>
        <v>https://schools.org.in/kollam/32130700302/st-mary-s-hs-kizhakkekara.html</v>
      </c>
      <c r="I354" s="3" t="s">
        <v>2109</v>
      </c>
      <c r="J354" s="3" t="str">
        <f>HYPERLINK("tel:+914712541642", "+914712541642")</f>
        <v>+914712541642</v>
      </c>
      <c r="K354" s="5" t="str">
        <f>HYPERLINK("mailto:catholicostvm@gmail.com", "catholicostvm@gmail.com")</f>
        <v>catholicostvm@gmail.com</v>
      </c>
      <c r="L354" s="6" t="s">
        <v>2110</v>
      </c>
    </row>
    <row r="355" ht="15.75" customHeight="1">
      <c r="A355" s="3">
        <v>357.0</v>
      </c>
      <c r="B355" s="3" t="s">
        <v>2111</v>
      </c>
      <c r="C355" s="3" t="s">
        <v>2112</v>
      </c>
      <c r="D355" s="3" t="s">
        <v>2113</v>
      </c>
      <c r="E355" s="3" t="s">
        <v>2114</v>
      </c>
      <c r="F355" s="3" t="s">
        <v>2115</v>
      </c>
      <c r="G355" s="3" t="s">
        <v>58</v>
      </c>
      <c r="H355" s="4" t="str">
        <f>HYPERLINK("https://campuspro.co.in/schools/8903/kairali-vidya-bhavan-trivendrum", "https://campuspro.co.in/schools/8903/kairali-vidya-bhavan-trivendrum")</f>
        <v>https://campuspro.co.in/schools/8903/kairali-vidya-bhavan-trivendrum</v>
      </c>
      <c r="J355" s="3" t="str">
        <f>HYPERLINK("tel:+914722813240", "+914722813240")</f>
        <v>+914722813240</v>
      </c>
      <c r="K355" s="5" t="str">
        <f>HYPERLINK("mailto:kairali.ndd@gmail.com", "kairali.ndd@gmail.com")</f>
        <v>kairali.ndd@gmail.com</v>
      </c>
      <c r="L355" s="6" t="s">
        <v>2116</v>
      </c>
    </row>
    <row r="356" ht="15.75" customHeight="1">
      <c r="A356" s="3">
        <v>358.0</v>
      </c>
      <c r="B356" s="3" t="s">
        <v>2117</v>
      </c>
      <c r="C356" s="3" t="s">
        <v>2118</v>
      </c>
      <c r="D356" s="3" t="s">
        <v>2119</v>
      </c>
      <c r="E356" s="3" t="s">
        <v>2120</v>
      </c>
      <c r="F356" s="3" t="s">
        <v>2121</v>
      </c>
      <c r="G356" s="3" t="s">
        <v>58</v>
      </c>
      <c r="H356" s="4" t="str">
        <f>HYPERLINK("https://schools.org.in/malappuram/32051400308/aups-mannazhi.html", "https://schools.org.in/malappuram/32051400308/aups-mannazhi.html")</f>
        <v>https://schools.org.in/malappuram/32051400308/aups-mannazhi.html</v>
      </c>
      <c r="I356" s="3" t="s">
        <v>2122</v>
      </c>
      <c r="J356" s="3" t="str">
        <f>HYPERLINK("tel:+911931213952", "+911931213952")</f>
        <v>+911931213952</v>
      </c>
      <c r="K356" s="5" t="str">
        <f>HYPERLINK("mailto:support-in@google.com", "support-in@google.com")</f>
        <v>support-in@google.com</v>
      </c>
      <c r="L356" s="6" t="s">
        <v>2123</v>
      </c>
    </row>
    <row r="357" ht="15.75" customHeight="1">
      <c r="A357" s="3">
        <v>359.0</v>
      </c>
      <c r="B357" s="3" t="s">
        <v>2124</v>
      </c>
      <c r="C357" s="3" t="s">
        <v>2125</v>
      </c>
      <c r="D357" s="3" t="s">
        <v>2126</v>
      </c>
      <c r="E357" s="3" t="s">
        <v>2127</v>
      </c>
      <c r="F357" s="3" t="s">
        <v>2128</v>
      </c>
      <c r="G357" s="3" t="s">
        <v>58</v>
      </c>
      <c r="H357" s="4" t="str">
        <f>HYPERLINK("https://snhsspullamkulam.com/", "https://snhsspullamkulam.com/")</f>
        <v>https://snhsspullamkulam.com/</v>
      </c>
      <c r="I357" s="3" t="s">
        <v>2129</v>
      </c>
      <c r="J357" s="3" t="str">
        <f>HYPERLINK("tel:+914842442196", "+914842442196")</f>
        <v>+914842442196</v>
      </c>
      <c r="K357" s="5" t="str">
        <f>HYPERLINK("mailto:example@gmail.com", "example@gmail.com")</f>
        <v>example@gmail.com</v>
      </c>
      <c r="L357" s="6" t="s">
        <v>2130</v>
      </c>
    </row>
    <row r="358" ht="15.75" customHeight="1">
      <c r="A358" s="3">
        <v>360.0</v>
      </c>
      <c r="B358" s="3" t="s">
        <v>2131</v>
      </c>
      <c r="C358" s="3" t="s">
        <v>1691</v>
      </c>
      <c r="D358" s="3" t="s">
        <v>2132</v>
      </c>
      <c r="E358" s="3" t="s">
        <v>2133</v>
      </c>
      <c r="F358" s="3" t="s">
        <v>1694</v>
      </c>
      <c r="G358" s="3" t="s">
        <v>115</v>
      </c>
      <c r="H358" s="4" t="str">
        <f>HYPERLINK("https://www.sjcsbhopal.com/", "https://www.sjcsbhopal.com/")</f>
        <v>https://www.sjcsbhopal.com/</v>
      </c>
      <c r="J358" s="3" t="str">
        <f>HYPERLINK("tel:nan", "nan")</f>
        <v>nan</v>
      </c>
      <c r="K358" s="5" t="str">
        <f>HYPERLINK("mailto:nan", "nan")</f>
        <v>nan</v>
      </c>
      <c r="L358" s="6" t="s">
        <v>1695</v>
      </c>
    </row>
    <row r="359" ht="15.75" customHeight="1">
      <c r="A359" s="3">
        <v>361.0</v>
      </c>
      <c r="B359" s="3" t="s">
        <v>2134</v>
      </c>
      <c r="C359" s="3" t="s">
        <v>766</v>
      </c>
      <c r="D359" s="3" t="s">
        <v>2135</v>
      </c>
      <c r="E359" s="3" t="s">
        <v>2136</v>
      </c>
      <c r="F359" s="3" t="s">
        <v>769</v>
      </c>
      <c r="G359" s="3" t="s">
        <v>17</v>
      </c>
      <c r="H359" s="4" t="str">
        <f>HYPERLINK("https://mdp.sairamvidyalaya.edu.in/", "https://mdp.sairamvidyalaya.edu.in/")</f>
        <v>https://mdp.sairamvidyalaya.edu.in/</v>
      </c>
      <c r="J359" s="3" t="str">
        <f>HYPERLINK("tel:+914442133976", "+914442133976")</f>
        <v>+914442133976</v>
      </c>
      <c r="K359" s="5" t="str">
        <f>HYPERLINK("mailto:info@sairamgroup.in", "info@sairamgroup.in")</f>
        <v>info@sairamgroup.in</v>
      </c>
      <c r="L359" s="6"/>
    </row>
    <row r="360" ht="15.75" customHeight="1">
      <c r="A360" s="3">
        <v>362.0</v>
      </c>
      <c r="B360" s="3" t="s">
        <v>2137</v>
      </c>
      <c r="C360" s="3" t="s">
        <v>2138</v>
      </c>
      <c r="D360" s="3" t="s">
        <v>2139</v>
      </c>
      <c r="E360" s="3" t="s">
        <v>2140</v>
      </c>
      <c r="F360" s="3" t="s">
        <v>2141</v>
      </c>
      <c r="G360" s="3" t="s">
        <v>130</v>
      </c>
      <c r="H360" s="4" t="str">
        <f>HYPERLINK("https://schools.org.in/mahbubnagar/36075400604/zphs-setty-atmakur.html", "https://schools.org.in/mahbubnagar/36075400604/zphs-setty-atmakur.html")</f>
        <v>https://schools.org.in/mahbubnagar/36075400604/zphs-setty-atmakur.html</v>
      </c>
      <c r="I360" s="3" t="s">
        <v>2142</v>
      </c>
      <c r="J360" s="3" t="str">
        <f>HYPERLINK("tel:+918096195770", "+918096195770")</f>
        <v>+918096195770</v>
      </c>
      <c r="K360" s="5" t="str">
        <f>HYPERLINK("mailto:drokamareddy@gmail.com", "drokamareddy@gmail.com")</f>
        <v>drokamareddy@gmail.com</v>
      </c>
      <c r="L360" s="6" t="s">
        <v>2143</v>
      </c>
    </row>
    <row r="361" ht="15.75" customHeight="1">
      <c r="A361" s="3">
        <v>363.0</v>
      </c>
      <c r="B361" s="3" t="s">
        <v>2144</v>
      </c>
      <c r="C361" s="3" t="s">
        <v>1118</v>
      </c>
      <c r="D361" s="3" t="s">
        <v>2145</v>
      </c>
      <c r="E361" s="3" t="s">
        <v>2146</v>
      </c>
      <c r="F361" s="3" t="s">
        <v>1121</v>
      </c>
      <c r="G361" s="3" t="s">
        <v>130</v>
      </c>
      <c r="H361" s="4" t="str">
        <f>HYPERLINK("https://www.dpsnacharam.in/", "https://www.dpsnacharam.in/")</f>
        <v>https://www.dpsnacharam.in/</v>
      </c>
      <c r="I361" s="3" t="s">
        <v>1122</v>
      </c>
      <c r="J361" s="3" t="str">
        <f>HYPERLINK("tel:+917670900348", "+917670900348")</f>
        <v>+917670900348</v>
      </c>
      <c r="K361" s="5" t="str">
        <f>HYPERLINK("mailto:admission@dpssecunderabad.in", "admission@dpssecunderabad.in")</f>
        <v>admission@dpssecunderabad.in</v>
      </c>
      <c r="L361" s="6" t="s">
        <v>1123</v>
      </c>
    </row>
    <row r="362" ht="15.75" customHeight="1">
      <c r="A362" s="3">
        <v>364.0</v>
      </c>
      <c r="B362" s="3" t="s">
        <v>2147</v>
      </c>
      <c r="C362" s="3" t="s">
        <v>1876</v>
      </c>
      <c r="D362" s="3" t="s">
        <v>2148</v>
      </c>
      <c r="E362" s="3" t="s">
        <v>2149</v>
      </c>
      <c r="F362" s="3" t="s">
        <v>1879</v>
      </c>
      <c r="G362" s="3" t="s">
        <v>138</v>
      </c>
      <c r="H362" s="4" t="str">
        <f>HYPERLINK("https://bbpsnoida.balbharati.org/", "https://bbpsnoida.balbharati.org/")</f>
        <v>https://bbpsnoida.balbharati.org/</v>
      </c>
      <c r="J362" s="3" t="str">
        <f>HYPERLINK("tel:+917290014141", "+917290014141")</f>
        <v>+917290014141</v>
      </c>
      <c r="K362" s="5" t="str">
        <f>HYPERLINK("mailto:bbpsip@gmail.com", "bbpsip@gmail.com")</f>
        <v>bbpsip@gmail.com</v>
      </c>
      <c r="L362" s="6"/>
    </row>
    <row r="363" ht="15.75" customHeight="1">
      <c r="A363" s="3">
        <v>365.0</v>
      </c>
      <c r="B363" s="3" t="s">
        <v>2150</v>
      </c>
      <c r="C363" s="3" t="s">
        <v>2151</v>
      </c>
      <c r="D363" s="3" t="s">
        <v>2152</v>
      </c>
      <c r="E363" s="3" t="s">
        <v>2153</v>
      </c>
      <c r="F363" s="3" t="s">
        <v>589</v>
      </c>
      <c r="G363" s="3" t="s">
        <v>138</v>
      </c>
      <c r="H363" s="4" t="str">
        <f>HYPERLINK("https://dpsfamily.org/", "https://dpsfamily.org/")</f>
        <v>https://dpsfamily.org/</v>
      </c>
      <c r="J363" s="3" t="str">
        <f>HYPERLINK("tel:+911143126700", "+911143126700")</f>
        <v>+911143126700</v>
      </c>
      <c r="K363" s="5" t="str">
        <f>HYPERLINK("mailto:secretary@dpsfamily.org", "secretary@dpsfamily.org")</f>
        <v>secretary@dpsfamily.org</v>
      </c>
      <c r="L363" s="6" t="s">
        <v>2154</v>
      </c>
    </row>
    <row r="364" ht="15.75" customHeight="1">
      <c r="A364" s="3">
        <v>366.0</v>
      </c>
      <c r="B364" s="3" t="s">
        <v>2155</v>
      </c>
      <c r="C364" s="3" t="s">
        <v>2156</v>
      </c>
      <c r="D364" s="3" t="s">
        <v>2157</v>
      </c>
      <c r="E364" s="3" t="s">
        <v>2158</v>
      </c>
      <c r="F364" s="3" t="s">
        <v>2159</v>
      </c>
      <c r="G364" s="3" t="s">
        <v>138</v>
      </c>
      <c r="H364" s="4" t="str">
        <f>HYPERLINK("https://www.apeejay.edu/intl/", "https://www.apeejay.edu/intl/")</f>
        <v>https://www.apeejay.edu/intl/</v>
      </c>
      <c r="J364" s="3" t="str">
        <f>HYPERLINK("tel:+911202322010", "+911202322010")</f>
        <v>+911202322010</v>
      </c>
      <c r="K364" s="5" t="str">
        <f>HYPERLINK("mailto:admissions.ps@apeejayschool.com", "admissions.ps@apeejayschool.com")</f>
        <v>admissions.ps@apeejayschool.com</v>
      </c>
      <c r="L364" s="6" t="s">
        <v>2160</v>
      </c>
    </row>
    <row r="365" ht="15.75" customHeight="1">
      <c r="A365" s="3">
        <v>367.0</v>
      </c>
      <c r="B365" s="3" t="s">
        <v>2161</v>
      </c>
      <c r="C365" s="3" t="s">
        <v>2162</v>
      </c>
      <c r="D365" s="3" t="s">
        <v>2163</v>
      </c>
      <c r="E365" s="3" t="s">
        <v>2164</v>
      </c>
      <c r="F365" s="3" t="s">
        <v>2165</v>
      </c>
      <c r="G365" s="3" t="s">
        <v>138</v>
      </c>
      <c r="H365" s="4" t="str">
        <f>HYPERLINK("https://schools.org.in/pilibhit/09210904264/c-lal-v-pal-s-v-m-inter-college.html", "https://schools.org.in/pilibhit/09210904264/c-lal-v-pal-s-v-m-inter-college.html")</f>
        <v>https://schools.org.in/pilibhit/09210904264/c-lal-v-pal-s-v-m-inter-college.html</v>
      </c>
      <c r="I365" s="3" t="s">
        <v>2166</v>
      </c>
      <c r="J365" s="3" t="str">
        <f>HYPERLINK("tel:+919210904264", "+919210904264")</f>
        <v>+919210904264</v>
      </c>
      <c r="K365" s="5" t="str">
        <f>HYPERLINK("mailto:principaldpsvm@gmail.com", "principaldpsvm@gmail.com")</f>
        <v>principaldpsvm@gmail.com</v>
      </c>
      <c r="L365" s="6" t="s">
        <v>2167</v>
      </c>
    </row>
    <row r="366" ht="15.75" customHeight="1">
      <c r="A366" s="3">
        <v>368.0</v>
      </c>
      <c r="B366" s="3" t="s">
        <v>2168</v>
      </c>
      <c r="C366" s="3" t="s">
        <v>2169</v>
      </c>
      <c r="D366" s="3" t="s">
        <v>2170</v>
      </c>
      <c r="E366" s="3" t="s">
        <v>2171</v>
      </c>
      <c r="F366" s="3" t="s">
        <v>2172</v>
      </c>
      <c r="G366" s="3" t="s">
        <v>138</v>
      </c>
      <c r="H366" s="4" t="str">
        <f>HYPERLINK("https://amityschools.in/noida/", "https://amityschools.in/noida/")</f>
        <v>https://amityschools.in/noida/</v>
      </c>
      <c r="J366" s="3" t="str">
        <f>HYPERLINK("tel:+911204399000", "+911204399000")</f>
        <v>+911204399000</v>
      </c>
      <c r="K366" s="5" t="str">
        <f>HYPERLINK("mailto:amity@aisn.amity.edu", "amity@aisn.amity.edu")</f>
        <v>amity@aisn.amity.edu</v>
      </c>
      <c r="L366" s="6"/>
    </row>
    <row r="367" ht="15.75" customHeight="1">
      <c r="A367" s="3">
        <v>369.0</v>
      </c>
      <c r="B367" s="3" t="s">
        <v>2173</v>
      </c>
      <c r="C367" s="3" t="s">
        <v>2174</v>
      </c>
      <c r="D367" s="3" t="s">
        <v>2175</v>
      </c>
      <c r="E367" s="3" t="s">
        <v>2176</v>
      </c>
      <c r="F367" s="3" t="s">
        <v>2177</v>
      </c>
      <c r="G367" s="3" t="s">
        <v>2178</v>
      </c>
      <c r="H367" s="4" t="str">
        <f>HYPERLINK("https://education.andaman.gov.in/casian/Schools.aspx?school=2520083", "https://education.andaman.gov.in/casian/Schools.aspx?school=2520083")</f>
        <v>https://education.andaman.gov.in/casian/Schools.aspx?school=2520083</v>
      </c>
      <c r="I367" s="3" t="s">
        <v>286</v>
      </c>
      <c r="J367" s="3" t="str">
        <f>HYPERLINK("tel:+913192271030", "+913192271030")</f>
        <v>+913192271030</v>
      </c>
      <c r="K367" s="5" t="str">
        <f>HYPERLINK("mailto:subhashgram2012@gmail.com", "subhashgram2012@gmail.com")</f>
        <v>subhashgram2012@gmail.com</v>
      </c>
      <c r="L367" s="6" t="s">
        <v>2179</v>
      </c>
    </row>
    <row r="368" ht="15.75" customHeight="1">
      <c r="A368" s="3">
        <v>370.0</v>
      </c>
      <c r="B368" s="3" t="s">
        <v>2180</v>
      </c>
      <c r="C368" s="3" t="s">
        <v>2181</v>
      </c>
      <c r="D368" s="3" t="s">
        <v>2182</v>
      </c>
      <c r="E368" s="3" t="s">
        <v>2183</v>
      </c>
      <c r="F368" s="3" t="s">
        <v>2184</v>
      </c>
      <c r="G368" s="3" t="s">
        <v>272</v>
      </c>
      <c r="H368" s="4" t="str">
        <f>HYPERLINK("https://schools.org.in/prakasam/28182600704/zphs-budawada.html", "https://schools.org.in/prakasam/28182600704/zphs-budawada.html")</f>
        <v>https://schools.org.in/prakasam/28182600704/zphs-budawada.html</v>
      </c>
      <c r="I368" s="3" t="s">
        <v>2185</v>
      </c>
      <c r="J368" s="3" t="str">
        <f>HYPERLINK("tel:+5954483736", "+5954483736")</f>
        <v>+5954483736</v>
      </c>
      <c r="K368" s="5" t="str">
        <f t="shared" ref="K368:K371" si="30">HYPERLINK("mailto:nan", "nan")</f>
        <v>nan</v>
      </c>
      <c r="L368" s="6" t="s">
        <v>2186</v>
      </c>
    </row>
    <row r="369" ht="15.75" customHeight="1">
      <c r="A369" s="3">
        <v>371.0</v>
      </c>
      <c r="B369" s="3" t="s">
        <v>2187</v>
      </c>
      <c r="C369" s="3" t="s">
        <v>2188</v>
      </c>
      <c r="D369" s="3" t="s">
        <v>2189</v>
      </c>
      <c r="E369" s="3" t="s">
        <v>2190</v>
      </c>
      <c r="F369" s="3" t="s">
        <v>2191</v>
      </c>
      <c r="G369" s="3" t="s">
        <v>272</v>
      </c>
      <c r="H369" s="4" t="str">
        <f>HYPERLINK("https://krishna.ap.gov.in/public-utility/smk-zphs-movva-28163001409/", "https://krishna.ap.gov.in/public-utility/smk-zphs-movva-28163001409/")</f>
        <v>https://krishna.ap.gov.in/public-utility/smk-zphs-movva-28163001409/</v>
      </c>
      <c r="I369" s="3" t="s">
        <v>2192</v>
      </c>
      <c r="J369" s="3" t="str">
        <f>HYPERLINK("tel:+918672252668", "+918672252668")</f>
        <v>+918672252668</v>
      </c>
      <c r="K369" s="5" t="str">
        <f t="shared" si="30"/>
        <v>nan</v>
      </c>
      <c r="L369" s="6" t="s">
        <v>2193</v>
      </c>
    </row>
    <row r="370" ht="15.75" customHeight="1">
      <c r="A370" s="3">
        <v>372.0</v>
      </c>
      <c r="B370" s="3" t="s">
        <v>2194</v>
      </c>
      <c r="C370" s="3" t="s">
        <v>2195</v>
      </c>
      <c r="D370" s="3" t="s">
        <v>2196</v>
      </c>
      <c r="E370" s="3" t="s">
        <v>2197</v>
      </c>
      <c r="F370" s="3" t="s">
        <v>2198</v>
      </c>
      <c r="G370" s="3" t="s">
        <v>182</v>
      </c>
      <c r="H370" s="4" t="str">
        <f>HYPERLINK("https://www.facebook.com/ghsschakrakwalan/", "https://www.facebook.com/ghsschakrakwalan/")</f>
        <v>https://www.facebook.com/ghsschakrakwalan/</v>
      </c>
      <c r="I370" s="3" t="s">
        <v>2199</v>
      </c>
      <c r="J370" s="3" t="str">
        <f>HYPERLINK("tel:nan", "nan")</f>
        <v>nan</v>
      </c>
      <c r="K370" s="5" t="str">
        <f t="shared" si="30"/>
        <v>nan</v>
      </c>
      <c r="L370" s="6" t="s">
        <v>2200</v>
      </c>
    </row>
    <row r="371" ht="15.75" customHeight="1">
      <c r="A371" s="3">
        <v>373.0</v>
      </c>
      <c r="B371" s="3" t="s">
        <v>2201</v>
      </c>
      <c r="C371" s="3" t="s">
        <v>2202</v>
      </c>
      <c r="D371" s="3" t="s">
        <v>2203</v>
      </c>
      <c r="E371" s="3" t="s">
        <v>2204</v>
      </c>
      <c r="F371" s="3" t="s">
        <v>2205</v>
      </c>
      <c r="G371" s="3" t="s">
        <v>182</v>
      </c>
      <c r="H371" s="4" t="str">
        <f>HYPERLINK("https://www.facebook.com/UnitedfrontofReK/", "https://www.facebook.com/UnitedfrontofReK/")</f>
        <v>https://www.facebook.com/UnitedfrontofReK/</v>
      </c>
      <c r="I371" s="3" t="s">
        <v>2206</v>
      </c>
      <c r="J371" s="3" t="str">
        <f>HYPERLINK("tel:+913236746820", "+913236746820")</f>
        <v>+913236746820</v>
      </c>
      <c r="K371" s="5" t="str">
        <f t="shared" si="30"/>
        <v>nan</v>
      </c>
      <c r="L371" s="6" t="s">
        <v>2207</v>
      </c>
    </row>
    <row r="372" ht="15.75" customHeight="1">
      <c r="A372" s="3">
        <v>374.0</v>
      </c>
      <c r="B372" s="3" t="s">
        <v>2208</v>
      </c>
      <c r="C372" s="3" t="s">
        <v>27</v>
      </c>
      <c r="D372" s="3" t="s">
        <v>2209</v>
      </c>
      <c r="E372" s="3" t="s">
        <v>2210</v>
      </c>
      <c r="F372" s="3" t="s">
        <v>30</v>
      </c>
      <c r="G372" s="3" t="s">
        <v>31</v>
      </c>
      <c r="H372" s="4" t="str">
        <f>HYPERLINK("https://excelpublicschool.com/", "https://excelpublicschool.com/")</f>
        <v>https://excelpublicschool.com/</v>
      </c>
      <c r="J372" s="3" t="str">
        <f>HYPERLINK("tel:+918212971004", "+918212971004")</f>
        <v>+918212971004</v>
      </c>
      <c r="K372" s="5" t="str">
        <f>HYPERLINK("mailto:eps@excelpublicschool.com", "eps@excelpublicschool.com")</f>
        <v>eps@excelpublicschool.com</v>
      </c>
      <c r="L372" s="6" t="s">
        <v>32</v>
      </c>
    </row>
    <row r="373" ht="15.75" customHeight="1">
      <c r="A373" s="3">
        <v>375.0</v>
      </c>
      <c r="B373" s="3" t="s">
        <v>2211</v>
      </c>
      <c r="C373" s="3" t="s">
        <v>2212</v>
      </c>
      <c r="D373" s="3" t="s">
        <v>2213</v>
      </c>
      <c r="E373" s="3" t="s">
        <v>2214</v>
      </c>
      <c r="F373" s="3" t="s">
        <v>2215</v>
      </c>
      <c r="G373" s="3" t="s">
        <v>31</v>
      </c>
      <c r="H373" s="4" t="str">
        <f>HYPERLINK("https://campuspro.co.in/schools/5085/aradhana-higher-primary-school", "https://campuspro.co.in/schools/5085/aradhana-higher-primary-school")</f>
        <v>https://campuspro.co.in/schools/5085/aradhana-higher-primary-school</v>
      </c>
      <c r="I373" s="3" t="s">
        <v>2216</v>
      </c>
      <c r="J373" s="3" t="str">
        <f>HYPERLINK("tel:+918261295474", "+918261295474")</f>
        <v>+918261295474</v>
      </c>
      <c r="K373" s="5" t="str">
        <f>HYPERLINK("mailto:aradhnaschool2012@gmail.com", "aradhnaschool2012@gmail.com")</f>
        <v>aradhnaschool2012@gmail.com</v>
      </c>
      <c r="L373" s="6" t="s">
        <v>2217</v>
      </c>
    </row>
    <row r="374" ht="15.75" customHeight="1">
      <c r="A374" s="3">
        <v>376.0</v>
      </c>
      <c r="B374" s="3" t="s">
        <v>2218</v>
      </c>
      <c r="C374" s="3" t="s">
        <v>2219</v>
      </c>
      <c r="D374" s="3" t="s">
        <v>2220</v>
      </c>
      <c r="E374" s="3" t="s">
        <v>2221</v>
      </c>
      <c r="F374" s="3" t="s">
        <v>2222</v>
      </c>
      <c r="G374" s="3" t="s">
        <v>31</v>
      </c>
      <c r="H374" s="4" t="str">
        <f>HYPERLINK("https://schools.org.in/belagavi-chikkodi/29300906401/sbs-kanya-shala-high-school-nippani.html", "https://schools.org.in/belagavi-chikkodi/29300906401/sbs-kanya-shala-high-school-nippani.html")</f>
        <v>https://schools.org.in/belagavi-chikkodi/29300906401/sbs-kanya-shala-high-school-nippani.html</v>
      </c>
      <c r="I374" s="3" t="s">
        <v>2223</v>
      </c>
      <c r="J374" s="3" t="str">
        <f>HYPERLINK("tel:nan", "nan")</f>
        <v>nan</v>
      </c>
      <c r="K374" s="5" t="str">
        <f>HYPERLINK("mailto:nan", "nan")</f>
        <v>nan</v>
      </c>
      <c r="L374" s="6" t="s">
        <v>2224</v>
      </c>
    </row>
    <row r="375" ht="15.75" customHeight="1">
      <c r="A375" s="3">
        <v>377.0</v>
      </c>
      <c r="B375" s="3" t="s">
        <v>2225</v>
      </c>
      <c r="C375" s="3" t="s">
        <v>2226</v>
      </c>
      <c r="D375" s="3" t="s">
        <v>2227</v>
      </c>
      <c r="E375" s="3" t="s">
        <v>2228</v>
      </c>
      <c r="F375" s="3" t="s">
        <v>2229</v>
      </c>
      <c r="G375" s="3" t="s">
        <v>58</v>
      </c>
      <c r="H375" s="4" t="str">
        <f>HYPERLINK("https://ernakulam.kvs.ac.in/en/", "https://ernakulam.kvs.ac.in/en/")</f>
        <v>https://ernakulam.kvs.ac.in/en/</v>
      </c>
      <c r="I375" s="3" t="s">
        <v>93</v>
      </c>
      <c r="J375" s="3" t="str">
        <f>HYPERLINK("tel:+914842204785", "+914842204785")</f>
        <v>+914842204785</v>
      </c>
      <c r="K375" s="5" t="str">
        <f>HYPERLINK("mailto:Ppl.kayamkulam@kvs.gov.in", "Ppl.kayamkulam@kvs.gov.in")</f>
        <v>Ppl.kayamkulam@kvs.gov.in</v>
      </c>
      <c r="L375" s="6" t="s">
        <v>2230</v>
      </c>
    </row>
    <row r="376" ht="15.75" customHeight="1">
      <c r="A376" s="3">
        <v>378.0</v>
      </c>
      <c r="B376" s="3" t="s">
        <v>2231</v>
      </c>
      <c r="C376" s="3" t="s">
        <v>2112</v>
      </c>
      <c r="D376" s="3" t="s">
        <v>2232</v>
      </c>
      <c r="E376" s="3" t="s">
        <v>2233</v>
      </c>
      <c r="F376" s="3" t="s">
        <v>2115</v>
      </c>
      <c r="G376" s="3" t="s">
        <v>58</v>
      </c>
      <c r="H376" s="4" t="str">
        <f>HYPERLINK("https://campuspro.co.in/schools/8903/kairali-vidya-bhavan-trivendrum", "https://campuspro.co.in/schools/8903/kairali-vidya-bhavan-trivendrum")</f>
        <v>https://campuspro.co.in/schools/8903/kairali-vidya-bhavan-trivendrum</v>
      </c>
      <c r="J376" s="3" t="str">
        <f>HYPERLINK("tel:+914722813240", "+914722813240")</f>
        <v>+914722813240</v>
      </c>
      <c r="K376" s="5" t="str">
        <f>HYPERLINK("mailto:kairali.ndd@gmail.com", "kairali.ndd@gmail.com")</f>
        <v>kairali.ndd@gmail.com</v>
      </c>
      <c r="L376" s="6" t="s">
        <v>2116</v>
      </c>
    </row>
    <row r="377" ht="15.75" customHeight="1">
      <c r="A377" s="3">
        <v>379.0</v>
      </c>
      <c r="B377" s="3" t="s">
        <v>2234</v>
      </c>
      <c r="C377" s="3" t="s">
        <v>2235</v>
      </c>
      <c r="D377" s="3" t="s">
        <v>2236</v>
      </c>
      <c r="E377" s="3" t="s">
        <v>2237</v>
      </c>
      <c r="F377" s="3" t="s">
        <v>2238</v>
      </c>
      <c r="G377" s="3" t="s">
        <v>58</v>
      </c>
      <c r="H377" s="4" t="str">
        <f>HYPERLINK("https://stmaryshsspattom.com/", "https://stmaryshsspattom.com/")</f>
        <v>https://stmaryshsspattom.com/</v>
      </c>
      <c r="I377" s="3" t="s">
        <v>2239</v>
      </c>
      <c r="J377" s="3" t="str">
        <f>HYPERLINK("tel:+914712441880", "+914712441880")</f>
        <v>+914712441880</v>
      </c>
      <c r="K377" s="5" t="str">
        <f>HYPERLINK("mailto:pattomstmarys@gmail.com", "pattomstmarys@gmail.com")</f>
        <v>pattomstmarys@gmail.com</v>
      </c>
      <c r="L377" s="6" t="s">
        <v>2240</v>
      </c>
    </row>
    <row r="378" ht="15.75" customHeight="1">
      <c r="A378" s="3">
        <v>380.0</v>
      </c>
      <c r="B378" s="3" t="s">
        <v>2241</v>
      </c>
      <c r="C378" s="3" t="s">
        <v>2242</v>
      </c>
      <c r="D378" s="3" t="s">
        <v>2243</v>
      </c>
      <c r="E378" s="3" t="s">
        <v>2244</v>
      </c>
      <c r="F378" s="3" t="s">
        <v>2245</v>
      </c>
      <c r="G378" s="3" t="s">
        <v>58</v>
      </c>
      <c r="H378" s="4" t="str">
        <f>HYPERLINK("https://ernakulam.nic.in/en/public-utility/st-augustines-ghss/", "https://ernakulam.nic.in/en/public-utility/st-augustines-ghss/")</f>
        <v>https://ernakulam.nic.in/en/public-utility/st-augustines-ghss/</v>
      </c>
      <c r="I378" s="3" t="s">
        <v>2246</v>
      </c>
      <c r="J378" s="3" t="str">
        <f>HYPERLINK("tel:+914852830626", "+914852830626")</f>
        <v>+914852830626</v>
      </c>
      <c r="K378" s="5" t="str">
        <f>HYPERLINK("mailto:sghss6017@gmail.com", "sghss6017@gmail.com")</f>
        <v>sghss6017@gmail.com</v>
      </c>
      <c r="L378" s="6"/>
    </row>
    <row r="379" ht="15.75" customHeight="1">
      <c r="A379" s="3">
        <v>381.0</v>
      </c>
      <c r="B379" s="3" t="s">
        <v>2247</v>
      </c>
      <c r="C379" s="3" t="s">
        <v>2248</v>
      </c>
      <c r="D379" s="3" t="s">
        <v>2249</v>
      </c>
      <c r="E379" s="3" t="s">
        <v>2250</v>
      </c>
      <c r="F379" s="3" t="s">
        <v>2251</v>
      </c>
      <c r="G379" s="3" t="s">
        <v>38</v>
      </c>
      <c r="H379" s="4" t="str">
        <f>HYPERLINK("https://no1afspune.kvs.ac.in/en/", "https://no1afspune.kvs.ac.in/en/")</f>
        <v>https://no1afspune.kvs.ac.in/en/</v>
      </c>
      <c r="I379" s="3" t="s">
        <v>86</v>
      </c>
      <c r="J379" s="3" t="str">
        <f>HYPERLINK("tel:+912026687656", "+912026687656")</f>
        <v>+912026687656</v>
      </c>
      <c r="K379" s="5" t="str">
        <f>HYPERLINK("mailto:nan", "nan")</f>
        <v>nan</v>
      </c>
      <c r="L379" s="6" t="s">
        <v>2252</v>
      </c>
    </row>
    <row r="380" ht="15.75" customHeight="1">
      <c r="A380" s="3">
        <v>382.0</v>
      </c>
      <c r="B380" s="3" t="s">
        <v>2253</v>
      </c>
      <c r="C380" s="3" t="s">
        <v>2254</v>
      </c>
      <c r="D380" s="3" t="s">
        <v>2255</v>
      </c>
      <c r="E380" s="3" t="s">
        <v>2256</v>
      </c>
      <c r="F380" s="3" t="s">
        <v>2257</v>
      </c>
      <c r="G380" s="3" t="s">
        <v>265</v>
      </c>
      <c r="H380" s="4" t="str">
        <f>HYPERLINK("https://pathseekers.edu.in/", "https://pathseekers.edu.in/")</f>
        <v>https://pathseekers.edu.in/</v>
      </c>
      <c r="I380" s="3" t="s">
        <v>2258</v>
      </c>
      <c r="J380" s="3" t="str">
        <f>HYPERLINK("tel:+911853271739", "+911853271739")</f>
        <v>+911853271739</v>
      </c>
      <c r="K380" s="5" t="str">
        <f>HYPERLINK("mailto:school_beas@pathseekers.education", "school_beas@pathseekers.education")</f>
        <v>school_beas@pathseekers.education</v>
      </c>
      <c r="L380" s="6"/>
    </row>
    <row r="381" ht="15.75" customHeight="1">
      <c r="A381" s="3">
        <v>383.0</v>
      </c>
      <c r="B381" s="3" t="s">
        <v>2259</v>
      </c>
      <c r="C381" s="3" t="s">
        <v>2260</v>
      </c>
      <c r="D381" s="3" t="s">
        <v>2261</v>
      </c>
      <c r="E381" s="3" t="s">
        <v>2262</v>
      </c>
      <c r="F381" s="3" t="s">
        <v>2263</v>
      </c>
      <c r="G381" s="3" t="s">
        <v>17</v>
      </c>
      <c r="H381" s="4" t="str">
        <f>HYPERLINK("https://www.omegaschools.org/", "https://www.omegaschools.org/")</f>
        <v>https://www.omegaschools.org/</v>
      </c>
      <c r="J381" s="3" t="str">
        <f>HYPERLINK("tel:+914466241130", "+914466241130")</f>
        <v>+914466241130</v>
      </c>
      <c r="K381" s="5" t="str">
        <f>HYPERLINK("mailto:info@hisomega.org", "info@hisomega.org")</f>
        <v>info@hisomega.org</v>
      </c>
      <c r="L381" s="6" t="s">
        <v>2264</v>
      </c>
    </row>
    <row r="382" ht="15.75" customHeight="1">
      <c r="A382" s="3">
        <v>384.0</v>
      </c>
      <c r="B382" s="3" t="s">
        <v>2265</v>
      </c>
      <c r="C382" s="3" t="s">
        <v>13</v>
      </c>
      <c r="D382" s="3" t="s">
        <v>2266</v>
      </c>
      <c r="E382" s="3" t="s">
        <v>2267</v>
      </c>
      <c r="F382" s="3" t="s">
        <v>16</v>
      </c>
      <c r="G382" s="3" t="s">
        <v>17</v>
      </c>
      <c r="H382" s="4" t="str">
        <f>HYPERLINK("https://spicschool.com/", "https://spicschool.com/")</f>
        <v>https://spicschool.com/</v>
      </c>
      <c r="I382" s="3" t="s">
        <v>18</v>
      </c>
      <c r="J382" s="3" t="str">
        <f>HYPERLINK("tel:+914612355066", "+914612355066")</f>
        <v>+914612355066</v>
      </c>
      <c r="K382" s="5" t="str">
        <f>HYPERLINK("mailto:contact@spicschool.com", "contact@spicschool.com")</f>
        <v>contact@spicschool.com</v>
      </c>
      <c r="L382" s="6" t="s">
        <v>931</v>
      </c>
    </row>
    <row r="383" ht="15.75" customHeight="1">
      <c r="A383" s="3">
        <v>385.0</v>
      </c>
      <c r="B383" s="3" t="s">
        <v>2268</v>
      </c>
      <c r="C383" s="3" t="s">
        <v>2269</v>
      </c>
      <c r="D383" s="3" t="s">
        <v>2270</v>
      </c>
      <c r="E383" s="3" t="s">
        <v>2271</v>
      </c>
      <c r="F383" s="3" t="s">
        <v>2272</v>
      </c>
      <c r="G383" s="3" t="s">
        <v>17</v>
      </c>
      <c r="H383" s="4" t="str">
        <f>HYPERLINK("https://schools.org.in/the-nilgiris/33110101811/government-higher-secondary-school-manjoor.html", "https://schools.org.in/the-nilgiris/33110101811/government-higher-secondary-school-manjoor.html")</f>
        <v>https://schools.org.in/the-nilgiris/33110101811/government-higher-secondary-school-manjoor.html</v>
      </c>
      <c r="I383" s="3" t="s">
        <v>2273</v>
      </c>
      <c r="J383" s="3" t="str">
        <f>HYPERLINK("tel:+919393939393", "+919393939393")</f>
        <v>+919393939393</v>
      </c>
      <c r="K383" s="5" t="str">
        <f>HYPERLINK("mailto:nan", "nan")</f>
        <v>nan</v>
      </c>
      <c r="L383" s="6" t="s">
        <v>2274</v>
      </c>
    </row>
    <row r="384" ht="15.75" customHeight="1">
      <c r="A384" s="3">
        <v>386.0</v>
      </c>
      <c r="B384" s="3" t="s">
        <v>2275</v>
      </c>
      <c r="C384" s="3" t="s">
        <v>2276</v>
      </c>
      <c r="D384" s="3" t="s">
        <v>2277</v>
      </c>
      <c r="E384" s="3" t="s">
        <v>2278</v>
      </c>
      <c r="F384" s="3" t="s">
        <v>2279</v>
      </c>
      <c r="G384" s="3" t="s">
        <v>272</v>
      </c>
      <c r="H384" s="4" t="str">
        <f>HYPERLINK("https://apms.apcfss.in/", "https://apms.apcfss.in/")</f>
        <v>https://apms.apcfss.in/</v>
      </c>
      <c r="I384" s="3" t="s">
        <v>2280</v>
      </c>
      <c r="J384" s="3" t="str">
        <f>HYPERLINK("tel:+919894997818", "+919894997818")</f>
        <v>+919894997818</v>
      </c>
      <c r="K384" s="5" t="str">
        <f>HYPERLINK("mailto:info@careers360.com", "info@careers360.com")</f>
        <v>info@careers360.com</v>
      </c>
      <c r="L384" s="6" t="s">
        <v>2281</v>
      </c>
    </row>
    <row r="385" ht="15.75" customHeight="1">
      <c r="A385" s="3">
        <v>387.0</v>
      </c>
      <c r="B385" s="3" t="s">
        <v>2282</v>
      </c>
      <c r="C385" s="3" t="s">
        <v>2283</v>
      </c>
      <c r="D385" s="3" t="s">
        <v>2284</v>
      </c>
      <c r="E385" s="3" t="s">
        <v>2285</v>
      </c>
      <c r="F385" s="3" t="s">
        <v>2286</v>
      </c>
      <c r="G385" s="3" t="s">
        <v>24</v>
      </c>
      <c r="H385" s="4" t="str">
        <f>HYPERLINK("https://www.swarnprastha.com/", "https://www.swarnprastha.com/")</f>
        <v>https://www.swarnprastha.com/</v>
      </c>
      <c r="J385" s="3" t="str">
        <f>HYPERLINK("tel:+917703865712", "+917703865712")</f>
        <v>+917703865712</v>
      </c>
      <c r="K385" s="5" t="str">
        <f>HYPERLINK("mailto:connect@allschoolscolleges.com", "connect@allschoolscolleges.com")</f>
        <v>connect@allschoolscolleges.com</v>
      </c>
      <c r="L385" s="6"/>
    </row>
    <row r="386" ht="15.75" customHeight="1">
      <c r="A386" s="3">
        <v>388.0</v>
      </c>
      <c r="B386" s="3" t="s">
        <v>2287</v>
      </c>
      <c r="C386" s="3" t="s">
        <v>2288</v>
      </c>
      <c r="D386" s="3" t="s">
        <v>2289</v>
      </c>
      <c r="E386" s="3" t="s">
        <v>2290</v>
      </c>
      <c r="F386" s="3" t="s">
        <v>2291</v>
      </c>
      <c r="G386" s="3" t="s">
        <v>182</v>
      </c>
      <c r="H386" s="4" t="str">
        <f>HYPERLINK("https://www.facebook.com/HSSD2017/", "https://www.facebook.com/HSSD2017/")</f>
        <v>https://www.facebook.com/HSSD2017/</v>
      </c>
      <c r="I386" s="3" t="s">
        <v>2292</v>
      </c>
      <c r="J386" s="3" t="str">
        <f>HYPERLINK("tel:+911951255203", "+911951255203")</f>
        <v>+911951255203</v>
      </c>
      <c r="K386" s="5" t="str">
        <f>HYPERLINK("mailto:home-jk@nic.in", "home-jk@nic.in")</f>
        <v>home-jk@nic.in</v>
      </c>
      <c r="L386" s="6" t="s">
        <v>2293</v>
      </c>
    </row>
    <row r="387" ht="15.75" customHeight="1">
      <c r="A387" s="3">
        <v>389.0</v>
      </c>
      <c r="B387" s="3" t="s">
        <v>2294</v>
      </c>
      <c r="C387" s="3" t="s">
        <v>2295</v>
      </c>
      <c r="D387" s="3" t="s">
        <v>1119</v>
      </c>
      <c r="E387" s="3" t="s">
        <v>2296</v>
      </c>
      <c r="F387" s="3" t="s">
        <v>2297</v>
      </c>
      <c r="G387" s="3" t="s">
        <v>31</v>
      </c>
      <c r="H387" s="4" t="str">
        <f>HYPERLINK("https://navodaya.gov.in/nvs/nvs-school/BANGALOREURBAN/en/home/", "https://navodaya.gov.in/nvs/nvs-school/BANGALOREURBAN/en/home/")</f>
        <v>https://navodaya.gov.in/nvs/nvs-school/BANGALOREURBAN/en/home/</v>
      </c>
      <c r="I387" s="3" t="s">
        <v>1676</v>
      </c>
      <c r="J387" s="3" t="str">
        <f>HYPERLINK("tel:+914029700571", "+914029700571")</f>
        <v>+914029700571</v>
      </c>
      <c r="K387" s="5" t="str">
        <f>HYPERLINK("mailto:ithelpdesk.nvs@gmail.com", "ithelpdesk.nvs@gmail.com")</f>
        <v>ithelpdesk.nvs@gmail.com</v>
      </c>
      <c r="L387" s="6" t="s">
        <v>1677</v>
      </c>
    </row>
    <row r="388" ht="15.75" customHeight="1">
      <c r="A388" s="3">
        <v>390.0</v>
      </c>
      <c r="B388" s="3" t="s">
        <v>2298</v>
      </c>
      <c r="C388" s="3" t="s">
        <v>2299</v>
      </c>
      <c r="D388" s="3" t="s">
        <v>2300</v>
      </c>
      <c r="E388" s="3" t="s">
        <v>2301</v>
      </c>
      <c r="F388" s="3" t="s">
        <v>2302</v>
      </c>
      <c r="G388" s="3" t="s">
        <v>31</v>
      </c>
      <c r="H388" s="4" t="str">
        <f>HYPERLINK("https://hebbalbangalore.kvs.ac.in/en/", "https://hebbalbangalore.kvs.ac.in/en/")</f>
        <v>https://hebbalbangalore.kvs.ac.in/en/</v>
      </c>
      <c r="I388" s="3" t="s">
        <v>93</v>
      </c>
      <c r="J388" s="3" t="str">
        <f>HYPERLINK("tel:+918029602491", "+918029602491")</f>
        <v>+918029602491</v>
      </c>
      <c r="K388" s="5" t="str">
        <f>HYPERLINK("mailto:nan", "nan")</f>
        <v>nan</v>
      </c>
      <c r="L388" s="6" t="s">
        <v>2303</v>
      </c>
    </row>
    <row r="389" ht="15.75" customHeight="1">
      <c r="A389" s="3">
        <v>391.0</v>
      </c>
      <c r="B389" s="3" t="s">
        <v>2304</v>
      </c>
      <c r="C389" s="3" t="s">
        <v>2305</v>
      </c>
      <c r="D389" s="3" t="s">
        <v>2306</v>
      </c>
      <c r="E389" s="3" t="s">
        <v>2307</v>
      </c>
      <c r="F389" s="3" t="s">
        <v>2308</v>
      </c>
      <c r="G389" s="3" t="s">
        <v>58</v>
      </c>
      <c r="H389" s="4" t="str">
        <f>HYPERLINK("https://schools.org.in/kannur/32020200412/kadambur-hs.html", "https://schools.org.in/kannur/32020200412/kadambur-hs.html")</f>
        <v>https://schools.org.in/kannur/32020200412/kadambur-hs.html</v>
      </c>
      <c r="I389" s="3" t="s">
        <v>2309</v>
      </c>
      <c r="J389" s="3" t="str">
        <f>HYPERLINK("tel:+914712325106", "+914712325106")</f>
        <v>+914712325106</v>
      </c>
      <c r="K389" s="5" t="str">
        <f>HYPERLINK("mailto:dirdhse.dge@kerala.gov.in", "dirdhse.dge@kerala.gov.in")</f>
        <v>dirdhse.dge@kerala.gov.in</v>
      </c>
      <c r="L389" s="6" t="s">
        <v>2310</v>
      </c>
    </row>
    <row r="390" ht="15.75" customHeight="1">
      <c r="A390" s="3">
        <v>392.0</v>
      </c>
      <c r="B390" s="3" t="s">
        <v>2311</v>
      </c>
      <c r="C390" s="3" t="s">
        <v>2312</v>
      </c>
      <c r="D390" s="3" t="s">
        <v>2313</v>
      </c>
      <c r="E390" s="3" t="s">
        <v>2314</v>
      </c>
      <c r="F390" s="3" t="s">
        <v>2315</v>
      </c>
      <c r="G390" s="3" t="s">
        <v>265</v>
      </c>
      <c r="H390" s="4" t="str">
        <f>HYPERLINK("https://www.policedavjal.in/", "https://www.policedavjal.in/")</f>
        <v>https://www.policedavjal.in/</v>
      </c>
      <c r="I390" s="3" t="s">
        <v>2316</v>
      </c>
      <c r="J390" s="3" t="str">
        <f>HYPERLINK("tel:+911812223618", "+911812223618")</f>
        <v>+911812223618</v>
      </c>
      <c r="K390" s="5" t="str">
        <f>HYPERLINK("mailto:papdavjl@yahoo.co.in", "papdavjl@yahoo.co.in")</f>
        <v>papdavjl@yahoo.co.in</v>
      </c>
      <c r="L390" s="6" t="s">
        <v>2317</v>
      </c>
    </row>
    <row r="391" ht="15.75" customHeight="1">
      <c r="A391" s="3">
        <v>393.0</v>
      </c>
      <c r="B391" s="3" t="s">
        <v>2318</v>
      </c>
      <c r="C391" s="3" t="s">
        <v>2319</v>
      </c>
      <c r="D391" s="3" t="s">
        <v>2320</v>
      </c>
      <c r="E391" s="3" t="s">
        <v>2321</v>
      </c>
      <c r="F391" s="3" t="s">
        <v>2322</v>
      </c>
      <c r="G391" s="3" t="s">
        <v>70</v>
      </c>
      <c r="H391" s="4" t="str">
        <f>HYPERLINK("http://www.msmsvidyalaya.in/", "http://www.msmsvidyalaya.in/")</f>
        <v>http://www.msmsvidyalaya.in/</v>
      </c>
      <c r="J391" s="3" t="str">
        <f>HYPERLINK("tel:+911412560193", "+911412560193")</f>
        <v>+911412560193</v>
      </c>
      <c r="K391" s="5" t="str">
        <f>HYPERLINK("mailto:msmsvidyalaya@gmail.com", "msmsvidyalaya@gmail.com")</f>
        <v>msmsvidyalaya@gmail.com</v>
      </c>
      <c r="L391" s="6" t="s">
        <v>2323</v>
      </c>
    </row>
    <row r="392" ht="15.75" customHeight="1">
      <c r="A392" s="3">
        <v>394.0</v>
      </c>
      <c r="B392" s="3" t="s">
        <v>2324</v>
      </c>
      <c r="C392" s="3" t="s">
        <v>478</v>
      </c>
      <c r="D392" s="3" t="s">
        <v>2325</v>
      </c>
      <c r="E392" s="3" t="s">
        <v>2326</v>
      </c>
      <c r="F392" s="3" t="s">
        <v>481</v>
      </c>
      <c r="G392" s="3" t="s">
        <v>17</v>
      </c>
      <c r="H392" s="4" t="str">
        <f>HYPERLINK("http://sriramanavidyalaya.org/", "http://sriramanavidyalaya.org/")</f>
        <v>http://sriramanavidyalaya.org/</v>
      </c>
      <c r="I392" s="3" t="s">
        <v>210</v>
      </c>
      <c r="J392" s="3" t="str">
        <f>HYPERLINK("tel:+914563236090", "+914563236090")</f>
        <v>+914563236090</v>
      </c>
      <c r="K392" s="5" t="str">
        <f>HYPERLINK("mailto:srps102013@gmail.com", "srps102013@gmail.com")</f>
        <v>srps102013@gmail.com</v>
      </c>
      <c r="L392" s="6"/>
    </row>
    <row r="393" ht="15.75" customHeight="1">
      <c r="A393" s="3">
        <v>395.0</v>
      </c>
      <c r="B393" s="3" t="s">
        <v>2327</v>
      </c>
      <c r="C393" s="3" t="s">
        <v>2328</v>
      </c>
      <c r="D393" s="3" t="s">
        <v>2329</v>
      </c>
      <c r="E393" s="3" t="s">
        <v>2330</v>
      </c>
      <c r="F393" s="3" t="s">
        <v>2331</v>
      </c>
      <c r="G393" s="3" t="s">
        <v>130</v>
      </c>
      <c r="H393" s="4" t="str">
        <f>HYPERLINK("https://schools.org.in/mahbubnagar/36075401504/zphs-anantapur.html", "https://schools.org.in/mahbubnagar/36075401504/zphs-anantapur.html")</f>
        <v>https://schools.org.in/mahbubnagar/36075401504/zphs-anantapur.html</v>
      </c>
      <c r="I393" s="3" t="s">
        <v>2332</v>
      </c>
      <c r="J393" s="3" t="str">
        <f>HYPERLINK("tel:+919393939393", "+919393939393")</f>
        <v>+919393939393</v>
      </c>
      <c r="K393" s="5" t="str">
        <f>HYPERLINK("mailto:S2954273@gmail.com", "S2954273@gmail.com")</f>
        <v>S2954273@gmail.com</v>
      </c>
      <c r="L393" s="6" t="s">
        <v>2333</v>
      </c>
    </row>
    <row r="394" ht="15.75" customHeight="1">
      <c r="A394" s="3">
        <v>396.0</v>
      </c>
      <c r="B394" s="3" t="s">
        <v>2334</v>
      </c>
      <c r="C394" s="3" t="s">
        <v>2335</v>
      </c>
      <c r="D394" s="3" t="s">
        <v>2336</v>
      </c>
      <c r="E394" s="3" t="s">
        <v>2337</v>
      </c>
      <c r="F394" s="3" t="s">
        <v>2338</v>
      </c>
      <c r="G394" s="3" t="s">
        <v>130</v>
      </c>
      <c r="H394" s="4" t="str">
        <f>HYPERLINK("https://news.globalindianschool.org/uppal-hyd", "https://news.globalindianschool.org/uppal-hyd")</f>
        <v>https://news.globalindianschool.org/uppal-hyd</v>
      </c>
      <c r="J394" s="3" t="str">
        <f>HYPERLINK("tel:+919652522200", "+919652522200")</f>
        <v>+919652522200</v>
      </c>
      <c r="K394" s="5" t="str">
        <f>HYPERLINK("mailto:admissionsofficer@arca.co.in", "admissionsofficer@arca.co.in")</f>
        <v>admissionsofficer@arca.co.in</v>
      </c>
      <c r="L394" s="6"/>
    </row>
    <row r="395" ht="15.75" customHeight="1">
      <c r="A395" s="3">
        <v>397.0</v>
      </c>
      <c r="B395" s="3" t="s">
        <v>2339</v>
      </c>
      <c r="C395" s="3" t="s">
        <v>2340</v>
      </c>
      <c r="D395" s="3" t="s">
        <v>2341</v>
      </c>
      <c r="E395" s="3" t="s">
        <v>2342</v>
      </c>
      <c r="F395" s="3" t="s">
        <v>2343</v>
      </c>
      <c r="G395" s="3" t="s">
        <v>138</v>
      </c>
      <c r="H395" s="4" t="str">
        <f>HYPERLINK("https://armypublicschoolagra.com/", "https://armypublicschoolagra.com/")</f>
        <v>https://armypublicschoolagra.com/</v>
      </c>
      <c r="J395" s="3" t="str">
        <f>HYPERLINK("tel:+915222296931", "+915222296931")</f>
        <v>+915222296931</v>
      </c>
      <c r="K395" s="5" t="str">
        <f>HYPERLINK("mailto:apsoldcanttoffice@gmail.com", "apsoldcanttoffice@gmail.com")</f>
        <v>apsoldcanttoffice@gmail.com</v>
      </c>
      <c r="L395" s="6" t="s">
        <v>2344</v>
      </c>
    </row>
    <row r="396" ht="15.75" customHeight="1">
      <c r="A396" s="3">
        <v>398.0</v>
      </c>
      <c r="B396" s="3" t="s">
        <v>2345</v>
      </c>
      <c r="C396" s="3" t="s">
        <v>2346</v>
      </c>
      <c r="D396" s="3" t="s">
        <v>2347</v>
      </c>
      <c r="E396" s="3" t="s">
        <v>2348</v>
      </c>
      <c r="F396" s="3" t="s">
        <v>2349</v>
      </c>
      <c r="G396" s="3" t="s">
        <v>2350</v>
      </c>
      <c r="H396" s="4" t="str">
        <f>HYPERLINK("https://nerist.kvs.ac.in/", "https://nerist.kvs.ac.in/")</f>
        <v>https://nerist.kvs.ac.in/</v>
      </c>
      <c r="I396" s="3" t="s">
        <v>625</v>
      </c>
      <c r="J396" s="3" t="str">
        <f>HYPERLINK("tel:+913602258220", "+913602258220")</f>
        <v>+913602258220</v>
      </c>
      <c r="K396" s="5" t="str">
        <f t="shared" ref="K396:K397" si="31">HYPERLINK("mailto:nan", "nan")</f>
        <v>nan</v>
      </c>
      <c r="L396" s="6"/>
    </row>
    <row r="397" ht="15.75" customHeight="1">
      <c r="A397" s="3">
        <v>399.0</v>
      </c>
      <c r="B397" s="3" t="s">
        <v>2351</v>
      </c>
      <c r="C397" s="3" t="s">
        <v>2352</v>
      </c>
      <c r="D397" s="3" t="s">
        <v>2353</v>
      </c>
      <c r="E397" s="3" t="s">
        <v>2354</v>
      </c>
      <c r="F397" s="3" t="s">
        <v>2355</v>
      </c>
      <c r="G397" s="3" t="s">
        <v>38</v>
      </c>
      <c r="H397" s="4" t="str">
        <f>HYPERLINK("https://kanakiaschools.org/", "https://kanakiaschools.org/")</f>
        <v>https://kanakiaschools.org/</v>
      </c>
      <c r="J397" s="3" t="str">
        <f>HYPERLINK("tel:nan", "nan")</f>
        <v>nan</v>
      </c>
      <c r="K397" s="5" t="str">
        <f t="shared" si="31"/>
        <v>nan</v>
      </c>
      <c r="L397" s="6"/>
    </row>
    <row r="398" ht="15.75" customHeight="1">
      <c r="A398" s="3">
        <v>400.0</v>
      </c>
      <c r="B398" s="3" t="s">
        <v>2356</v>
      </c>
      <c r="C398" s="3" t="s">
        <v>2357</v>
      </c>
      <c r="D398" s="3" t="s">
        <v>2358</v>
      </c>
      <c r="E398" s="3" t="s">
        <v>2359</v>
      </c>
      <c r="F398" s="3" t="s">
        <v>2360</v>
      </c>
      <c r="G398" s="3" t="s">
        <v>38</v>
      </c>
      <c r="H398" s="4" t="str">
        <f>HYPERLINK("https://ves.ac.in/vehs/", "https://ves.ac.in/vehs/")</f>
        <v>https://ves.ac.in/vehs/</v>
      </c>
      <c r="J398" s="3" t="str">
        <f>HYPERLINK("tel:+918591983696", "+918591983696")</f>
        <v>+918591983696</v>
      </c>
      <c r="K398" s="5" t="str">
        <f>HYPERLINK("mailto:veshsk.jsm@ves.ac.in", "veshsk.jsm@ves.ac.in")</f>
        <v>veshsk.jsm@ves.ac.in</v>
      </c>
      <c r="L398" s="6" t="s">
        <v>2361</v>
      </c>
    </row>
    <row r="399" ht="15.75" customHeight="1">
      <c r="A399" s="3">
        <v>401.0</v>
      </c>
      <c r="B399" s="3" t="s">
        <v>2362</v>
      </c>
      <c r="C399" s="3" t="s">
        <v>1054</v>
      </c>
      <c r="D399" s="3" t="s">
        <v>2363</v>
      </c>
      <c r="E399" s="3" t="s">
        <v>2364</v>
      </c>
      <c r="F399" s="3" t="s">
        <v>1057</v>
      </c>
      <c r="G399" s="3" t="s">
        <v>272</v>
      </c>
      <c r="H399" s="4" t="str">
        <f>HYPERLINK("https://schools.org.in/vizianagaram/28120207607/kgbv-g-l-puram.html", "https://schools.org.in/vizianagaram/28120207607/kgbv-g-l-puram.html")</f>
        <v>https://schools.org.in/vizianagaram/28120207607/kgbv-g-l-puram.html</v>
      </c>
      <c r="I399" s="3" t="s">
        <v>1058</v>
      </c>
      <c r="J399" s="3" t="str">
        <f>HYPERLINK("tel:+918332975572", "+918332975572")</f>
        <v>+918332975572</v>
      </c>
      <c r="K399" s="5" t="str">
        <f>HYPERLINK("mailto:S2954273@gmail.com", "S2954273@gmail.com")</f>
        <v>S2954273@gmail.com</v>
      </c>
      <c r="L399" s="6" t="s">
        <v>1059</v>
      </c>
    </row>
    <row r="400" ht="15.75" customHeight="1">
      <c r="A400" s="3">
        <v>402.0</v>
      </c>
      <c r="B400" s="3" t="s">
        <v>2365</v>
      </c>
      <c r="C400" s="3" t="s">
        <v>2366</v>
      </c>
      <c r="D400" s="3" t="s">
        <v>2367</v>
      </c>
      <c r="E400" s="3" t="s">
        <v>2368</v>
      </c>
      <c r="F400" s="3" t="s">
        <v>2369</v>
      </c>
      <c r="G400" s="3" t="s">
        <v>100</v>
      </c>
      <c r="H400" s="4" t="str">
        <f>HYPERLINK("https://basavainternational.school/", "https://basavainternational.school/")</f>
        <v>https://basavainternational.school/</v>
      </c>
      <c r="I400" s="3" t="s">
        <v>2370</v>
      </c>
      <c r="J400" s="3" t="str">
        <f>HYPERLINK("tel:+911129830141", "+911129830141")</f>
        <v>+911129830141</v>
      </c>
      <c r="K400" s="5" t="str">
        <f>HYPERLINK("mailto:dyanccnz@mcd.org.in", "dyanccnz@mcd.org.in")</f>
        <v>dyanccnz@mcd.org.in</v>
      </c>
      <c r="L400" s="6" t="s">
        <v>2371</v>
      </c>
    </row>
    <row r="401" ht="15.75" customHeight="1">
      <c r="A401" s="3">
        <v>403.0</v>
      </c>
      <c r="B401" s="3" t="s">
        <v>2372</v>
      </c>
      <c r="C401" s="3" t="s">
        <v>2373</v>
      </c>
      <c r="D401" s="3" t="s">
        <v>2374</v>
      </c>
      <c r="E401" s="3" t="s">
        <v>2375</v>
      </c>
      <c r="F401" s="3" t="s">
        <v>2376</v>
      </c>
      <c r="G401" s="3" t="s">
        <v>175</v>
      </c>
      <c r="H401" s="4" t="str">
        <f>HYPERLINK("https://ongc.barodahighschool.com/", "https://ongc.barodahighschool.com/")</f>
        <v>https://ongc.barodahighschool.com/</v>
      </c>
      <c r="J401" s="3" t="str">
        <f>HYPERLINK("tel:+912652314742", "+912652314742")</f>
        <v>+912652314742</v>
      </c>
      <c r="K401" s="5" t="str">
        <f>HYPERLINK("mailto:bhsongcsec@gmail.com", "bhsongcsec@gmail.com")</f>
        <v>bhsongcsec@gmail.com</v>
      </c>
      <c r="L401" s="6" t="s">
        <v>2377</v>
      </c>
    </row>
    <row r="402" ht="15.75" customHeight="1">
      <c r="A402" s="3">
        <v>404.0</v>
      </c>
      <c r="B402" s="3" t="s">
        <v>2378</v>
      </c>
      <c r="C402" s="3" t="s">
        <v>2379</v>
      </c>
      <c r="D402" s="3" t="s">
        <v>2380</v>
      </c>
      <c r="E402" s="3" t="s">
        <v>2381</v>
      </c>
      <c r="F402" s="3" t="s">
        <v>2382</v>
      </c>
      <c r="G402" s="3" t="s">
        <v>175</v>
      </c>
      <c r="H402" s="4" t="str">
        <f>HYPERLINK("https://no1gandhinagar.kvs.ac.in/en/", "https://no1gandhinagar.kvs.ac.in/en/")</f>
        <v>https://no1gandhinagar.kvs.ac.in/en/</v>
      </c>
      <c r="I402" s="3" t="s">
        <v>93</v>
      </c>
      <c r="J402" s="3" t="str">
        <f>HYPERLINK("tel:+917923261211", "+917923261211")</f>
        <v>+917923261211</v>
      </c>
      <c r="K402" s="5" t="str">
        <f>HYPERLINK("mailto:nan", "nan")</f>
        <v>nan</v>
      </c>
      <c r="L402" s="6" t="s">
        <v>2383</v>
      </c>
    </row>
    <row r="403" ht="15.75" customHeight="1">
      <c r="A403" s="3">
        <v>405.0</v>
      </c>
      <c r="B403" s="3" t="s">
        <v>2384</v>
      </c>
      <c r="C403" s="3" t="s">
        <v>2385</v>
      </c>
      <c r="D403" s="3" t="s">
        <v>2386</v>
      </c>
      <c r="E403" s="3" t="s">
        <v>2387</v>
      </c>
      <c r="F403" s="3" t="s">
        <v>2388</v>
      </c>
      <c r="G403" s="3" t="s">
        <v>182</v>
      </c>
      <c r="H403" s="4" t="str">
        <f>HYPERLINK("https://pmshri.education.gov.in/", "https://pmshri.education.gov.in/")</f>
        <v>https://pmshri.education.gov.in/</v>
      </c>
      <c r="I403" s="3" t="s">
        <v>1483</v>
      </c>
      <c r="J403" s="3" t="str">
        <f>HYPERLINK("tel:+911912560225", "+911912560225")</f>
        <v>+911912560225</v>
      </c>
      <c r="K403" s="5" t="str">
        <f>HYPERLINK("mailto:rakeshrosha.nia@gov.in", "rakeshrosha.nia@gov.in")</f>
        <v>rakeshrosha.nia@gov.in</v>
      </c>
      <c r="L403" s="6" t="s">
        <v>2389</v>
      </c>
    </row>
    <row r="404" ht="15.75" customHeight="1">
      <c r="A404" s="3">
        <v>406.0</v>
      </c>
      <c r="B404" s="3" t="s">
        <v>2390</v>
      </c>
      <c r="C404" s="3" t="s">
        <v>2391</v>
      </c>
      <c r="D404" s="3" t="s">
        <v>2392</v>
      </c>
      <c r="E404" s="3" t="s">
        <v>2393</v>
      </c>
      <c r="F404" s="3" t="s">
        <v>2394</v>
      </c>
      <c r="G404" s="3" t="s">
        <v>58</v>
      </c>
      <c r="H404" s="4" t="str">
        <f>HYPERLINK("https://www.sahss.in/", "https://www.sahss.in/")</f>
        <v>https://www.sahss.in/</v>
      </c>
      <c r="I404" s="3" t="s">
        <v>2395</v>
      </c>
      <c r="J404" s="3" t="str">
        <f>HYPERLINK("tel:+914772210606", "+914772210606")</f>
        <v>+914772210606</v>
      </c>
      <c r="K404" s="5" t="str">
        <f>HYPERLINK("mailto:sahssedathua@gmail.com", "sahssedathua@gmail.com")</f>
        <v>sahssedathua@gmail.com</v>
      </c>
      <c r="L404" s="6" t="s">
        <v>2396</v>
      </c>
    </row>
    <row r="405" ht="15.75" customHeight="1">
      <c r="A405" s="3">
        <v>407.0</v>
      </c>
      <c r="B405" s="3" t="s">
        <v>2397</v>
      </c>
      <c r="C405" s="3" t="s">
        <v>1679</v>
      </c>
      <c r="D405" s="3" t="s">
        <v>2398</v>
      </c>
      <c r="E405" s="3" t="s">
        <v>2399</v>
      </c>
      <c r="F405" s="3" t="s">
        <v>1682</v>
      </c>
      <c r="G405" s="3" t="s">
        <v>58</v>
      </c>
      <c r="H405" s="4" t="str">
        <f>HYPERLINK("https://viswadeepthischool.com/", "https://viswadeepthischool.com/")</f>
        <v>https://viswadeepthischool.com/</v>
      </c>
      <c r="I405" s="3" t="s">
        <v>2400</v>
      </c>
      <c r="J405" s="3" t="str">
        <f>HYPERLINK("tel:+914712967905", "+914712967905")</f>
        <v>+914712967905</v>
      </c>
      <c r="K405" s="5" t="str">
        <f>HYPERLINK("mailto:viswadeepthiemschool@gmail.com", "viswadeepthiemschool@gmail.com")</f>
        <v>viswadeepthiemschool@gmail.com</v>
      </c>
      <c r="L405" s="6"/>
    </row>
    <row r="406" ht="15.75" customHeight="1">
      <c r="A406" s="3">
        <v>408.0</v>
      </c>
      <c r="B406" s="3" t="s">
        <v>2401</v>
      </c>
      <c r="C406" s="3" t="s">
        <v>2402</v>
      </c>
      <c r="D406" s="3" t="s">
        <v>2403</v>
      </c>
      <c r="E406" s="3" t="s">
        <v>2404</v>
      </c>
      <c r="F406" s="3" t="s">
        <v>2405</v>
      </c>
      <c r="G406" s="3" t="s">
        <v>265</v>
      </c>
      <c r="H406" s="4" t="str">
        <f>HYPERLINK("https://no1pathankot.kvs.ac.in/en/", "https://no1pathankot.kvs.ac.in/en/")</f>
        <v>https://no1pathankot.kvs.ac.in/en/</v>
      </c>
      <c r="I406" s="3" t="s">
        <v>2406</v>
      </c>
      <c r="J406" s="3" t="str">
        <f>HYPERLINK("tel:+911862240579", "+911862240579")</f>
        <v>+911862240579</v>
      </c>
      <c r="K406" s="5" t="str">
        <f>HYPERLINK("mailto:kvno2pathankot@gmail.com", "kvno2pathankot@gmail.com")</f>
        <v>kvno2pathankot@gmail.com</v>
      </c>
      <c r="L406" s="6" t="s">
        <v>2407</v>
      </c>
    </row>
    <row r="407" ht="15.75" customHeight="1">
      <c r="A407" s="3">
        <v>409.0</v>
      </c>
      <c r="B407" s="3" t="s">
        <v>2408</v>
      </c>
      <c r="C407" s="3" t="s">
        <v>2409</v>
      </c>
      <c r="D407" s="3" t="s">
        <v>2410</v>
      </c>
      <c r="E407" s="3" t="s">
        <v>2411</v>
      </c>
      <c r="F407" s="3" t="s">
        <v>2412</v>
      </c>
      <c r="G407" s="3" t="s">
        <v>1722</v>
      </c>
      <c r="H407" s="4" t="str">
        <f>HYPERLINK("https://gangtok.kvs.ac.in/en/", "https://gangtok.kvs.ac.in/en/")</f>
        <v>https://gangtok.kvs.ac.in/en/</v>
      </c>
      <c r="I407" s="3" t="s">
        <v>93</v>
      </c>
      <c r="J407" s="3" t="str">
        <f>HYPERLINK("tel:+918918791739", "+918918791739")</f>
        <v>+918918791739</v>
      </c>
      <c r="K407" s="5" t="str">
        <f>HYPERLINK("mailto:nan", "nan")</f>
        <v>nan</v>
      </c>
      <c r="L407" s="6" t="s">
        <v>2413</v>
      </c>
    </row>
    <row r="408" ht="15.75" customHeight="1">
      <c r="A408" s="3">
        <v>410.0</v>
      </c>
      <c r="B408" s="3" t="s">
        <v>2414</v>
      </c>
      <c r="C408" s="3" t="s">
        <v>2415</v>
      </c>
      <c r="D408" s="3" t="s">
        <v>2416</v>
      </c>
      <c r="E408" s="3" t="s">
        <v>2417</v>
      </c>
      <c r="F408" s="3" t="s">
        <v>2418</v>
      </c>
      <c r="G408" s="3" t="s">
        <v>138</v>
      </c>
      <c r="H408" s="4" t="str">
        <f>HYPERLINK("https://www.gaganpublicschool.com/", "https://www.gaganpublicschool.com/")</f>
        <v>https://www.gaganpublicschool.com/</v>
      </c>
      <c r="J408" s="3" t="str">
        <f>HYPERLINK("tel:+919643569000", "+919643569000")</f>
        <v>+919643569000</v>
      </c>
      <c r="K408" s="5" t="str">
        <f>HYPERLINK("mailto:gps.gn@gagan.ac.in", "gps.gn@gagan.ac.in")</f>
        <v>gps.gn@gagan.ac.in</v>
      </c>
      <c r="L408" s="6" t="s">
        <v>2419</v>
      </c>
    </row>
    <row r="409" ht="15.75" customHeight="1">
      <c r="A409" s="3">
        <v>411.0</v>
      </c>
      <c r="B409" s="3" t="s">
        <v>2420</v>
      </c>
      <c r="C409" s="3" t="s">
        <v>2421</v>
      </c>
      <c r="D409" s="3" t="s">
        <v>2422</v>
      </c>
      <c r="E409" s="3" t="s">
        <v>2423</v>
      </c>
      <c r="F409" s="3" t="s">
        <v>150</v>
      </c>
      <c r="G409" s="3" t="s">
        <v>138</v>
      </c>
      <c r="H409" s="4" t="str">
        <f>HYPERLINK("http://amityschools.in/", "http://amityschools.in/")</f>
        <v>http://amityschools.in/</v>
      </c>
      <c r="J409" s="3" t="str">
        <f>HYPERLINK("tel:+911140738400", "+911140738400")</f>
        <v>+911140738400</v>
      </c>
      <c r="K409" s="5" t="str">
        <f>HYPERLINK("mailto:principal@aiss.amity.edu", "principal@aiss.amity.edu")</f>
        <v>principal@aiss.amity.edu</v>
      </c>
      <c r="L409" s="6" t="s">
        <v>2424</v>
      </c>
    </row>
    <row r="410" ht="15.75" customHeight="1">
      <c r="A410" s="3">
        <v>412.0</v>
      </c>
      <c r="B410" s="3" t="s">
        <v>2425</v>
      </c>
      <c r="C410" s="3" t="s">
        <v>2426</v>
      </c>
      <c r="D410" s="3" t="s">
        <v>2427</v>
      </c>
      <c r="E410" s="3" t="s">
        <v>2428</v>
      </c>
      <c r="F410" s="3" t="s">
        <v>2429</v>
      </c>
      <c r="G410" s="3" t="s">
        <v>85</v>
      </c>
      <c r="H410" s="4" t="str">
        <f>HYPERLINK("https://no1gaya.kvs.ac.in/en/", "https://no1gaya.kvs.ac.in/en/")</f>
        <v>https://no1gaya.kvs.ac.in/en/</v>
      </c>
      <c r="I410" s="3" t="s">
        <v>625</v>
      </c>
      <c r="J410" s="3" t="str">
        <f>HYPERLINK("tel:+916312953447", "+916312953447")</f>
        <v>+916312953447</v>
      </c>
      <c r="K410" s="5" t="str">
        <f>HYPERLINK("mailto:nan", "nan")</f>
        <v>nan</v>
      </c>
      <c r="L410" s="6" t="s">
        <v>2430</v>
      </c>
    </row>
    <row r="411" ht="15.75" customHeight="1">
      <c r="A411" s="3">
        <v>413.0</v>
      </c>
      <c r="B411" s="3" t="s">
        <v>2431</v>
      </c>
      <c r="C411" s="3" t="s">
        <v>2432</v>
      </c>
      <c r="D411" s="3" t="s">
        <v>2433</v>
      </c>
      <c r="E411" s="3" t="s">
        <v>2434</v>
      </c>
      <c r="F411" s="3" t="s">
        <v>2435</v>
      </c>
      <c r="G411" s="3" t="s">
        <v>229</v>
      </c>
      <c r="H411" s="4" t="str">
        <f>HYPERLINK("https://schools.org.in/kawardha/22081204705/govt-higher-secondary-school-rakse.html", "https://schools.org.in/kawardha/22081204705/govt-higher-secondary-school-rakse.html")</f>
        <v>https://schools.org.in/kawardha/22081204705/govt-higher-secondary-school-rakse.html</v>
      </c>
      <c r="I411" s="3" t="s">
        <v>2436</v>
      </c>
      <c r="J411" s="3" t="str">
        <f>HYPERLINK("tel:+917714002694", "+917714002694")</f>
        <v>+917714002694</v>
      </c>
      <c r="K411" s="5" t="str">
        <f>HYPERLINK("mailto:eduportal.cg@nic.in", "eduportal.cg@nic.in")</f>
        <v>eduportal.cg@nic.in</v>
      </c>
      <c r="L411" s="6" t="s">
        <v>2437</v>
      </c>
    </row>
    <row r="412" ht="15.75" customHeight="1">
      <c r="A412" s="3">
        <v>414.0</v>
      </c>
      <c r="B412" s="3" t="s">
        <v>2438</v>
      </c>
      <c r="C412" s="3" t="s">
        <v>2439</v>
      </c>
      <c r="D412" s="3" t="s">
        <v>2440</v>
      </c>
      <c r="E412" s="3" t="s">
        <v>2441</v>
      </c>
      <c r="F412" s="3" t="s">
        <v>2442</v>
      </c>
      <c r="G412" s="3" t="s">
        <v>182</v>
      </c>
      <c r="H412" s="4" t="str">
        <f>HYPERLINK("https://schools.org.in/samba/01221800414/govt-hss-jakh.html", "https://schools.org.in/samba/01221800414/govt-hss-jakh.html")</f>
        <v>https://schools.org.in/samba/01221800414/govt-hss-jakh.html</v>
      </c>
      <c r="I412" s="3" t="s">
        <v>2443</v>
      </c>
      <c r="J412" s="3" t="str">
        <f>HYPERLINK("tel:nan", "nan")</f>
        <v>nan</v>
      </c>
      <c r="K412" s="5" t="str">
        <f t="shared" ref="K412:K413" si="32">HYPERLINK("mailto:nan", "nan")</f>
        <v>nan</v>
      </c>
      <c r="L412" s="6" t="s">
        <v>2444</v>
      </c>
    </row>
    <row r="413" ht="15.75" customHeight="1">
      <c r="A413" s="3">
        <v>415.0</v>
      </c>
      <c r="B413" s="3" t="s">
        <v>2445</v>
      </c>
      <c r="C413" s="3" t="s">
        <v>2446</v>
      </c>
      <c r="D413" s="3" t="s">
        <v>2447</v>
      </c>
      <c r="E413" s="3" t="s">
        <v>2448</v>
      </c>
      <c r="F413" s="3" t="s">
        <v>2449</v>
      </c>
      <c r="G413" s="3" t="s">
        <v>31</v>
      </c>
      <c r="H413" s="4" t="str">
        <f>HYPERLINK("https://schools.org.in/bengaluru-u-south/29200312168/ghs-jeevanabhimanagara.html", "https://schools.org.in/bengaluru-u-south/29200312168/ghs-jeevanabhimanagara.html")</f>
        <v>https://schools.org.in/bengaluru-u-south/29200312168/ghs-jeevanabhimanagara.html</v>
      </c>
      <c r="I413" s="3" t="s">
        <v>2450</v>
      </c>
      <c r="J413" s="3" t="str">
        <f>HYPERLINK("tel:+912025211610", "+912025211610")</f>
        <v>+912025211610</v>
      </c>
      <c r="K413" s="5" t="str">
        <f t="shared" si="32"/>
        <v>nan</v>
      </c>
      <c r="L413" s="6" t="s">
        <v>2451</v>
      </c>
    </row>
    <row r="414" ht="15.75" customHeight="1">
      <c r="A414" s="3">
        <v>416.0</v>
      </c>
      <c r="B414" s="3" t="s">
        <v>2452</v>
      </c>
      <c r="C414" s="3" t="s">
        <v>2453</v>
      </c>
      <c r="D414" s="3" t="s">
        <v>2454</v>
      </c>
      <c r="E414" s="3" t="s">
        <v>2455</v>
      </c>
      <c r="F414" s="3" t="s">
        <v>2456</v>
      </c>
      <c r="G414" s="3" t="s">
        <v>58</v>
      </c>
      <c r="H414" s="4" t="str">
        <f>HYPERLINK("https://schools.org.in/thrissur/32071000102/hs-chentrappinni.html", "https://schools.org.in/thrissur/32071000102/hs-chentrappinni.html")</f>
        <v>https://schools.org.in/thrissur/32071000102/hs-chentrappinni.html</v>
      </c>
      <c r="I414" s="3" t="s">
        <v>2457</v>
      </c>
      <c r="J414" s="3" t="str">
        <f>HYPERLINK("tel:+914712325106", "+914712325106")</f>
        <v>+914712325106</v>
      </c>
      <c r="K414" s="5" t="str">
        <f>HYPERLINK("mailto:dirdhse.dge@kerala.gov.in", "dirdhse.dge@kerala.gov.in")</f>
        <v>dirdhse.dge@kerala.gov.in</v>
      </c>
      <c r="L414" s="6" t="s">
        <v>2458</v>
      </c>
    </row>
    <row r="415" ht="15.75" customHeight="1">
      <c r="A415" s="3">
        <v>417.0</v>
      </c>
      <c r="B415" s="3" t="s">
        <v>2459</v>
      </c>
      <c r="C415" s="3" t="s">
        <v>2460</v>
      </c>
      <c r="D415" s="3" t="s">
        <v>2461</v>
      </c>
      <c r="E415" s="3" t="s">
        <v>2462</v>
      </c>
      <c r="F415" s="3" t="s">
        <v>2463</v>
      </c>
      <c r="G415" s="3" t="s">
        <v>58</v>
      </c>
      <c r="H415" s="4" t="str">
        <f>HYPERLINK("https://schools.org.in/kollam/32130200507/i-p-m-u-p-s-veykal.html", "https://schools.org.in/kollam/32130200507/i-p-m-u-p-s-veykal.html")</f>
        <v>https://schools.org.in/kollam/32130200507/i-p-m-u-p-s-veykal.html</v>
      </c>
      <c r="I415" s="3" t="s">
        <v>2464</v>
      </c>
      <c r="J415" s="3" t="str">
        <f>HYPERLINK("tel:+914994241888", "+914994241888")</f>
        <v>+914994241888</v>
      </c>
      <c r="K415" s="5" t="str">
        <f>HYPERLINK("mailto:mpis.principal@gmail.com", "mpis.principal@gmail.com")</f>
        <v>mpis.principal@gmail.com</v>
      </c>
      <c r="L415" s="6" t="s">
        <v>2465</v>
      </c>
    </row>
    <row r="416" ht="15.75" customHeight="1">
      <c r="A416" s="3">
        <v>418.0</v>
      </c>
      <c r="B416" s="3" t="s">
        <v>2466</v>
      </c>
      <c r="C416" s="3" t="s">
        <v>2467</v>
      </c>
      <c r="D416" s="3" t="s">
        <v>2468</v>
      </c>
      <c r="E416" s="3" t="s">
        <v>2469</v>
      </c>
      <c r="F416" s="3" t="s">
        <v>2470</v>
      </c>
      <c r="G416" s="3" t="s">
        <v>58</v>
      </c>
      <c r="H416" s="4" t="str">
        <f>HYPERLINK("https://schools.org.in/kollam/32130200103/g-u-p-s-velloopara.html", "https://schools.org.in/kollam/32130200103/g-u-p-s-velloopara.html")</f>
        <v>https://schools.org.in/kollam/32130200103/g-u-p-s-velloopara.html</v>
      </c>
      <c r="I416" s="3" t="s">
        <v>2471</v>
      </c>
      <c r="J416" s="3" t="str">
        <f>HYPERLINK("tel:+911204001002", "+911204001002")</f>
        <v>+911204001002</v>
      </c>
      <c r="K416" s="5" t="str">
        <f>HYPERLINK("mailto:nan", "nan")</f>
        <v>nan</v>
      </c>
      <c r="L416" s="6" t="s">
        <v>2472</v>
      </c>
    </row>
    <row r="417" ht="15.75" customHeight="1">
      <c r="A417" s="3">
        <v>419.0</v>
      </c>
      <c r="B417" s="3" t="s">
        <v>2473</v>
      </c>
      <c r="C417" s="3" t="s">
        <v>2474</v>
      </c>
      <c r="D417" s="3" t="s">
        <v>2475</v>
      </c>
      <c r="E417" s="3" t="s">
        <v>2476</v>
      </c>
      <c r="F417" s="3" t="s">
        <v>2477</v>
      </c>
      <c r="G417" s="3" t="s">
        <v>58</v>
      </c>
      <c r="H417" s="4" t="str">
        <f>HYPERLINK("https://kparamavarmapuram.kvs.ac.in/en/", "https://kparamavarmapuram.kvs.ac.in/en/")</f>
        <v>https://kparamavarmapuram.kvs.ac.in/en/</v>
      </c>
      <c r="I417" s="3" t="s">
        <v>93</v>
      </c>
      <c r="J417" s="3" t="str">
        <f>HYPERLINK("tel:+914872328032", "+914872328032")</f>
        <v>+914872328032</v>
      </c>
      <c r="K417" s="5" t="str">
        <f>HYPERLINK("mailto:kvramavarmapuram@yahoo.com", "kvramavarmapuram@yahoo.com")</f>
        <v>kvramavarmapuram@yahoo.com</v>
      </c>
      <c r="L417" s="6" t="s">
        <v>2478</v>
      </c>
    </row>
    <row r="418" ht="15.75" customHeight="1">
      <c r="A418" s="3">
        <v>420.0</v>
      </c>
      <c r="B418" s="3" t="s">
        <v>2479</v>
      </c>
      <c r="C418" s="3" t="s">
        <v>849</v>
      </c>
      <c r="D418" s="3" t="s">
        <v>2480</v>
      </c>
      <c r="E418" s="3" t="s">
        <v>2481</v>
      </c>
      <c r="F418" s="3" t="s">
        <v>852</v>
      </c>
      <c r="G418" s="3" t="s">
        <v>58</v>
      </c>
      <c r="H418" s="4" t="str">
        <f>HYPERLINK("https://www.bhavans.info/institutes/index.php?state=Kerala", "https://www.bhavans.info/institutes/index.php?state=Kerala")</f>
        <v>https://www.bhavans.info/institutes/index.php?state=Kerala</v>
      </c>
      <c r="I418" s="3" t="s">
        <v>853</v>
      </c>
      <c r="J418" s="3" t="str">
        <f>HYPERLINK("tel:+914842779764", "+914842779764")</f>
        <v>+914842779764</v>
      </c>
      <c r="K418" s="5" t="str">
        <f>HYPERLINK("mailto:bhavansbalmandireroor@gmail.com", "bhavansbalmandireroor@gmail.com")</f>
        <v>bhavansbalmandireroor@gmail.com</v>
      </c>
      <c r="L418" s="6" t="s">
        <v>854</v>
      </c>
    </row>
    <row r="419" ht="15.75" customHeight="1">
      <c r="A419" s="3">
        <v>421.0</v>
      </c>
      <c r="B419" s="3" t="s">
        <v>2482</v>
      </c>
      <c r="C419" s="3" t="s">
        <v>2483</v>
      </c>
      <c r="D419" s="3" t="s">
        <v>2484</v>
      </c>
      <c r="E419" s="3" t="s">
        <v>2485</v>
      </c>
      <c r="F419" s="3" t="s">
        <v>2486</v>
      </c>
      <c r="G419" s="3" t="s">
        <v>356</v>
      </c>
      <c r="H419" s="4" t="str">
        <f>HYPERLINK("https://schools.org.in/dhenkanal/21140218101/udayanath-govt-ughs.html", "https://schools.org.in/dhenkanal/21140218101/udayanath-govt-ughs.html")</f>
        <v>https://schools.org.in/dhenkanal/21140218101/udayanath-govt-ughs.html</v>
      </c>
      <c r="I419" s="3" t="s">
        <v>2487</v>
      </c>
      <c r="J419" s="3" t="str">
        <f>HYPERLINK("tel:+916120084300", "+916120084300")</f>
        <v>+916120084300</v>
      </c>
      <c r="K419" s="5" t="str">
        <f>HYPERLINK("mailto:adaspurcollege@gmail.com", "adaspurcollege@gmail.com")</f>
        <v>adaspurcollege@gmail.com</v>
      </c>
      <c r="L419" s="6"/>
    </row>
    <row r="420" ht="15.75" customHeight="1">
      <c r="A420" s="3">
        <v>422.0</v>
      </c>
      <c r="B420" s="3" t="s">
        <v>2488</v>
      </c>
      <c r="C420" s="3" t="s">
        <v>2489</v>
      </c>
      <c r="D420" s="3" t="s">
        <v>2490</v>
      </c>
      <c r="E420" s="3" t="s">
        <v>2491</v>
      </c>
      <c r="F420" s="3" t="s">
        <v>2492</v>
      </c>
      <c r="G420" s="3" t="s">
        <v>958</v>
      </c>
      <c r="H420" s="4" t="str">
        <f>HYPERLINK("https://stxaviersbankura.com/", "https://stxaviersbankura.com/")</f>
        <v>https://stxaviersbankura.com/</v>
      </c>
      <c r="I420" s="3" t="s">
        <v>2493</v>
      </c>
      <c r="J420" s="3" t="str">
        <f>HYPERLINK("tel:+919476169618", "+919476169618")</f>
        <v>+919476169618</v>
      </c>
      <c r="K420" s="5" t="str">
        <f>HYPERLINK("mailto:st.xaviersbankura@gmail.com", "st.xaviersbankura@gmail.com")</f>
        <v>st.xaviersbankura@gmail.com</v>
      </c>
      <c r="L420" s="6" t="s">
        <v>2494</v>
      </c>
    </row>
    <row r="421" ht="15.75" customHeight="1">
      <c r="A421" s="3">
        <v>423.0</v>
      </c>
      <c r="B421" s="3" t="s">
        <v>2495</v>
      </c>
      <c r="C421" s="3" t="s">
        <v>2496</v>
      </c>
      <c r="D421" s="3" t="s">
        <v>2497</v>
      </c>
      <c r="E421" s="3" t="s">
        <v>2498</v>
      </c>
      <c r="F421" s="3" t="s">
        <v>2499</v>
      </c>
      <c r="G421" s="3" t="s">
        <v>209</v>
      </c>
      <c r="H421" s="4" t="str">
        <f>HYPERLINK("https://www.pragjyotika.com/", "https://www.pragjyotika.com/")</f>
        <v>https://www.pragjyotika.com/</v>
      </c>
      <c r="J421" s="3" t="str">
        <f>HYPERLINK("tel:+917575984447", "+917575984447")</f>
        <v>+917575984447</v>
      </c>
      <c r="K421" s="5" t="str">
        <f>HYPERLINK("mailto:office@pragjyotishschool.in", "office@pragjyotishschool.in")</f>
        <v>office@pragjyotishschool.in</v>
      </c>
      <c r="L421" s="6" t="s">
        <v>2500</v>
      </c>
    </row>
    <row r="422" ht="15.75" customHeight="1">
      <c r="A422" s="3">
        <v>424.0</v>
      </c>
      <c r="B422" s="3" t="s">
        <v>2501</v>
      </c>
      <c r="C422" s="3" t="s">
        <v>2502</v>
      </c>
      <c r="D422" s="3" t="s">
        <v>2503</v>
      </c>
      <c r="E422" s="3" t="s">
        <v>2504</v>
      </c>
      <c r="F422" s="3" t="s">
        <v>2505</v>
      </c>
      <c r="G422" s="3" t="s">
        <v>2506</v>
      </c>
      <c r="H422" s="4" t="str">
        <f>HYPERLINK("https://diu.gov.in/public-utility-category/schools/", "https://diu.gov.in/public-utility-category/schools/")</f>
        <v>https://diu.gov.in/public-utility-category/schools/</v>
      </c>
      <c r="I422" s="3" t="s">
        <v>2507</v>
      </c>
      <c r="J422" s="3" t="str">
        <f>HYPERLINK("tel:+919072570007", "+919072570007")</f>
        <v>+919072570007</v>
      </c>
      <c r="K422" s="5" t="str">
        <f>HYPERLINK("mailto:support-ddd@ddd.gov.in", "support-ddd@ddd.gov.in")</f>
        <v>support-ddd@ddd.gov.in</v>
      </c>
      <c r="L422" s="6" t="s">
        <v>2508</v>
      </c>
    </row>
    <row r="423" ht="15.75" customHeight="1">
      <c r="A423" s="3">
        <v>425.0</v>
      </c>
      <c r="B423" s="3" t="s">
        <v>2509</v>
      </c>
      <c r="C423" s="3" t="s">
        <v>2510</v>
      </c>
      <c r="D423" s="3" t="s">
        <v>2511</v>
      </c>
      <c r="E423" s="3" t="s">
        <v>2512</v>
      </c>
      <c r="F423" s="3" t="s">
        <v>2513</v>
      </c>
      <c r="G423" s="3" t="s">
        <v>2514</v>
      </c>
      <c r="H423" s="4" t="str">
        <f>HYPERLINK("https://navodaya.gov.in/nvs/nvs-school/Ladakh/en/home/", "https://navodaya.gov.in/nvs/nvs-school/Ladakh/en/home/")</f>
        <v>https://navodaya.gov.in/nvs/nvs-school/Ladakh/en/home/</v>
      </c>
      <c r="I423" s="3" t="s">
        <v>2515</v>
      </c>
      <c r="J423" s="3" t="str">
        <f>HYPERLINK("tel:+911202975754", "+911202975754")</f>
        <v>+911202975754</v>
      </c>
      <c r="K423" s="5" t="str">
        <f>HYPERLINK("mailto:ithelpdesk.nvs@gmail.com", "ithelpdesk.nvs@gmail.com")</f>
        <v>ithelpdesk.nvs@gmail.com</v>
      </c>
      <c r="L423" s="6" t="s">
        <v>2516</v>
      </c>
    </row>
    <row r="424" ht="15.75" customHeight="1">
      <c r="A424" s="3">
        <v>426.0</v>
      </c>
      <c r="B424" s="3" t="s">
        <v>2517</v>
      </c>
      <c r="C424" s="3" t="s">
        <v>2518</v>
      </c>
      <c r="D424" s="3" t="s">
        <v>2519</v>
      </c>
      <c r="E424" s="3" t="s">
        <v>2520</v>
      </c>
      <c r="F424" s="3" t="s">
        <v>2521</v>
      </c>
      <c r="G424" s="3" t="s">
        <v>272</v>
      </c>
      <c r="H424" s="4" t="str">
        <f>HYPERLINK("https://apms.apcfss.in/", "https://apms.apcfss.in/")</f>
        <v>https://apms.apcfss.in/</v>
      </c>
      <c r="I424" s="3" t="s">
        <v>2522</v>
      </c>
      <c r="J424" s="3" t="str">
        <f>HYPERLINK("tel:+919894997818", "+919894997818")</f>
        <v>+919894997818</v>
      </c>
      <c r="K424" s="5" t="str">
        <f>HYPERLINK("mailto:info@careers360.com", "info@careers360.com")</f>
        <v>info@careers360.com</v>
      </c>
      <c r="L424" s="6" t="s">
        <v>2523</v>
      </c>
    </row>
    <row r="425" ht="15.75" customHeight="1">
      <c r="A425" s="3">
        <v>427.0</v>
      </c>
      <c r="B425" s="3" t="s">
        <v>2524</v>
      </c>
      <c r="C425" s="3" t="s">
        <v>2525</v>
      </c>
      <c r="D425" s="3" t="s">
        <v>2526</v>
      </c>
      <c r="E425" s="3" t="s">
        <v>2527</v>
      </c>
      <c r="F425" s="3" t="s">
        <v>2528</v>
      </c>
      <c r="G425" s="3" t="s">
        <v>229</v>
      </c>
      <c r="H425" s="4" t="str">
        <f>HYPERLINK("https://www.yugantarschool.com/", "https://www.yugantarschool.com/")</f>
        <v>https://www.yugantarschool.com/</v>
      </c>
      <c r="J425" s="3" t="str">
        <f>HYPERLINK("tel:+919302763200", "+919302763200")</f>
        <v>+919302763200</v>
      </c>
      <c r="K425" s="5" t="str">
        <f>HYPERLINK("mailto:yugantar.school@gmail.com", "yugantar.school@gmail.com")</f>
        <v>yugantar.school@gmail.com</v>
      </c>
      <c r="L425" s="6" t="s">
        <v>2529</v>
      </c>
    </row>
    <row r="426" ht="15.75" customHeight="1">
      <c r="A426" s="3">
        <v>428.0</v>
      </c>
      <c r="B426" s="3" t="s">
        <v>2530</v>
      </c>
      <c r="C426" s="3" t="s">
        <v>1403</v>
      </c>
      <c r="D426" s="3" t="s">
        <v>2531</v>
      </c>
      <c r="E426" s="3" t="s">
        <v>2531</v>
      </c>
      <c r="F426" s="3" t="s">
        <v>1405</v>
      </c>
      <c r="G426" s="3" t="s">
        <v>100</v>
      </c>
      <c r="H426" s="4" t="str">
        <f>HYPERLINK("https://davschoolpemn.org/", "https://davschoolpemn.org/")</f>
        <v>https://davschoolpemn.org/</v>
      </c>
      <c r="I426" s="3" t="s">
        <v>1406</v>
      </c>
      <c r="J426" s="3" t="str">
        <f>HYPERLINK("tel:+911145679793", "+911145679793")</f>
        <v>+911145679793</v>
      </c>
      <c r="K426" s="5" t="str">
        <f>HYPERLINK("mailto:principal@agdav.edu.in", "principal@agdav.edu.in")</f>
        <v>principal@agdav.edu.in</v>
      </c>
      <c r="L426" s="6" t="s">
        <v>1407</v>
      </c>
    </row>
    <row r="427" ht="15.75" customHeight="1">
      <c r="A427" s="3">
        <v>429.0</v>
      </c>
      <c r="B427" s="3" t="s">
        <v>2532</v>
      </c>
      <c r="C427" s="3" t="s">
        <v>2533</v>
      </c>
      <c r="D427" s="3" t="s">
        <v>2534</v>
      </c>
      <c r="E427" s="3" t="s">
        <v>2535</v>
      </c>
      <c r="F427" s="3" t="s">
        <v>2536</v>
      </c>
      <c r="G427" s="3" t="s">
        <v>175</v>
      </c>
      <c r="H427" s="4" t="str">
        <f>HYPERLINK("https://www.justdial.com/Ahmedabad/Dr-C-G-Higher-Secondary-School-Sindhi-Colony-Sardar-Nagar/079PXX79-XX79-100303180106-M8Q4_BZDET", "https://www.justdial.com/Ahmedabad/Dr-C-G-Higher-Secondary-School-Sindhi-Colony-Sardar-Nagar/079PXX79-XX79-100303180106-M8Q4_BZDET")</f>
        <v>https://www.justdial.com/Ahmedabad/Dr-C-G-Higher-Secondary-School-Sindhi-Colony-Sardar-Nagar/079PXX79-XX79-100303180106-M8Q4_BZDET</v>
      </c>
      <c r="I427" s="3" t="s">
        <v>2537</v>
      </c>
      <c r="J427" s="3" t="str">
        <f>HYPERLINK("tel:nan", "nan")</f>
        <v>nan</v>
      </c>
      <c r="K427" s="5" t="str">
        <f>HYPERLINK("mailto:nan", "nan")</f>
        <v>nan</v>
      </c>
      <c r="L427" s="6"/>
    </row>
    <row r="428" ht="15.75" customHeight="1">
      <c r="A428" s="3">
        <v>430.0</v>
      </c>
      <c r="B428" s="3" t="s">
        <v>2538</v>
      </c>
      <c r="C428" s="3" t="s">
        <v>2539</v>
      </c>
      <c r="D428" s="3" t="s">
        <v>2540</v>
      </c>
      <c r="E428" s="3" t="s">
        <v>819</v>
      </c>
      <c r="F428" s="3" t="s">
        <v>2541</v>
      </c>
      <c r="G428" s="3" t="s">
        <v>24</v>
      </c>
      <c r="H428" s="4" t="str">
        <f>HYPERLINK("https://www.hallmarkpublicschool.com/", "https://www.hallmarkpublicschool.com/")</f>
        <v>https://www.hallmarkpublicschool.com/</v>
      </c>
      <c r="J428" s="3" t="str">
        <f>HYPERLINK("tel:+919888815111", "+919888815111")</f>
        <v>+919888815111</v>
      </c>
      <c r="K428" s="5" t="str">
        <f>HYPERLINK("mailto:reachme@hallmarkpublicschool.com", "reachme@hallmarkpublicschool.com")</f>
        <v>reachme@hallmarkpublicschool.com</v>
      </c>
      <c r="L428" s="6" t="s">
        <v>2542</v>
      </c>
    </row>
    <row r="429" ht="15.75" customHeight="1">
      <c r="A429" s="3">
        <v>431.0</v>
      </c>
      <c r="B429" s="3" t="s">
        <v>2543</v>
      </c>
      <c r="C429" s="3" t="s">
        <v>104</v>
      </c>
      <c r="D429" s="3" t="s">
        <v>2544</v>
      </c>
      <c r="E429" s="3" t="s">
        <v>2545</v>
      </c>
      <c r="F429" s="3" t="s">
        <v>107</v>
      </c>
      <c r="G429" s="3" t="s">
        <v>24</v>
      </c>
      <c r="H429" s="4" t="str">
        <f>HYPERLINK("https://www.scottishigh.com/", "https://www.scottishigh.com/")</f>
        <v>https://www.scottishigh.com/</v>
      </c>
      <c r="I429" s="3" t="s">
        <v>108</v>
      </c>
      <c r="J429" s="3" t="str">
        <f>HYPERLINK("tel:+919953849226", "+919953849226")</f>
        <v>+919953849226</v>
      </c>
      <c r="K429" s="5" t="str">
        <f>HYPERLINK("mailto:info@scottishigh.com", "info@scottishigh.com")</f>
        <v>info@scottishigh.com</v>
      </c>
      <c r="L429" s="6" t="s">
        <v>741</v>
      </c>
    </row>
    <row r="430" ht="15.75" customHeight="1">
      <c r="A430" s="3">
        <v>432.0</v>
      </c>
      <c r="B430" s="3" t="s">
        <v>2546</v>
      </c>
      <c r="C430" s="3" t="s">
        <v>2547</v>
      </c>
      <c r="D430" s="3" t="s">
        <v>2548</v>
      </c>
      <c r="E430" s="3" t="s">
        <v>2549</v>
      </c>
      <c r="F430" s="3" t="s">
        <v>2550</v>
      </c>
      <c r="G430" s="3" t="s">
        <v>51</v>
      </c>
      <c r="H430" s="4" t="str">
        <f>HYPERLINK("https://vipschool.in/", "https://vipschool.in/")</f>
        <v>https://vipschool.in/</v>
      </c>
      <c r="I430" s="3" t="s">
        <v>2551</v>
      </c>
      <c r="J430" s="3" t="str">
        <f>HYPERLINK("tel:+911795247766", "+911795247766")</f>
        <v>+911795247766</v>
      </c>
      <c r="K430" s="5" t="str">
        <f>HYPERLINK("mailto:info@vipschool.in", "info@vipschool.in")</f>
        <v>info@vipschool.in</v>
      </c>
      <c r="L430" s="6" t="s">
        <v>2552</v>
      </c>
    </row>
    <row r="431" ht="15.75" customHeight="1">
      <c r="A431" s="3">
        <v>433.0</v>
      </c>
      <c r="B431" s="3" t="s">
        <v>2553</v>
      </c>
      <c r="C431" s="3" t="s">
        <v>1584</v>
      </c>
      <c r="D431" s="3" t="s">
        <v>2554</v>
      </c>
      <c r="E431" s="3" t="s">
        <v>2555</v>
      </c>
      <c r="F431" s="3" t="s">
        <v>1587</v>
      </c>
      <c r="G431" s="3" t="s">
        <v>182</v>
      </c>
      <c r="H431" s="4" t="str">
        <f>HYPERLINK("https://kathua.kvs.ac.in/en/", "https://kathua.kvs.ac.in/en/")</f>
        <v>https://kathua.kvs.ac.in/en/</v>
      </c>
      <c r="I431" s="3" t="s">
        <v>86</v>
      </c>
      <c r="J431" s="3" t="str">
        <f>HYPERLINK("tel:+911922291301", "+911922291301")</f>
        <v>+911922291301</v>
      </c>
      <c r="K431" s="5" t="str">
        <f>HYPERLINK("mailto:nan", "nan")</f>
        <v>nan</v>
      </c>
      <c r="L431" s="6" t="s">
        <v>711</v>
      </c>
    </row>
    <row r="432" ht="15.75" customHeight="1">
      <c r="A432" s="3">
        <v>434.0</v>
      </c>
      <c r="B432" s="3" t="s">
        <v>2556</v>
      </c>
      <c r="C432" s="3" t="s">
        <v>402</v>
      </c>
      <c r="D432" s="3" t="s">
        <v>2557</v>
      </c>
      <c r="E432" s="3" t="s">
        <v>2558</v>
      </c>
      <c r="F432" s="3" t="s">
        <v>405</v>
      </c>
      <c r="G432" s="3" t="s">
        <v>31</v>
      </c>
      <c r="H432" s="4" t="str">
        <f>HYPERLINK("https://rvkcbse.in/", "https://rvkcbse.in/")</f>
        <v>https://rvkcbse.in/</v>
      </c>
      <c r="J432" s="3" t="str">
        <f>HYPERLINK("tel:+916364460807", "+916364460807")</f>
        <v>+916364460807</v>
      </c>
      <c r="K432" s="5" t="str">
        <f>HYPERLINK("mailto:info@rvkcbse.in", "info@rvkcbse.in")</f>
        <v>info@rvkcbse.in</v>
      </c>
      <c r="L432" s="6" t="s">
        <v>406</v>
      </c>
    </row>
    <row r="433" ht="15.75" customHeight="1">
      <c r="A433" s="3">
        <v>435.0</v>
      </c>
      <c r="B433" s="3" t="s">
        <v>2559</v>
      </c>
      <c r="C433" s="3" t="s">
        <v>2560</v>
      </c>
      <c r="D433" s="3" t="s">
        <v>2561</v>
      </c>
      <c r="E433" s="3" t="s">
        <v>2562</v>
      </c>
      <c r="F433" s="3" t="s">
        <v>2563</v>
      </c>
      <c r="G433" s="3" t="s">
        <v>58</v>
      </c>
      <c r="H433" s="4" t="str">
        <f>HYPERLINK("https://m.facebook.com/100064007862062/about/", "https://m.facebook.com/100064007862062/about/")</f>
        <v>https://m.facebook.com/100064007862062/about/</v>
      </c>
      <c r="I433" s="3" t="s">
        <v>500</v>
      </c>
      <c r="J433" s="3" t="str">
        <f>HYPERLINK("tel:nan", "nan")</f>
        <v>nan</v>
      </c>
      <c r="K433" s="5" t="str">
        <f>HYPERLINK("mailto:nan", "nan")</f>
        <v>nan</v>
      </c>
      <c r="L433" s="6"/>
    </row>
    <row r="434" ht="15.75" customHeight="1">
      <c r="A434" s="3">
        <v>436.0</v>
      </c>
      <c r="B434" s="3" t="s">
        <v>2564</v>
      </c>
      <c r="C434" s="3" t="s">
        <v>565</v>
      </c>
      <c r="D434" s="3" t="s">
        <v>2565</v>
      </c>
      <c r="E434" s="3" t="s">
        <v>2566</v>
      </c>
      <c r="F434" s="3" t="s">
        <v>568</v>
      </c>
      <c r="G434" s="3" t="s">
        <v>70</v>
      </c>
      <c r="H434" s="4" t="str">
        <f>HYPERLINK("https://schools.org.in/barmer/08170304505/bhartiy-adarsh-vidhya-mandir.html", "https://schools.org.in/barmer/08170304505/bhartiy-adarsh-vidhya-mandir.html")</f>
        <v>https://schools.org.in/barmer/08170304505/bhartiy-adarsh-vidhya-mandir.html</v>
      </c>
      <c r="I434" s="3" t="s">
        <v>569</v>
      </c>
      <c r="J434" s="3" t="str">
        <f>HYPERLINK("tel:+918170304505", "+918170304505")</f>
        <v>+918170304505</v>
      </c>
      <c r="K434" s="5" t="str">
        <f>HYPERLINK("mailto:avmmajiwala@gmail.com", "avmmajiwala@gmail.com")</f>
        <v>avmmajiwala@gmail.com</v>
      </c>
      <c r="L434" s="6" t="s">
        <v>570</v>
      </c>
    </row>
    <row r="435" ht="15.75" customHeight="1">
      <c r="A435" s="3">
        <v>437.0</v>
      </c>
      <c r="B435" s="3" t="s">
        <v>2567</v>
      </c>
      <c r="C435" s="3" t="s">
        <v>2568</v>
      </c>
      <c r="D435" s="3" t="s">
        <v>2569</v>
      </c>
      <c r="E435" s="3" t="s">
        <v>2570</v>
      </c>
      <c r="F435" s="3" t="s">
        <v>2571</v>
      </c>
      <c r="G435" s="3" t="s">
        <v>17</v>
      </c>
      <c r="H435" s="4" t="str">
        <f>HYPERLINK("https://schools.org.in/thanjavur/33211204722/st-isabel-s-girls-higher-secondary-school-pattukkottai.html", "https://schools.org.in/thanjavur/33211204722/st-isabel-s-girls-higher-secondary-school-pattukkottai.html")</f>
        <v>https://schools.org.in/thanjavur/33211204722/st-isabel-s-girls-higher-secondary-school-pattukkottai.html</v>
      </c>
      <c r="I435" s="3" t="s">
        <v>286</v>
      </c>
      <c r="J435" s="3" t="str">
        <f>HYPERLINK("tel:+919943823328", "+919943823328")</f>
        <v>+919943823328</v>
      </c>
      <c r="K435" s="5" t="str">
        <f>HYPERLINK("mailto:admissions@laurelhss.com", "admissions@laurelhss.com")</f>
        <v>admissions@laurelhss.com</v>
      </c>
      <c r="L435" s="6" t="s">
        <v>2572</v>
      </c>
    </row>
    <row r="436" ht="15.75" customHeight="1">
      <c r="A436" s="3">
        <v>438.0</v>
      </c>
      <c r="B436" s="3" t="s">
        <v>2573</v>
      </c>
      <c r="C436" s="3" t="s">
        <v>2574</v>
      </c>
      <c r="D436" s="3" t="s">
        <v>2575</v>
      </c>
      <c r="E436" s="3" t="s">
        <v>2576</v>
      </c>
      <c r="F436" s="3" t="s">
        <v>2577</v>
      </c>
      <c r="G436" s="3" t="s">
        <v>17</v>
      </c>
      <c r="H436" s="4" t="str">
        <f>HYPERLINK("https://virudunagar.kvs.ac.in/", "https://virudunagar.kvs.ac.in/")</f>
        <v>https://virudunagar.kvs.ac.in/</v>
      </c>
      <c r="I436" s="3" t="s">
        <v>2578</v>
      </c>
      <c r="J436" s="3" t="str">
        <f>HYPERLINK("tel:+914522531361", "+914522531361")</f>
        <v>+914522531361</v>
      </c>
      <c r="K436" s="5" t="str">
        <f>HYPERLINK("mailto:info@careers360.com", "info@careers360.com")</f>
        <v>info@careers360.com</v>
      </c>
      <c r="L436" s="6" t="s">
        <v>2579</v>
      </c>
    </row>
    <row r="437" ht="15.75" customHeight="1">
      <c r="A437" s="3">
        <v>439.0</v>
      </c>
      <c r="B437" s="3" t="s">
        <v>2580</v>
      </c>
      <c r="C437" s="3" t="s">
        <v>2581</v>
      </c>
      <c r="D437" s="3" t="s">
        <v>2582</v>
      </c>
      <c r="E437" s="3" t="s">
        <v>2583</v>
      </c>
      <c r="F437" s="3" t="s">
        <v>2584</v>
      </c>
      <c r="G437" s="3" t="s">
        <v>17</v>
      </c>
      <c r="H437" s="4" t="str">
        <f>HYPERLINK("https://www.nhsskovilpatti.com/", "https://www.nhsskovilpatti.com/")</f>
        <v>https://www.nhsskovilpatti.com/</v>
      </c>
      <c r="I437" s="3" t="s">
        <v>2585</v>
      </c>
      <c r="J437" s="3" t="str">
        <f>HYPERLINK("tel:+914632220766", "+914632220766")</f>
        <v>+914632220766</v>
      </c>
      <c r="K437" s="5" t="str">
        <f>HYPERLINK("mailto:nadarnhss@gmail.com", "nadarnhss@gmail.com")</f>
        <v>nadarnhss@gmail.com</v>
      </c>
      <c r="L437" s="6"/>
    </row>
    <row r="438" ht="15.75" customHeight="1">
      <c r="A438" s="3">
        <v>440.0</v>
      </c>
      <c r="B438" s="3" t="s">
        <v>2586</v>
      </c>
      <c r="C438" s="3" t="s">
        <v>2587</v>
      </c>
      <c r="D438" s="3" t="s">
        <v>2588</v>
      </c>
      <c r="E438" s="3" t="s">
        <v>2589</v>
      </c>
      <c r="F438" s="3" t="s">
        <v>2590</v>
      </c>
      <c r="G438" s="3" t="s">
        <v>130</v>
      </c>
      <c r="H438" s="4" t="str">
        <f>HYPERLINK("http://www.stmarysvidyaniketan.com/", "http://www.stmarysvidyaniketan.com/")</f>
        <v>http://www.stmarysvidyaniketan.com/</v>
      </c>
      <c r="I438" s="3" t="s">
        <v>2591</v>
      </c>
      <c r="J438" s="3" t="str">
        <f>HYPERLINK("tel:+916300149574", "+916300149574")</f>
        <v>+916300149574</v>
      </c>
      <c r="K438" s="5" t="str">
        <f>HYPERLINK("mailto:stmarysvncbse@gmail.com", "stmarysvncbse@gmail.com")</f>
        <v>stmarysvncbse@gmail.com</v>
      </c>
      <c r="L438" s="6" t="s">
        <v>2592</v>
      </c>
    </row>
    <row r="439" ht="15.75" customHeight="1">
      <c r="A439" s="3">
        <v>441.0</v>
      </c>
      <c r="B439" s="3" t="s">
        <v>2593</v>
      </c>
      <c r="C439" s="3" t="s">
        <v>2594</v>
      </c>
      <c r="D439" s="3" t="s">
        <v>2595</v>
      </c>
      <c r="E439" s="3" t="s">
        <v>2596</v>
      </c>
      <c r="F439" s="3" t="s">
        <v>2597</v>
      </c>
      <c r="G439" s="3" t="s">
        <v>597</v>
      </c>
      <c r="H439" s="4" t="str">
        <f>HYPERLINK("https://mussoorie.kvs.ac.in/", "https://mussoorie.kvs.ac.in/")</f>
        <v>https://mussoorie.kvs.ac.in/</v>
      </c>
      <c r="I439" s="3" t="s">
        <v>2598</v>
      </c>
      <c r="J439" s="3" t="str">
        <f>HYPERLINK("tel:+911352632704", "+911352632704")</f>
        <v>+911352632704</v>
      </c>
      <c r="K439" s="5" t="str">
        <f>HYPERLINK("mailto:kvmussoorie@gmail.com", "kvmussoorie@gmail.com")</f>
        <v>kvmussoorie@gmail.com</v>
      </c>
      <c r="L439" s="6" t="s">
        <v>2599</v>
      </c>
    </row>
    <row r="440" ht="15.75" customHeight="1">
      <c r="A440" s="3">
        <v>442.0</v>
      </c>
      <c r="B440" s="3" t="s">
        <v>2600</v>
      </c>
      <c r="C440" s="3" t="s">
        <v>2601</v>
      </c>
      <c r="D440" s="3" t="s">
        <v>2602</v>
      </c>
      <c r="E440" s="3" t="s">
        <v>2603</v>
      </c>
      <c r="F440" s="3" t="s">
        <v>2604</v>
      </c>
      <c r="G440" s="3" t="s">
        <v>958</v>
      </c>
      <c r="H440" s="4" t="str">
        <f>HYPERLINK("https://schools.org.in/purba-medinipur/19191011301/paranchak-siksha-niketan.html", "https://schools.org.in/purba-medinipur/19191011301/paranchak-siksha-niketan.html")</f>
        <v>https://schools.org.in/purba-medinipur/19191011301/paranchak-siksha-niketan.html</v>
      </c>
      <c r="I440" s="3" t="s">
        <v>2605</v>
      </c>
      <c r="J440" s="3" t="str">
        <f>HYPERLINK("tel:+917364961360", "+917364961360")</f>
        <v>+917364961360</v>
      </c>
      <c r="K440" s="5" t="str">
        <f>HYPERLINK("mailto:paranchaksikshaniketanhs@gmail.com", "paranchaksikshaniketanhs@gmail.com")</f>
        <v>paranchaksikshaniketanhs@gmail.com</v>
      </c>
      <c r="L440" s="6" t="s">
        <v>2606</v>
      </c>
    </row>
    <row r="441" ht="15.75" customHeight="1">
      <c r="A441" s="3">
        <v>443.0</v>
      </c>
      <c r="B441" s="3" t="s">
        <v>2607</v>
      </c>
      <c r="C441" s="3" t="s">
        <v>1785</v>
      </c>
      <c r="D441" s="3" t="s">
        <v>2608</v>
      </c>
      <c r="E441" s="3" t="s">
        <v>2609</v>
      </c>
      <c r="F441" s="3" t="s">
        <v>1788</v>
      </c>
      <c r="G441" s="3" t="s">
        <v>85</v>
      </c>
      <c r="H441" s="4" t="str">
        <f>HYPERLINK("https://rcabegusarai.in/", "https://rcabegusarai.in/")</f>
        <v>https://rcabegusarai.in/</v>
      </c>
      <c r="J441" s="3" t="str">
        <f>HYPERLINK("tel:+919334283090", "+919334283090")</f>
        <v>+919334283090</v>
      </c>
      <c r="K441" s="5" t="str">
        <f>HYPERLINK("mailto:mukeshkrrca@gmail.com", "mukeshkrrca@gmail.com")</f>
        <v>mukeshkrrca@gmail.com</v>
      </c>
      <c r="L441" s="6" t="s">
        <v>1789</v>
      </c>
    </row>
    <row r="442" ht="15.75" customHeight="1">
      <c r="A442" s="3">
        <v>444.0</v>
      </c>
      <c r="B442" s="3" t="s">
        <v>2610</v>
      </c>
      <c r="C442" s="3" t="s">
        <v>2611</v>
      </c>
      <c r="D442" s="3" t="s">
        <v>2612</v>
      </c>
      <c r="E442" s="3" t="s">
        <v>2613</v>
      </c>
      <c r="F442" s="3" t="s">
        <v>862</v>
      </c>
      <c r="G442" s="3" t="s">
        <v>100</v>
      </c>
      <c r="H442" s="4" t="str">
        <f>HYPERLINK("https://daveastofloniroad.org/", "https://daveastofloniroad.org/")</f>
        <v>https://daveastofloniroad.org/</v>
      </c>
      <c r="J442" s="3" t="str">
        <f>HYPERLINK("tel:+911140623117", "+911140623117")</f>
        <v>+911140623117</v>
      </c>
      <c r="K442" s="5" t="str">
        <f>HYPERLINK("mailto:davvasantkunj@gmail.com", "davvasantkunj@gmail.com")</f>
        <v>davvasantkunj@gmail.com</v>
      </c>
      <c r="L442" s="6" t="s">
        <v>2614</v>
      </c>
    </row>
    <row r="443" ht="15.75" customHeight="1">
      <c r="A443" s="3">
        <v>445.0</v>
      </c>
      <c r="B443" s="3" t="s">
        <v>2615</v>
      </c>
      <c r="C443" s="3" t="s">
        <v>1797</v>
      </c>
      <c r="D443" s="3" t="s">
        <v>2616</v>
      </c>
      <c r="E443" s="3" t="s">
        <v>2617</v>
      </c>
      <c r="F443" s="3" t="s">
        <v>1800</v>
      </c>
      <c r="G443" s="3" t="s">
        <v>24</v>
      </c>
      <c r="H443" s="4" t="str">
        <f>HYPERLINK("https://moderndis.org/", "https://moderndis.org/")</f>
        <v>https://moderndis.org/</v>
      </c>
      <c r="I443" s="3" t="s">
        <v>1474</v>
      </c>
      <c r="J443" s="3" t="str">
        <f>HYPERLINK("tel:+911294241500", "+911294241500")</f>
        <v>+911294241500</v>
      </c>
      <c r="K443" s="5" t="str">
        <f>HYPERLINK("mailto:info@dpsfsis.com", "info@dpsfsis.com")</f>
        <v>info@dpsfsis.com</v>
      </c>
      <c r="L443" s="6" t="s">
        <v>1801</v>
      </c>
    </row>
    <row r="444" ht="15.75" customHeight="1">
      <c r="A444" s="3">
        <v>446.0</v>
      </c>
      <c r="B444" s="3" t="s">
        <v>2618</v>
      </c>
      <c r="C444" s="3" t="s">
        <v>1803</v>
      </c>
      <c r="D444" s="3" t="s">
        <v>2619</v>
      </c>
      <c r="E444" s="3" t="s">
        <v>2620</v>
      </c>
      <c r="F444" s="3" t="s">
        <v>1806</v>
      </c>
      <c r="G444" s="3" t="s">
        <v>182</v>
      </c>
      <c r="H444" s="4" t="str">
        <f>HYPERLINK("https://www.facebook.com/p/Govt-Boys-Higher-Secondary-School-Wagoora-100066676537894/", "https://www.facebook.com/p/Govt-Boys-Higher-Secondary-School-Wagoora-100066676537894/")</f>
        <v>https://www.facebook.com/p/Govt-Boys-Higher-Secondary-School-Wagoora-100066676537894/</v>
      </c>
      <c r="I444" s="3" t="s">
        <v>1807</v>
      </c>
      <c r="J444" s="3" t="str">
        <f>HYPERLINK("tel:nan", "nan")</f>
        <v>nan</v>
      </c>
      <c r="K444" s="5" t="str">
        <f t="shared" ref="K444:K445" si="33">HYPERLINK("mailto:nan", "nan")</f>
        <v>nan</v>
      </c>
      <c r="L444" s="6" t="s">
        <v>1808</v>
      </c>
    </row>
    <row r="445" ht="15.75" customHeight="1">
      <c r="A445" s="3">
        <v>447.0</v>
      </c>
      <c r="B445" s="3" t="s">
        <v>2621</v>
      </c>
      <c r="C445" s="3" t="s">
        <v>2622</v>
      </c>
      <c r="D445" s="3" t="s">
        <v>2623</v>
      </c>
      <c r="E445" s="3" t="s">
        <v>2624</v>
      </c>
      <c r="F445" s="3" t="s">
        <v>2625</v>
      </c>
      <c r="G445" s="3" t="s">
        <v>554</v>
      </c>
      <c r="H445" s="4" t="str">
        <f>HYPERLINK("https://surda.kvs.ac.in/en/", "https://surda.kvs.ac.in/en/")</f>
        <v>https://surda.kvs.ac.in/en/</v>
      </c>
      <c r="I445" s="3" t="s">
        <v>625</v>
      </c>
      <c r="J445" s="3" t="str">
        <f>HYPERLINK("tel:+916585295511", "+916585295511")</f>
        <v>+916585295511</v>
      </c>
      <c r="K445" s="5" t="str">
        <f t="shared" si="33"/>
        <v>nan</v>
      </c>
      <c r="L445" s="6" t="s">
        <v>2626</v>
      </c>
    </row>
    <row r="446" ht="15.75" customHeight="1">
      <c r="A446" s="3">
        <v>448.0</v>
      </c>
      <c r="B446" s="3" t="s">
        <v>2627</v>
      </c>
      <c r="C446" s="3" t="s">
        <v>2628</v>
      </c>
      <c r="D446" s="3" t="s">
        <v>2629</v>
      </c>
      <c r="E446" s="3" t="s">
        <v>2630</v>
      </c>
      <c r="F446" s="3" t="s">
        <v>2631</v>
      </c>
      <c r="G446" s="3" t="s">
        <v>31</v>
      </c>
      <c r="H446" s="4" t="str">
        <f>HYPERLINK("https://bellary.kvs.ac.in/en/", "https://bellary.kvs.ac.in/en/")</f>
        <v>https://bellary.kvs.ac.in/en/</v>
      </c>
      <c r="I446" s="3" t="s">
        <v>625</v>
      </c>
      <c r="J446" s="3" t="str">
        <f>HYPERLINK("tel:+918392240837", "+918392240837")</f>
        <v>+918392240837</v>
      </c>
      <c r="K446" s="5" t="str">
        <f>HYPERLINK("mailto:jnvjajpurors@gmail.com", "jnvjajpurors@gmail.com")</f>
        <v>jnvjajpurors@gmail.com</v>
      </c>
      <c r="L446" s="6" t="s">
        <v>2632</v>
      </c>
    </row>
    <row r="447" ht="15.75" customHeight="1">
      <c r="A447" s="3">
        <v>449.0</v>
      </c>
      <c r="B447" s="3" t="s">
        <v>2633</v>
      </c>
      <c r="C447" s="3" t="s">
        <v>2634</v>
      </c>
      <c r="D447" s="3" t="s">
        <v>2635</v>
      </c>
      <c r="E447" s="3" t="s">
        <v>2636</v>
      </c>
      <c r="F447" s="3" t="s">
        <v>2637</v>
      </c>
      <c r="G447" s="3" t="s">
        <v>31</v>
      </c>
      <c r="H447" s="4" t="str">
        <f>HYPERLINK("https://alikeonline.org/", "https://alikeonline.org/")</f>
        <v>https://alikeonline.org/</v>
      </c>
      <c r="I447" s="3" t="s">
        <v>2638</v>
      </c>
      <c r="J447" s="3" t="str">
        <f>HYPERLINK("tel:+918255298236", "+918255298236")</f>
        <v>+918255298236</v>
      </c>
      <c r="K447" s="5" t="str">
        <f>HYPERLINK("mailto:aliketrust@gmail.com", "aliketrust@gmail.com")</f>
        <v>aliketrust@gmail.com</v>
      </c>
      <c r="L447" s="6" t="s">
        <v>2639</v>
      </c>
    </row>
    <row r="448" ht="15.75" customHeight="1">
      <c r="A448" s="3">
        <v>450.0</v>
      </c>
      <c r="B448" s="3" t="s">
        <v>2640</v>
      </c>
      <c r="C448" s="3" t="s">
        <v>27</v>
      </c>
      <c r="D448" s="3" t="s">
        <v>2641</v>
      </c>
      <c r="E448" s="3" t="s">
        <v>2642</v>
      </c>
      <c r="F448" s="3" t="s">
        <v>30</v>
      </c>
      <c r="G448" s="3" t="s">
        <v>31</v>
      </c>
      <c r="H448" s="4" t="str">
        <f>HYPERLINK("https://excelpublicschool.com/", "https://excelpublicschool.com/")</f>
        <v>https://excelpublicschool.com/</v>
      </c>
      <c r="J448" s="3" t="str">
        <f>HYPERLINK("tel:+918212971004", "+918212971004")</f>
        <v>+918212971004</v>
      </c>
      <c r="K448" s="5" t="str">
        <f>HYPERLINK("mailto:eps@excelpublicschool.com", "eps@excelpublicschool.com")</f>
        <v>eps@excelpublicschool.com</v>
      </c>
      <c r="L448" s="6" t="s">
        <v>32</v>
      </c>
    </row>
    <row r="449" ht="15.75" customHeight="1">
      <c r="A449" s="3">
        <v>451.0</v>
      </c>
      <c r="B449" s="3" t="s">
        <v>2643</v>
      </c>
      <c r="C449" s="3" t="s">
        <v>2644</v>
      </c>
      <c r="D449" s="3" t="s">
        <v>2645</v>
      </c>
      <c r="E449" s="3" t="s">
        <v>2646</v>
      </c>
      <c r="F449" s="3" t="s">
        <v>2647</v>
      </c>
      <c r="G449" s="3" t="s">
        <v>130</v>
      </c>
      <c r="H449" s="4" t="str">
        <f>HYPERLINK("https://ssvptelangana.in/", "https://ssvptelangana.in/")</f>
        <v>https://ssvptelangana.in/</v>
      </c>
      <c r="I449" s="3" t="s">
        <v>2648</v>
      </c>
      <c r="J449" s="3" t="str">
        <f>HYPERLINK("tel:+914023316084", "+914023316084")</f>
        <v>+914023316084</v>
      </c>
      <c r="K449" s="5" t="str">
        <f>HYPERLINK("mailto:sris.vp77@gmail.com", "sris.vp77@gmail.com")</f>
        <v>sris.vp77@gmail.com</v>
      </c>
      <c r="L449" s="6" t="s">
        <v>2649</v>
      </c>
    </row>
    <row r="450" ht="15.75" customHeight="1">
      <c r="A450" s="3">
        <v>452.0</v>
      </c>
      <c r="B450" s="3" t="s">
        <v>2650</v>
      </c>
      <c r="C450" s="3" t="s">
        <v>2421</v>
      </c>
      <c r="D450" s="3" t="s">
        <v>2651</v>
      </c>
      <c r="E450" s="3" t="s">
        <v>2652</v>
      </c>
      <c r="F450" s="3" t="s">
        <v>150</v>
      </c>
      <c r="G450" s="3" t="s">
        <v>138</v>
      </c>
      <c r="H450" s="4" t="str">
        <f>HYPERLINK("http://amityschools.in/", "http://amityschools.in/")</f>
        <v>http://amityschools.in/</v>
      </c>
      <c r="J450" s="3" t="str">
        <f>HYPERLINK("tel:+911140738400", "+911140738400")</f>
        <v>+911140738400</v>
      </c>
      <c r="K450" s="5" t="str">
        <f>HYPERLINK("mailto:principal@aiss.amity.edu", "principal@aiss.amity.edu")</f>
        <v>principal@aiss.amity.edu</v>
      </c>
      <c r="L450" s="6" t="s">
        <v>2424</v>
      </c>
    </row>
    <row r="451" ht="15.75" customHeight="1">
      <c r="A451" s="3">
        <v>453.0</v>
      </c>
      <c r="B451" s="3" t="s">
        <v>2653</v>
      </c>
      <c r="C451" s="3" t="s">
        <v>2654</v>
      </c>
      <c r="D451" s="3" t="s">
        <v>2655</v>
      </c>
      <c r="E451" s="3" t="s">
        <v>2656</v>
      </c>
      <c r="F451" s="3" t="s">
        <v>2657</v>
      </c>
      <c r="G451" s="3" t="s">
        <v>138</v>
      </c>
      <c r="H451" s="4" t="str">
        <f>HYPERLINK("https://dpsvndadri.in/", "https://dpsvndadri.in/")</f>
        <v>https://dpsvndadri.in/</v>
      </c>
      <c r="I451" s="3" t="s">
        <v>500</v>
      </c>
      <c r="J451" s="3" t="str">
        <f>HYPERLINK("tel:+911202671331", "+911202671331")</f>
        <v>+911202671331</v>
      </c>
      <c r="K451" s="5" t="str">
        <f>HYPERLINK("mailto:pdpsvn@gmail.com", "pdpsvn@gmail.com")</f>
        <v>pdpsvn@gmail.com</v>
      </c>
      <c r="L451" s="6"/>
    </row>
    <row r="452" ht="15.75" customHeight="1">
      <c r="A452" s="3">
        <v>454.0</v>
      </c>
      <c r="B452" s="3" t="s">
        <v>2658</v>
      </c>
      <c r="C452" s="3" t="s">
        <v>2659</v>
      </c>
      <c r="D452" s="3" t="s">
        <v>2660</v>
      </c>
      <c r="E452" s="3" t="s">
        <v>2661</v>
      </c>
      <c r="F452" s="3" t="s">
        <v>2662</v>
      </c>
      <c r="G452" s="3" t="s">
        <v>958</v>
      </c>
      <c r="H452" s="4" t="str">
        <f>HYPERLINK("https://apskolkata.co.in/", "https://apskolkata.co.in/")</f>
        <v>https://apskolkata.co.in/</v>
      </c>
      <c r="J452" s="3" t="str">
        <f>HYPERLINK("tel:+913324866629", "+913324866629")</f>
        <v>+913324866629</v>
      </c>
      <c r="K452" s="5" t="str">
        <f>HYPERLINK("mailto:apskolkata1@gmail.com", "apskolkata1@gmail.com")</f>
        <v>apskolkata1@gmail.com</v>
      </c>
      <c r="L452" s="6" t="s">
        <v>2663</v>
      </c>
    </row>
    <row r="453" ht="15.75" customHeight="1">
      <c r="A453" s="3">
        <v>456.0</v>
      </c>
      <c r="B453" s="3" t="s">
        <v>2664</v>
      </c>
      <c r="C453" s="3" t="s">
        <v>2084</v>
      </c>
      <c r="D453" s="3" t="s">
        <v>2665</v>
      </c>
      <c r="E453" s="3" t="s">
        <v>2666</v>
      </c>
      <c r="F453" s="3" t="s">
        <v>2087</v>
      </c>
      <c r="G453" s="3" t="s">
        <v>100</v>
      </c>
      <c r="H453" s="4" t="str">
        <f>HYPERLINK("https://arjangarhafs.kvs.ac.in/en/", "https://arjangarhafs.kvs.ac.in/en/")</f>
        <v>https://arjangarhafs.kvs.ac.in/en/</v>
      </c>
      <c r="I453" s="3" t="s">
        <v>2088</v>
      </c>
      <c r="J453" s="3" t="str">
        <f>HYPERLINK("tel:+911126503073", "+911126503073")</f>
        <v>+911126503073</v>
      </c>
      <c r="K453" s="5" t="str">
        <f>HYPERLINK("mailto:dc@kvsrodelhi.in", "dc@kvsrodelhi.in")</f>
        <v>dc@kvsrodelhi.in</v>
      </c>
      <c r="L453" s="6" t="s">
        <v>2089</v>
      </c>
    </row>
    <row r="454" ht="15.75" customHeight="1">
      <c r="A454" s="3">
        <v>457.0</v>
      </c>
      <c r="B454" s="3" t="s">
        <v>2667</v>
      </c>
      <c r="C454" s="3" t="s">
        <v>2373</v>
      </c>
      <c r="D454" s="3" t="s">
        <v>2668</v>
      </c>
      <c r="E454" s="3" t="s">
        <v>2669</v>
      </c>
      <c r="F454" s="3" t="s">
        <v>2376</v>
      </c>
      <c r="G454" s="3" t="s">
        <v>175</v>
      </c>
      <c r="H454" s="4" t="str">
        <f>HYPERLINK("https://ongc.barodahighschool.com/", "https://ongc.barodahighschool.com/")</f>
        <v>https://ongc.barodahighschool.com/</v>
      </c>
      <c r="J454" s="3" t="str">
        <f>HYPERLINK("tel:+912652314742", "+912652314742")</f>
        <v>+912652314742</v>
      </c>
      <c r="K454" s="5" t="str">
        <f>HYPERLINK("mailto:bhsongcsec@gmail.com", "bhsongcsec@gmail.com")</f>
        <v>bhsongcsec@gmail.com</v>
      </c>
      <c r="L454" s="6" t="s">
        <v>2377</v>
      </c>
    </row>
    <row r="455" ht="15.75" customHeight="1">
      <c r="A455" s="3">
        <v>458.0</v>
      </c>
      <c r="B455" s="3" t="s">
        <v>2670</v>
      </c>
      <c r="C455" s="3" t="s">
        <v>2671</v>
      </c>
      <c r="D455" s="3" t="s">
        <v>2672</v>
      </c>
      <c r="E455" s="3" t="s">
        <v>2673</v>
      </c>
      <c r="F455" s="3" t="s">
        <v>2674</v>
      </c>
      <c r="G455" s="3" t="s">
        <v>58</v>
      </c>
      <c r="H455" s="4" t="str">
        <f>HYPERLINK("https://rogationistacademy.in/", "https://rogationistacademy.in/")</f>
        <v>https://rogationistacademy.in/</v>
      </c>
      <c r="J455" s="3" t="str">
        <f>HYPERLINK("tel:+919207040938", "+919207040938")</f>
        <v>+919207040938</v>
      </c>
      <c r="K455" s="5" t="str">
        <f>HYPERLINK("mailto:rogacademyaluva@rcj.org", "rogacademyaluva@rcj.org")</f>
        <v>rogacademyaluva@rcj.org</v>
      </c>
      <c r="L455" s="6"/>
    </row>
    <row r="456" ht="15.75" customHeight="1">
      <c r="A456" s="3">
        <v>459.0</v>
      </c>
      <c r="B456" s="3" t="s">
        <v>2675</v>
      </c>
      <c r="C456" s="3" t="s">
        <v>2676</v>
      </c>
      <c r="D456" s="3" t="s">
        <v>2677</v>
      </c>
      <c r="E456" s="3" t="s">
        <v>2678</v>
      </c>
      <c r="F456" s="3" t="s">
        <v>2679</v>
      </c>
      <c r="G456" s="3" t="s">
        <v>356</v>
      </c>
      <c r="H456" s="4" t="str">
        <f>HYPERLINK("https://svsodisha.com/", "https://svsodisha.com/")</f>
        <v>https://svsodisha.com/</v>
      </c>
      <c r="J456" s="3" t="str">
        <f>HYPERLINK("tel:+917538997169", "+917538997169")</f>
        <v>+917538997169</v>
      </c>
      <c r="K456" s="5" t="str">
        <f>HYPERLINK("mailto:svmrkl@gmail.com", "svmrkl@gmail.com")</f>
        <v>svmrkl@gmail.com</v>
      </c>
      <c r="L456" s="6" t="s">
        <v>2680</v>
      </c>
    </row>
    <row r="457" ht="15.75" customHeight="1">
      <c r="A457" s="3">
        <v>460.0</v>
      </c>
      <c r="B457" s="3" t="s">
        <v>2681</v>
      </c>
      <c r="C457" s="3" t="s">
        <v>2682</v>
      </c>
      <c r="D457" s="3" t="s">
        <v>2683</v>
      </c>
      <c r="E457" s="3" t="s">
        <v>2684</v>
      </c>
      <c r="F457" s="3" t="s">
        <v>2685</v>
      </c>
      <c r="G457" s="3" t="s">
        <v>265</v>
      </c>
      <c r="H457" s="4" t="str">
        <f>HYPERLINK("https://www.dcminternationalschool.org/", "https://www.dcminternationalschool.org/")</f>
        <v>https://www.dcminternationalschool.org/</v>
      </c>
      <c r="J457" s="3" t="str">
        <f>HYPERLINK("tel:+919914900483", "+919914900483")</f>
        <v>+919914900483</v>
      </c>
      <c r="K457" s="5" t="str">
        <f>HYPERLINK("mailto:info@dcmschools.com", "info@dcmschools.com")</f>
        <v>info@dcmschools.com</v>
      </c>
      <c r="L457" s="6" t="s">
        <v>2686</v>
      </c>
    </row>
    <row r="458" ht="15.75" customHeight="1">
      <c r="A458" s="3">
        <v>461.0</v>
      </c>
      <c r="B458" s="3" t="s">
        <v>2687</v>
      </c>
      <c r="C458" s="3" t="s">
        <v>2688</v>
      </c>
      <c r="D458" s="3" t="s">
        <v>2689</v>
      </c>
      <c r="E458" s="3" t="s">
        <v>2690</v>
      </c>
      <c r="F458" s="3" t="s">
        <v>2691</v>
      </c>
      <c r="G458" s="3" t="s">
        <v>70</v>
      </c>
      <c r="H458" s="4" t="str">
        <f>HYPERLINK("https://www.svgmsanta.in/", "https://www.svgmsanta.in/")</f>
        <v>https://www.svgmsanta.in/</v>
      </c>
      <c r="I458" s="3" t="s">
        <v>2692</v>
      </c>
      <c r="J458" s="3" t="str">
        <f>HYPERLINK("tel:+919636721362", "+919636721362")</f>
        <v>+919636721362</v>
      </c>
      <c r="K458" s="5" t="str">
        <f>HYPERLINK("mailto:svgmsblockasind@gmail.com", "svgmsblockasind@gmail.com")</f>
        <v>svgmsblockasind@gmail.com</v>
      </c>
      <c r="L458" s="6" t="s">
        <v>2693</v>
      </c>
    </row>
    <row r="459" ht="15.75" customHeight="1">
      <c r="A459" s="3">
        <v>462.0</v>
      </c>
      <c r="B459" s="3" t="s">
        <v>2694</v>
      </c>
      <c r="C459" s="3" t="s">
        <v>2695</v>
      </c>
      <c r="D459" s="3" t="s">
        <v>2696</v>
      </c>
      <c r="E459" s="3" t="s">
        <v>2697</v>
      </c>
      <c r="F459" s="3" t="s">
        <v>2698</v>
      </c>
      <c r="G459" s="3" t="s">
        <v>70</v>
      </c>
      <c r="H459" s="4" t="str">
        <f>HYPERLINK("https://www.edmunds.ac.in/", "https://www.edmunds.ac.in/")</f>
        <v>https://www.edmunds.ac.in/</v>
      </c>
      <c r="J459" s="3" t="str">
        <f>HYPERLINK("tel:+919928909999", "+919928909999")</f>
        <v>+919928909999</v>
      </c>
      <c r="K459" s="5" t="str">
        <f>HYPERLINK("mailto:nan", "nan")</f>
        <v>nan</v>
      </c>
      <c r="L459" s="6" t="s">
        <v>2699</v>
      </c>
    </row>
    <row r="460" ht="15.75" customHeight="1">
      <c r="A460" s="3">
        <v>463.0</v>
      </c>
      <c r="B460" s="3" t="s">
        <v>2700</v>
      </c>
      <c r="C460" s="3" t="s">
        <v>2701</v>
      </c>
      <c r="D460" s="3" t="s">
        <v>2702</v>
      </c>
      <c r="E460" s="3" t="s">
        <v>2703</v>
      </c>
      <c r="F460" s="3" t="s">
        <v>2704</v>
      </c>
      <c r="G460" s="3" t="s">
        <v>17</v>
      </c>
      <c r="H460" s="4" t="str">
        <f>HYPERLINK("https://chennaiiit.kvs.ac.in/en/", "https://chennaiiit.kvs.ac.in/en/")</f>
        <v>https://chennaiiit.kvs.ac.in/en/</v>
      </c>
      <c r="I460" s="3" t="s">
        <v>2705</v>
      </c>
      <c r="J460" s="3" t="str">
        <f>HYPERLINK("tel:+914422570907", "+914422570907")</f>
        <v>+914422570907</v>
      </c>
      <c r="K460" s="5" t="str">
        <f t="shared" ref="K460:K461" si="34">HYPERLINK("mailto:kvsrochennaiadmn@gmail.com", "kvsrochennaiadmn@gmail.com")</f>
        <v>kvsrochennaiadmn@gmail.com</v>
      </c>
      <c r="L460" s="6"/>
    </row>
    <row r="461" ht="15.75" customHeight="1">
      <c r="A461" s="3">
        <v>464.0</v>
      </c>
      <c r="B461" s="3" t="s">
        <v>2706</v>
      </c>
      <c r="C461" s="3" t="s">
        <v>2707</v>
      </c>
      <c r="D461" s="3" t="s">
        <v>2708</v>
      </c>
      <c r="E461" s="3" t="s">
        <v>2709</v>
      </c>
      <c r="F461" s="3" t="s">
        <v>2710</v>
      </c>
      <c r="G461" s="3" t="s">
        <v>17</v>
      </c>
      <c r="H461" s="4" t="str">
        <f>HYPERLINK("https://chennaidgicomplex.kvs.ac.in/en/", "https://chennaidgicomplex.kvs.ac.in/en/")</f>
        <v>https://chennaidgicomplex.kvs.ac.in/en/</v>
      </c>
      <c r="I461" s="3" t="s">
        <v>625</v>
      </c>
      <c r="J461" s="3" t="str">
        <f>HYPERLINK("tel:+914422240739", "+914422240739")</f>
        <v>+914422240739</v>
      </c>
      <c r="K461" s="5" t="str">
        <f t="shared" si="34"/>
        <v>kvsrochennaiadmn@gmail.com</v>
      </c>
      <c r="L461" s="6" t="s">
        <v>2711</v>
      </c>
    </row>
    <row r="462" ht="15.75" customHeight="1">
      <c r="A462" s="3">
        <v>465.0</v>
      </c>
      <c r="B462" s="3" t="s">
        <v>2712</v>
      </c>
      <c r="C462" s="3" t="s">
        <v>2713</v>
      </c>
      <c r="D462" s="3" t="s">
        <v>2714</v>
      </c>
      <c r="E462" s="3" t="s">
        <v>2715</v>
      </c>
      <c r="F462" s="3" t="s">
        <v>2716</v>
      </c>
      <c r="G462" s="3" t="s">
        <v>17</v>
      </c>
      <c r="H462" s="4" t="str">
        <f>HYPERLINK("https://schools.org.in/tiruvannamalai/33061701701/ghs-edathanur.html", "https://schools.org.in/tiruvannamalai/33061701701/ghs-edathanur.html")</f>
        <v>https://schools.org.in/tiruvannamalai/33061701701/ghs-edathanur.html</v>
      </c>
      <c r="I462" s="3" t="s">
        <v>2717</v>
      </c>
      <c r="J462" s="3" t="str">
        <f>HYPERLINK("tel:+912194591005", "+912194591005")</f>
        <v>+912194591005</v>
      </c>
      <c r="K462" s="5" t="str">
        <f t="shared" ref="K462:K463" si="35">HYPERLINK("mailto:nan", "nan")</f>
        <v>nan</v>
      </c>
      <c r="L462" s="6" t="s">
        <v>2718</v>
      </c>
    </row>
    <row r="463" ht="15.75" customHeight="1">
      <c r="A463" s="3">
        <v>466.0</v>
      </c>
      <c r="B463" s="3" t="s">
        <v>2719</v>
      </c>
      <c r="C463" s="3" t="s">
        <v>2720</v>
      </c>
      <c r="D463" s="3" t="s">
        <v>2721</v>
      </c>
      <c r="E463" s="3" t="s">
        <v>2722</v>
      </c>
      <c r="F463" s="3" t="s">
        <v>2723</v>
      </c>
      <c r="G463" s="3" t="s">
        <v>138</v>
      </c>
      <c r="H463" s="4" t="str">
        <f>HYPERLINK("https://oldcanttald.kvs.ac.in/en/", "https://oldcanttald.kvs.ac.in/en/")</f>
        <v>https://oldcanttald.kvs.ac.in/en/</v>
      </c>
      <c r="I463" s="3" t="s">
        <v>2724</v>
      </c>
      <c r="J463" s="3" t="str">
        <f>HYPERLINK("tel:+915322441723", "+915322441723")</f>
        <v>+915322441723</v>
      </c>
      <c r="K463" s="5" t="str">
        <f t="shared" si="35"/>
        <v>nan</v>
      </c>
      <c r="L463" s="6" t="s">
        <v>2725</v>
      </c>
    </row>
    <row r="464" ht="15.75" customHeight="1">
      <c r="A464" s="3">
        <v>467.0</v>
      </c>
      <c r="B464" s="3" t="s">
        <v>2726</v>
      </c>
      <c r="C464" s="3" t="s">
        <v>2727</v>
      </c>
      <c r="D464" s="3" t="s">
        <v>2728</v>
      </c>
      <c r="E464" s="3" t="s">
        <v>2729</v>
      </c>
      <c r="F464" s="3" t="s">
        <v>2730</v>
      </c>
      <c r="G464" s="3" t="s">
        <v>138</v>
      </c>
      <c r="H464" s="4" t="str">
        <f>HYPERLINK("https://www.hrpg.edu.in/", "https://www.hrpg.edu.in/")</f>
        <v>https://www.hrpg.edu.in/</v>
      </c>
      <c r="I464" s="3" t="s">
        <v>2731</v>
      </c>
      <c r="J464" s="3" t="str">
        <f>HYPERLINK("tel:+918960498006", "+918960498006")</f>
        <v>+918960498006</v>
      </c>
      <c r="K464" s="5" t="str">
        <f>HYPERLINK("mailto:hrpgcollage@gmail.com", "hrpgcollage@gmail.com")</f>
        <v>hrpgcollage@gmail.com</v>
      </c>
      <c r="L464" s="6" t="s">
        <v>2732</v>
      </c>
    </row>
    <row r="465" ht="15.75" customHeight="1">
      <c r="A465" s="3">
        <v>469.0</v>
      </c>
      <c r="B465" s="3" t="s">
        <v>2733</v>
      </c>
      <c r="C465" s="3" t="s">
        <v>2734</v>
      </c>
      <c r="D465" s="3" t="s">
        <v>2735</v>
      </c>
      <c r="E465" s="3" t="s">
        <v>2736</v>
      </c>
      <c r="F465" s="3" t="s">
        <v>2737</v>
      </c>
      <c r="G465" s="3" t="s">
        <v>958</v>
      </c>
      <c r="H465" s="4" t="str">
        <f>HYPERLINK("https://no1ishapore.kvs.ac.in/en/", "https://no1ishapore.kvs.ac.in/en/")</f>
        <v>https://no1ishapore.kvs.ac.in/en/</v>
      </c>
      <c r="J465" s="3" t="str">
        <f>HYPERLINK("tel:+913325938318", "+913325938318")</f>
        <v>+913325938318</v>
      </c>
      <c r="K465" s="5" t="str">
        <f>HYPERLINK("mailto:nan", "nan")</f>
        <v>nan</v>
      </c>
      <c r="L465" s="6" t="s">
        <v>2738</v>
      </c>
    </row>
    <row r="466" ht="15.75" customHeight="1">
      <c r="A466" s="3">
        <v>470.0</v>
      </c>
      <c r="B466" s="3" t="s">
        <v>2739</v>
      </c>
      <c r="C466" s="3" t="s">
        <v>2740</v>
      </c>
      <c r="D466" s="3" t="s">
        <v>2741</v>
      </c>
      <c r="E466" s="3" t="s">
        <v>2742</v>
      </c>
      <c r="F466" s="3" t="s">
        <v>2743</v>
      </c>
      <c r="G466" s="3" t="s">
        <v>272</v>
      </c>
      <c r="H466" s="4" t="str">
        <f>HYPERLINK("https://mahatma-gandhi-municipal-corporation-high-school.pydios.com/", "https://mahatma-gandhi-municipal-corporation-high-school.pydios.com/")</f>
        <v>https://mahatma-gandhi-municipal-corporation-high-school.pydios.com/</v>
      </c>
      <c r="I466" s="3" t="s">
        <v>2744</v>
      </c>
      <c r="J466" s="3" t="str">
        <f>HYPERLINK("tel:nan", "nan")</f>
        <v>nan</v>
      </c>
      <c r="K466" s="5" t="str">
        <f>HYPERLINK("mailto:info@careers360.com", "info@careers360.com")</f>
        <v>info@careers360.com</v>
      </c>
      <c r="L466" s="6" t="s">
        <v>2745</v>
      </c>
    </row>
    <row r="467" ht="15.75" customHeight="1">
      <c r="A467" s="3">
        <v>471.0</v>
      </c>
      <c r="B467" s="3" t="s">
        <v>2746</v>
      </c>
      <c r="C467" s="3" t="s">
        <v>2747</v>
      </c>
      <c r="D467" s="3" t="s">
        <v>2748</v>
      </c>
      <c r="E467" s="3" t="s">
        <v>2749</v>
      </c>
      <c r="F467" s="3" t="s">
        <v>2750</v>
      </c>
      <c r="G467" s="3" t="s">
        <v>229</v>
      </c>
      <c r="H467" s="4" t="str">
        <f>HYPERLINK("https://www.justdial.com/Bhilai/Government-Higher-Secondary-School-Bhilai-Adarsh-Nagar/9999PX788-X788-220612225532-S3H6_BZDET", "https://www.justdial.com/Bhilai/Government-Higher-Secondary-School-Bhilai-Adarsh-Nagar/9999PX788-X788-220612225532-S3H6_BZDET")</f>
        <v>https://www.justdial.com/Bhilai/Government-Higher-Secondary-School-Bhilai-Adarsh-Nagar/9999PX788-X788-220612225532-S3H6_BZDET</v>
      </c>
      <c r="I467" s="3" t="s">
        <v>1072</v>
      </c>
      <c r="J467" s="3" t="str">
        <f>HYPERLINK("tel:+917714002694", "+917714002694")</f>
        <v>+917714002694</v>
      </c>
      <c r="K467" s="5" t="str">
        <f>HYPERLINK("mailto:eduportal.cg@nic.in", "eduportal.cg@nic.in")</f>
        <v>eduportal.cg@nic.in</v>
      </c>
      <c r="L467" s="6" t="s">
        <v>2751</v>
      </c>
    </row>
    <row r="468" ht="15.75" customHeight="1">
      <c r="A468" s="3">
        <v>472.0</v>
      </c>
      <c r="B468" s="3" t="s">
        <v>2752</v>
      </c>
      <c r="C468" s="3" t="s">
        <v>2753</v>
      </c>
      <c r="D468" s="3" t="s">
        <v>2754</v>
      </c>
      <c r="E468" s="3" t="s">
        <v>2755</v>
      </c>
      <c r="F468" s="3" t="s">
        <v>2756</v>
      </c>
      <c r="G468" s="3" t="s">
        <v>51</v>
      </c>
      <c r="H468" s="4" t="str">
        <f>HYPERLINK("https://www.cisp.co.in/", "https://www.cisp.co.in/")</f>
        <v>https://www.cisp.co.in/</v>
      </c>
      <c r="I468" s="3" t="s">
        <v>2757</v>
      </c>
      <c r="J468" s="3" t="str">
        <f>HYPERLINK("tel:+917807473818", "+917807473818")</f>
        <v>+917807473818</v>
      </c>
      <c r="K468" s="5" t="str">
        <f>HYPERLINK("mailto:palampur.cambridge@cisp.co.in", "palampur.cambridge@cisp.co.in")</f>
        <v>palampur.cambridge@cisp.co.in</v>
      </c>
      <c r="L468" s="6"/>
    </row>
    <row r="469" ht="15.75" customHeight="1">
      <c r="A469" s="3">
        <v>473.0</v>
      </c>
      <c r="B469" s="3" t="s">
        <v>2758</v>
      </c>
      <c r="C469" s="3" t="s">
        <v>713</v>
      </c>
      <c r="D469" s="3" t="s">
        <v>2759</v>
      </c>
      <c r="E469" s="3" t="s">
        <v>2760</v>
      </c>
      <c r="F469" s="3" t="s">
        <v>716</v>
      </c>
      <c r="G469" s="3" t="s">
        <v>182</v>
      </c>
      <c r="H469" s="4" t="str">
        <f>HYPERLINK("https://www.justdial.com/Jammu/Activity-Public-HR-Secondary-School-Near-Ramlila-Ground-Janipur-Colony-Janipur/9999PX191-X191-110421125424-H7I8_BZDET", "https://www.justdial.com/Jammu/Activity-Public-HR-Secondary-School-Near-Ramlila-Ground-Janipur-Colony-Janipur/9999PX191-X191-110421125424-H7I8_BZDET")</f>
        <v>https://www.justdial.com/Jammu/Activity-Public-HR-Secondary-School-Near-Ramlila-Ground-Janipur-Colony-Janipur/9999PX191-X191-110421125424-H7I8_BZDET</v>
      </c>
      <c r="I469" s="3" t="s">
        <v>2761</v>
      </c>
      <c r="J469" s="3" t="str">
        <f>HYPERLINK("tel:+919596970174", "+919596970174")</f>
        <v>+919596970174</v>
      </c>
      <c r="K469" s="5" t="str">
        <f>HYPERLINK("mailto:aphss91@gmail.com", "aphss91@gmail.com")</f>
        <v>aphss91@gmail.com</v>
      </c>
      <c r="L469" s="6" t="s">
        <v>2762</v>
      </c>
    </row>
    <row r="470" ht="15.75" customHeight="1">
      <c r="A470" s="3">
        <v>474.0</v>
      </c>
      <c r="B470" s="3" t="s">
        <v>2763</v>
      </c>
      <c r="C470" s="3" t="s">
        <v>2764</v>
      </c>
      <c r="D470" s="3" t="s">
        <v>2765</v>
      </c>
      <c r="E470" s="3" t="s">
        <v>2766</v>
      </c>
      <c r="F470" s="3" t="s">
        <v>2767</v>
      </c>
      <c r="G470" s="3" t="s">
        <v>58</v>
      </c>
      <c r="H470" s="4" t="str">
        <f>HYPERLINK("https://ssvp.edu.in/", "https://ssvp.edu.in/")</f>
        <v>https://ssvp.edu.in/</v>
      </c>
      <c r="I470" s="3" t="s">
        <v>5</v>
      </c>
      <c r="J470" s="3" t="str">
        <f>HYPERLINK("tel:nan", "nan")</f>
        <v>nan</v>
      </c>
      <c r="K470" s="5" t="str">
        <f>HYPERLINK("mailto:nan", "nan")</f>
        <v>nan</v>
      </c>
      <c r="L470" s="6" t="s">
        <v>2768</v>
      </c>
    </row>
    <row r="471" ht="15.75" customHeight="1">
      <c r="A471" s="3">
        <v>475.0</v>
      </c>
      <c r="B471" s="3" t="s">
        <v>2769</v>
      </c>
      <c r="C471" s="3" t="s">
        <v>2770</v>
      </c>
      <c r="D471" s="3" t="s">
        <v>2771</v>
      </c>
      <c r="E471" s="3" t="s">
        <v>2772</v>
      </c>
      <c r="F471" s="3" t="s">
        <v>2773</v>
      </c>
      <c r="G471" s="3" t="s">
        <v>58</v>
      </c>
      <c r="H471" s="4" t="str">
        <f>HYPERLINK("http://stjosephshsstvm.org/contact.php", "http://stjosephshsstvm.org/contact.php")</f>
        <v>http://stjosephshsstvm.org/contact.php</v>
      </c>
      <c r="I471" s="3" t="s">
        <v>2774</v>
      </c>
      <c r="J471" s="3" t="str">
        <f>HYPERLINK("tel:+914712471720", "+914712471720")</f>
        <v>+914712471720</v>
      </c>
      <c r="K471" s="5" t="str">
        <f>HYPERLINK("mailto:stjosephshss@gmail.com", "stjosephshss@gmail.com")</f>
        <v>stjosephshss@gmail.com</v>
      </c>
      <c r="L471" s="6" t="s">
        <v>2775</v>
      </c>
    </row>
    <row r="472" ht="15.75" customHeight="1">
      <c r="A472" s="3">
        <v>476.0</v>
      </c>
      <c r="B472" s="3" t="s">
        <v>2776</v>
      </c>
      <c r="C472" s="3" t="s">
        <v>2777</v>
      </c>
      <c r="D472" s="3" t="s">
        <v>2778</v>
      </c>
      <c r="E472" s="3" t="s">
        <v>2779</v>
      </c>
      <c r="F472" s="3" t="s">
        <v>2780</v>
      </c>
      <c r="G472" s="3" t="s">
        <v>58</v>
      </c>
      <c r="H472" s="4" t="str">
        <f>HYPERLINK("https://www.instagram.com/ghsvadasseri/?hl=en", "https://www.instagram.com/ghsvadasseri/?hl=en")</f>
        <v>https://www.instagram.com/ghsvadasseri/?hl=en</v>
      </c>
      <c r="J472" s="3" t="str">
        <f>HYPERLINK("tel:nan", "nan")</f>
        <v>nan</v>
      </c>
      <c r="K472" s="5" t="str">
        <f>HYPERLINK("mailto:nan", "nan")</f>
        <v>nan</v>
      </c>
      <c r="L472" s="6"/>
    </row>
    <row r="473" ht="15.75" customHeight="1">
      <c r="A473" s="3">
        <v>477.0</v>
      </c>
      <c r="B473" s="3" t="s">
        <v>2781</v>
      </c>
      <c r="C473" s="3" t="s">
        <v>817</v>
      </c>
      <c r="D473" s="3" t="s">
        <v>2782</v>
      </c>
      <c r="E473" s="3" t="s">
        <v>2783</v>
      </c>
      <c r="F473" s="3" t="s">
        <v>820</v>
      </c>
      <c r="G473" s="3" t="s">
        <v>237</v>
      </c>
      <c r="H473" s="4" t="str">
        <f>HYPERLINK("https://no2pondicherry.kvs.ac.in/en/", "https://no2pondicherry.kvs.ac.in/en/")</f>
        <v>https://no2pondicherry.kvs.ac.in/en/</v>
      </c>
      <c r="I473" s="3" t="s">
        <v>2784</v>
      </c>
      <c r="J473" s="3" t="str">
        <f>HYPERLINK("tel:+914132961601", "+914132961601")</f>
        <v>+914132961601</v>
      </c>
      <c r="K473" s="5" t="str">
        <f>HYPERLINK("mailto:info@careers360.com", "info@careers360.com")</f>
        <v>info@careers360.com</v>
      </c>
      <c r="L473" s="6" t="s">
        <v>821</v>
      </c>
    </row>
    <row r="474" ht="15.75" customHeight="1">
      <c r="A474" s="3">
        <v>478.0</v>
      </c>
      <c r="B474" s="3" t="s">
        <v>2785</v>
      </c>
      <c r="C474" s="3" t="s">
        <v>2786</v>
      </c>
      <c r="D474" s="3" t="s">
        <v>2787</v>
      </c>
      <c r="E474" s="3" t="s">
        <v>2788</v>
      </c>
      <c r="F474" s="3" t="s">
        <v>2789</v>
      </c>
      <c r="G474" s="3" t="s">
        <v>70</v>
      </c>
      <c r="H474" s="4" t="str">
        <f>HYPERLINK("https://deogarh.kvs.ac.in/", "https://deogarh.kvs.ac.in/")</f>
        <v>https://deogarh.kvs.ac.in/</v>
      </c>
      <c r="I474" s="3" t="s">
        <v>93</v>
      </c>
      <c r="J474" s="3" t="str">
        <f>HYPERLINK("tel:+916641295092", "+916641295092")</f>
        <v>+916641295092</v>
      </c>
      <c r="K474" s="5" t="str">
        <f>HYPERLINK("mailto:kv.deogarh@yahoo.com", "kv.deogarh@yahoo.com")</f>
        <v>kv.deogarh@yahoo.com</v>
      </c>
      <c r="L474" s="6" t="s">
        <v>2790</v>
      </c>
    </row>
    <row r="475" ht="15.75" customHeight="1">
      <c r="A475" s="3">
        <v>479.0</v>
      </c>
      <c r="B475" s="3" t="s">
        <v>2791</v>
      </c>
      <c r="C475" s="3" t="s">
        <v>2792</v>
      </c>
      <c r="D475" s="3" t="s">
        <v>2793</v>
      </c>
      <c r="E475" s="3" t="s">
        <v>2794</v>
      </c>
      <c r="F475" s="3" t="s">
        <v>2795</v>
      </c>
      <c r="G475" s="3" t="s">
        <v>70</v>
      </c>
      <c r="H475" s="4" t="str">
        <f>HYPERLINK("https://www.ucskmschool.com/", "https://www.ucskmschool.com/")</f>
        <v>https://www.ucskmschool.com/</v>
      </c>
      <c r="J475" s="3" t="str">
        <f>HYPERLINK("tel:+911493298081", "+911493298081")</f>
        <v>+911493298081</v>
      </c>
      <c r="K475" s="5" t="str">
        <f>HYPERLINK("mailto:ucskmschoolbhd@gmail.com", "ucskmschoolbhd@gmail.com")</f>
        <v>ucskmschoolbhd@gmail.com</v>
      </c>
      <c r="L475" s="6" t="s">
        <v>2796</v>
      </c>
    </row>
    <row r="476" ht="15.75" customHeight="1">
      <c r="A476" s="3">
        <v>480.0</v>
      </c>
      <c r="B476" s="3" t="s">
        <v>2797</v>
      </c>
      <c r="C476" s="3" t="s">
        <v>2701</v>
      </c>
      <c r="D476" s="3" t="s">
        <v>2798</v>
      </c>
      <c r="E476" s="3" t="s">
        <v>2799</v>
      </c>
      <c r="F476" s="3" t="s">
        <v>2704</v>
      </c>
      <c r="G476" s="3" t="s">
        <v>17</v>
      </c>
      <c r="H476" s="4" t="str">
        <f>HYPERLINK("https://chennaiiit.kvs.ac.in/en/", "https://chennaiiit.kvs.ac.in/en/")</f>
        <v>https://chennaiiit.kvs.ac.in/en/</v>
      </c>
      <c r="I476" s="3" t="s">
        <v>2705</v>
      </c>
      <c r="J476" s="3" t="str">
        <f>HYPERLINK("tel:+914422570907", "+914422570907")</f>
        <v>+914422570907</v>
      </c>
      <c r="K476" s="5" t="str">
        <f>HYPERLINK("mailto:kvsrochennaiadmn@gmail.com", "kvsrochennaiadmn@gmail.com")</f>
        <v>kvsrochennaiadmn@gmail.com</v>
      </c>
      <c r="L476" s="6"/>
    </row>
    <row r="477" ht="15.75" customHeight="1">
      <c r="A477" s="3">
        <v>481.0</v>
      </c>
      <c r="B477" s="3" t="s">
        <v>2800</v>
      </c>
      <c r="C477" s="3" t="s">
        <v>2801</v>
      </c>
      <c r="D477" s="3" t="s">
        <v>2802</v>
      </c>
      <c r="E477" s="3" t="s">
        <v>2803</v>
      </c>
      <c r="F477" s="3" t="s">
        <v>2804</v>
      </c>
      <c r="G477" s="3" t="s">
        <v>17</v>
      </c>
      <c r="H477" s="4" t="str">
        <f>HYPERLINK("https://schools.org.in/erode/33101202302/government-higher-secondary-school-lakkapuram.html", "https://schools.org.in/erode/33101202302/government-higher-secondary-school-lakkapuram.html")</f>
        <v>https://schools.org.in/erode/33101202302/government-higher-secondary-school-lakkapuram.html</v>
      </c>
      <c r="I477" s="3" t="s">
        <v>2805</v>
      </c>
      <c r="J477" s="3" t="str">
        <f>HYPERLINK("tel:nan", "nan")</f>
        <v>nan</v>
      </c>
      <c r="K477" s="5" t="str">
        <f>HYPERLINK("mailto:nan", "nan")</f>
        <v>nan</v>
      </c>
      <c r="L477" s="6" t="s">
        <v>2806</v>
      </c>
    </row>
    <row r="478" ht="15.75" customHeight="1">
      <c r="A478" s="3">
        <v>482.0</v>
      </c>
      <c r="B478" s="3" t="s">
        <v>2807</v>
      </c>
      <c r="C478" s="3" t="s">
        <v>2808</v>
      </c>
      <c r="D478" s="3" t="s">
        <v>2809</v>
      </c>
      <c r="E478" s="3" t="s">
        <v>2810</v>
      </c>
      <c r="F478" s="3" t="s">
        <v>2811</v>
      </c>
      <c r="G478" s="3" t="s">
        <v>130</v>
      </c>
      <c r="H478" s="4" t="str">
        <f>HYPERLINK("https://shlokacbseschool.com/", "https://shlokacbseschool.com/")</f>
        <v>https://shlokacbseschool.com/</v>
      </c>
      <c r="I478" s="3" t="s">
        <v>2812</v>
      </c>
      <c r="J478" s="3" t="str">
        <f>HYPERLINK("tel:+917075523666", "+917075523666")</f>
        <v>+917075523666</v>
      </c>
      <c r="K478" s="5" t="str">
        <f>HYPERLINK("mailto:bees.shloka@gmail.com", "bees.shloka@gmail.com")</f>
        <v>bees.shloka@gmail.com</v>
      </c>
      <c r="L478" s="6" t="s">
        <v>2813</v>
      </c>
    </row>
    <row r="479" ht="15.75" customHeight="1">
      <c r="A479" s="3">
        <v>483.0</v>
      </c>
      <c r="B479" s="3" t="s">
        <v>2814</v>
      </c>
      <c r="C479" s="3" t="s">
        <v>2815</v>
      </c>
      <c r="D479" s="3" t="s">
        <v>2816</v>
      </c>
      <c r="E479" s="3" t="s">
        <v>2817</v>
      </c>
      <c r="F479" s="3" t="s">
        <v>2818</v>
      </c>
      <c r="G479" s="3" t="s">
        <v>272</v>
      </c>
      <c r="H479" s="4" t="str">
        <f>HYPERLINK("https://www.nmskadapa.edu.in/careers", "https://www.nmskadapa.edu.in/careers")</f>
        <v>https://www.nmskadapa.edu.in/careers</v>
      </c>
      <c r="I479" s="3" t="s">
        <v>2819</v>
      </c>
      <c r="J479" s="3" t="str">
        <f>HYPERLINK("tel:+918562255209", "+918562255209")</f>
        <v>+918562255209</v>
      </c>
      <c r="K479" s="5" t="str">
        <f>HYPERLINK("mailto:nagarjunamodelschoolkadapa@gmail.com", "nagarjunamodelschoolkadapa@gmail.com")</f>
        <v>nagarjunamodelschoolkadapa@gmail.com</v>
      </c>
      <c r="L479" s="6" t="s">
        <v>2820</v>
      </c>
    </row>
    <row r="480" ht="15.75" customHeight="1">
      <c r="A480" s="3">
        <v>484.0</v>
      </c>
      <c r="B480" s="3" t="s">
        <v>2821</v>
      </c>
      <c r="C480" s="3" t="s">
        <v>2822</v>
      </c>
      <c r="D480" s="3" t="s">
        <v>2823</v>
      </c>
      <c r="E480" s="3" t="s">
        <v>2824</v>
      </c>
      <c r="F480" s="3" t="s">
        <v>2825</v>
      </c>
      <c r="G480" s="3" t="s">
        <v>272</v>
      </c>
      <c r="H480" s="4" t="str">
        <f>HYPERLINK("https://www.greendale-is.in/", "https://www.greendale-is.in/")</f>
        <v>https://www.greendale-is.in/</v>
      </c>
      <c r="J480" s="3" t="str">
        <f>HYPERLINK("tel:+918978885500", "+918978885500")</f>
        <v>+918978885500</v>
      </c>
      <c r="K480" s="5" t="str">
        <f>HYPERLINK("mailto:greendalevizag@gmail.com", "greendalevizag@gmail.com")</f>
        <v>greendalevizag@gmail.com</v>
      </c>
      <c r="L480" s="6" t="s">
        <v>2826</v>
      </c>
    </row>
    <row r="481" ht="15.75" customHeight="1">
      <c r="A481" s="3">
        <v>485.0</v>
      </c>
      <c r="B481" s="3" t="s">
        <v>2827</v>
      </c>
      <c r="C481" s="3" t="s">
        <v>2828</v>
      </c>
      <c r="D481" s="3" t="s">
        <v>2829</v>
      </c>
      <c r="E481" s="3" t="s">
        <v>2830</v>
      </c>
      <c r="F481" s="3" t="s">
        <v>2831</v>
      </c>
      <c r="G481" s="3" t="s">
        <v>272</v>
      </c>
      <c r="H481" s="4" t="str">
        <f>HYPERLINK("https://schools.org.in/srikakulam/28111902905/zphs-ippili.html", "https://schools.org.in/srikakulam/28111902905/zphs-ippili.html")</f>
        <v>https://schools.org.in/srikakulam/28111902905/zphs-ippili.html</v>
      </c>
      <c r="I481" s="3" t="s">
        <v>2832</v>
      </c>
      <c r="J481" s="3" t="str">
        <f>HYPERLINK("tel:+5954483736", "+5954483736")</f>
        <v>+5954483736</v>
      </c>
      <c r="K481" s="5" t="str">
        <f>HYPERLINK("mailto:sp@eg.appolice.gov.in", "sp@eg.appolice.gov.in")</f>
        <v>sp@eg.appolice.gov.in</v>
      </c>
      <c r="L481" s="6" t="s">
        <v>2833</v>
      </c>
    </row>
    <row r="482" ht="15.75" customHeight="1">
      <c r="A482" s="3">
        <v>486.0</v>
      </c>
      <c r="B482" s="3" t="s">
        <v>2834</v>
      </c>
      <c r="C482" s="3" t="s">
        <v>2835</v>
      </c>
      <c r="D482" s="3" t="s">
        <v>2836</v>
      </c>
      <c r="E482" s="3" t="s">
        <v>2837</v>
      </c>
      <c r="F482" s="3" t="s">
        <v>2838</v>
      </c>
      <c r="G482" s="3" t="s">
        <v>272</v>
      </c>
      <c r="H482" s="4" t="str">
        <f>HYPERLINK("https://www.lapschool.org/", "https://www.lapschool.org/")</f>
        <v>https://www.lapschool.org/</v>
      </c>
      <c r="I482" s="3" t="s">
        <v>2839</v>
      </c>
      <c r="J482" s="3" t="str">
        <f>HYPERLINK("tel:+919849141742", "+919849141742")</f>
        <v>+919849141742</v>
      </c>
      <c r="K482" s="5" t="str">
        <f>HYPERLINK("mailto:info@lapschool.org", "info@lapschool.org")</f>
        <v>info@lapschool.org</v>
      </c>
      <c r="L482" s="6"/>
    </row>
    <row r="483" ht="15.75" customHeight="1">
      <c r="A483" s="3">
        <v>487.0</v>
      </c>
      <c r="B483" s="3" t="s">
        <v>2840</v>
      </c>
      <c r="C483" s="3" t="s">
        <v>2841</v>
      </c>
      <c r="D483" s="3" t="s">
        <v>2842</v>
      </c>
      <c r="E483" s="3" t="s">
        <v>2843</v>
      </c>
      <c r="F483" s="3" t="s">
        <v>2844</v>
      </c>
      <c r="G483" s="3" t="s">
        <v>229</v>
      </c>
      <c r="H483" s="4" t="str">
        <f>HYPERLINK("https://schools.org.in/dhamtari/22133013118/government-shiv-singh-verma-girls-higher-secondary-school-dhamtari.html", "https://schools.org.in/dhamtari/22133013118/government-shiv-singh-verma-girls-higher-secondary-school-dhamtari.html")</f>
        <v>https://schools.org.in/dhamtari/22133013118/government-shiv-singh-verma-girls-higher-secondary-school-dhamtari.html</v>
      </c>
      <c r="I483" s="3" t="s">
        <v>286</v>
      </c>
      <c r="J483" s="3" t="str">
        <f>HYPERLINK("tel:+917714002694", "+917714002694")</f>
        <v>+917714002694</v>
      </c>
      <c r="K483" s="5" t="str">
        <f>HYPERLINK("mailto:eduportal.cg@nic.in", "eduportal.cg@nic.in")</f>
        <v>eduportal.cg@nic.in</v>
      </c>
      <c r="L483" s="6" t="s">
        <v>2845</v>
      </c>
    </row>
    <row r="484" ht="15.75" customHeight="1">
      <c r="A484" s="3">
        <v>488.0</v>
      </c>
      <c r="B484" s="3" t="s">
        <v>2846</v>
      </c>
      <c r="C484" s="3" t="s">
        <v>2847</v>
      </c>
      <c r="D484" s="3" t="s">
        <v>2848</v>
      </c>
      <c r="E484" s="3" t="s">
        <v>2849</v>
      </c>
      <c r="F484" s="3" t="s">
        <v>2850</v>
      </c>
      <c r="G484" s="3" t="s">
        <v>100</v>
      </c>
      <c r="H484" s="4" t="str">
        <f>HYPERLINK("https://dwarkasec5.kvs.ac.in/en/", "https://dwarkasec5.kvs.ac.in/en/")</f>
        <v>https://dwarkasec5.kvs.ac.in/en/</v>
      </c>
      <c r="I484" s="3" t="s">
        <v>625</v>
      </c>
      <c r="J484" s="3" t="str">
        <f>HYPERLINK("tel:+911120892070", "+911120892070")</f>
        <v>+911120892070</v>
      </c>
      <c r="K484" s="5" t="str">
        <f>HYPERLINK("mailto:dc@kvsrodelhi.in", "dc@kvsrodelhi.in")</f>
        <v>dc@kvsrodelhi.in</v>
      </c>
      <c r="L484" s="6" t="s">
        <v>2851</v>
      </c>
    </row>
    <row r="485" ht="15.75" customHeight="1">
      <c r="A485" s="3">
        <v>489.0</v>
      </c>
      <c r="B485" s="3" t="s">
        <v>2852</v>
      </c>
      <c r="C485" s="3" t="s">
        <v>2853</v>
      </c>
      <c r="D485" s="3" t="s">
        <v>2854</v>
      </c>
      <c r="E485" s="3" t="s">
        <v>2855</v>
      </c>
      <c r="F485" s="3" t="s">
        <v>2856</v>
      </c>
      <c r="G485" s="3" t="s">
        <v>182</v>
      </c>
      <c r="H485" s="4" t="str">
        <f>HYPERLINK("https://kaluchak.kvs.ac.in/en/", "https://kaluchak.kvs.ac.in/en/")</f>
        <v>https://kaluchak.kvs.ac.in/en/</v>
      </c>
      <c r="J485" s="3" t="str">
        <f>HYPERLINK("tel:+911912462357", "+911912462357")</f>
        <v>+911912462357</v>
      </c>
      <c r="K485" s="5" t="str">
        <f>HYPERLINK("mailto:nan", "nan")</f>
        <v>nan</v>
      </c>
      <c r="L485" s="6" t="s">
        <v>665</v>
      </c>
    </row>
    <row r="486" ht="15.75" customHeight="1">
      <c r="A486" s="3">
        <v>490.0</v>
      </c>
      <c r="B486" s="3" t="s">
        <v>2857</v>
      </c>
      <c r="C486" s="3" t="s">
        <v>2858</v>
      </c>
      <c r="D486" s="3" t="s">
        <v>2859</v>
      </c>
      <c r="E486" s="3" t="s">
        <v>2860</v>
      </c>
      <c r="F486" s="3" t="s">
        <v>2861</v>
      </c>
      <c r="G486" s="3" t="s">
        <v>31</v>
      </c>
      <c r="H486" s="4" t="str">
        <f>HYPERLINK("https://bharateshenglishmediumschool.org/", "https://bharateshenglishmediumschool.org/")</f>
        <v>https://bharateshenglishmediumschool.org/</v>
      </c>
      <c r="I486" s="3" t="s">
        <v>286</v>
      </c>
      <c r="J486" s="3" t="str">
        <f>HYPERLINK("tel:+918762207560", "+918762207560")</f>
        <v>+918762207560</v>
      </c>
      <c r="K486" s="5" t="str">
        <f>HYPERLINK("mailto:bharatesh.bems@gmail.com", "bharatesh.bems@gmail.com")</f>
        <v>bharatesh.bems@gmail.com</v>
      </c>
      <c r="L486" s="6" t="s">
        <v>2862</v>
      </c>
    </row>
    <row r="487" ht="15.75" customHeight="1">
      <c r="A487" s="3">
        <v>491.0</v>
      </c>
      <c r="B487" s="3" t="s">
        <v>2863</v>
      </c>
      <c r="C487" s="3" t="s">
        <v>2864</v>
      </c>
      <c r="D487" s="3" t="s">
        <v>2865</v>
      </c>
      <c r="E487" s="3" t="s">
        <v>2866</v>
      </c>
      <c r="F487" s="3" t="s">
        <v>2867</v>
      </c>
      <c r="G487" s="3" t="s">
        <v>31</v>
      </c>
      <c r="H487" s="4" t="str">
        <f>HYPERLINK("https://schools.org.in/dakshina-kannada/29240603102/dkzp-govt-higher-primary-school-newpadpu.html", "https://schools.org.in/dakshina-kannada/29240603102/dkzp-govt-higher-primary-school-newpadpu.html")</f>
        <v>https://schools.org.in/dakshina-kannada/29240603102/dkzp-govt-higher-primary-school-newpadpu.html</v>
      </c>
      <c r="I487" s="3" t="s">
        <v>2868</v>
      </c>
      <c r="J487" s="3" t="str">
        <f>HYPERLINK("tel:+919448999303", "+919448999303")</f>
        <v>+919448999303</v>
      </c>
      <c r="K487" s="5" t="str">
        <f>HYPERLINK("mailto:pd.webportal@karnataka.gov.in", "pd.webportal@karnataka.gov.in")</f>
        <v>pd.webportal@karnataka.gov.in</v>
      </c>
      <c r="L487" s="6" t="s">
        <v>2869</v>
      </c>
    </row>
    <row r="488" ht="15.75" customHeight="1">
      <c r="A488" s="3">
        <v>492.0</v>
      </c>
      <c r="B488" s="3" t="s">
        <v>2870</v>
      </c>
      <c r="C488" s="3" t="s">
        <v>2871</v>
      </c>
      <c r="D488" s="3" t="s">
        <v>2872</v>
      </c>
      <c r="E488" s="3" t="s">
        <v>2873</v>
      </c>
      <c r="F488" s="3" t="s">
        <v>2874</v>
      </c>
      <c r="G488" s="3" t="s">
        <v>58</v>
      </c>
      <c r="H488" s="4" t="str">
        <f>HYPERLINK("https://stjosephemhss.in/", "https://stjosephemhss.in/")</f>
        <v>https://stjosephemhss.in/</v>
      </c>
      <c r="I488" s="3" t="s">
        <v>2875</v>
      </c>
      <c r="J488" s="3" t="str">
        <f>HYPERLINK("tel:nan", "nan")</f>
        <v>nan</v>
      </c>
      <c r="K488" s="5" t="str">
        <f>HYPERLINK("mailto:info@careers360.com", "info@careers360.com")</f>
        <v>info@careers360.com</v>
      </c>
      <c r="L488" s="6" t="s">
        <v>2876</v>
      </c>
    </row>
    <row r="489" ht="15.75" customHeight="1">
      <c r="A489" s="3">
        <v>493.0</v>
      </c>
      <c r="B489" s="3" t="s">
        <v>2877</v>
      </c>
      <c r="C489" s="3" t="s">
        <v>2878</v>
      </c>
      <c r="D489" s="3" t="s">
        <v>2879</v>
      </c>
      <c r="E489" s="3" t="s">
        <v>2880</v>
      </c>
      <c r="F489" s="3" t="s">
        <v>2881</v>
      </c>
      <c r="G489" s="3" t="s">
        <v>58</v>
      </c>
      <c r="H489" s="4" t="str">
        <f>HYPERLINK("https://schools.org.in/malappuram/32051000117/khmhss-alathiyur.html", "https://schools.org.in/malappuram/32051000117/khmhss-alathiyur.html")</f>
        <v>https://schools.org.in/malappuram/32051000117/khmhss-alathiyur.html</v>
      </c>
      <c r="I489" s="3" t="s">
        <v>2882</v>
      </c>
      <c r="J489" s="3" t="str">
        <f>HYPERLINK("tel:+919495123089", "+919495123089")</f>
        <v>+919495123089</v>
      </c>
      <c r="K489" s="5" t="str">
        <f>HYPERLINK("mailto:nan", "nan")</f>
        <v>nan</v>
      </c>
      <c r="L489" s="6" t="s">
        <v>2883</v>
      </c>
    </row>
    <row r="490" ht="15.75" customHeight="1">
      <c r="A490" s="3">
        <v>494.0</v>
      </c>
      <c r="B490" s="3" t="s">
        <v>2884</v>
      </c>
      <c r="C490" s="3" t="s">
        <v>2885</v>
      </c>
      <c r="D490" s="3" t="s">
        <v>2886</v>
      </c>
      <c r="E490" s="3" t="s">
        <v>2887</v>
      </c>
      <c r="F490" s="3" t="s">
        <v>2888</v>
      </c>
      <c r="G490" s="3" t="s">
        <v>265</v>
      </c>
      <c r="H490" s="4" t="str">
        <f>HYPERLINK("https://www.dcmpresidency.org/", "https://www.dcmpresidency.org/")</f>
        <v>https://www.dcmpresidency.org/</v>
      </c>
      <c r="J490" s="3" t="str">
        <f>HYPERLINK("tel:+919914900483", "+919914900483")</f>
        <v>+919914900483</v>
      </c>
      <c r="K490" s="5" t="str">
        <f>HYPERLINK("mailto:info@dcmschools.com", "info@dcmschools.com")</f>
        <v>info@dcmschools.com</v>
      </c>
      <c r="L490" s="6" t="s">
        <v>2686</v>
      </c>
    </row>
    <row r="491" ht="15.75" customHeight="1">
      <c r="A491" s="3">
        <v>495.0</v>
      </c>
      <c r="B491" s="3" t="s">
        <v>2889</v>
      </c>
      <c r="C491" s="3" t="s">
        <v>2890</v>
      </c>
      <c r="D491" s="3" t="s">
        <v>2891</v>
      </c>
      <c r="E491" s="3" t="s">
        <v>2892</v>
      </c>
      <c r="F491" s="3" t="s">
        <v>2893</v>
      </c>
      <c r="G491" s="3" t="s">
        <v>17</v>
      </c>
      <c r="H491" s="4" t="str">
        <f>HYPERLINK("https://mvmschoolschetpet.com/", "https://mvmschoolschetpet.com/")</f>
        <v>https://mvmschoolschetpet.com/</v>
      </c>
      <c r="I491" s="3" t="s">
        <v>2894</v>
      </c>
      <c r="J491" s="3" t="str">
        <f>HYPERLINK("tel:+914426427088", "+914426427088")</f>
        <v>+914426427088</v>
      </c>
      <c r="K491" s="5" t="str">
        <f>HYPERLINK("mailto:mvmchen@mvmschoolschetpet.com", "mvmchen@mvmschoolschetpet.com")</f>
        <v>mvmchen@mvmschoolschetpet.com</v>
      </c>
      <c r="L491" s="6" t="s">
        <v>2895</v>
      </c>
    </row>
    <row r="492" ht="15.75" customHeight="1">
      <c r="A492" s="3">
        <v>496.0</v>
      </c>
      <c r="B492" s="3" t="s">
        <v>2896</v>
      </c>
      <c r="C492" s="3" t="s">
        <v>2897</v>
      </c>
      <c r="D492" s="3" t="s">
        <v>2898</v>
      </c>
      <c r="E492" s="3" t="s">
        <v>2899</v>
      </c>
      <c r="F492" s="3" t="s">
        <v>2900</v>
      </c>
      <c r="G492" s="3" t="s">
        <v>597</v>
      </c>
      <c r="H492" s="4" t="str">
        <f>HYPERLINK("https://dehradunima.kvs.ac.in/en/", "https://dehradunima.kvs.ac.in/en/")</f>
        <v>https://dehradunima.kvs.ac.in/en/</v>
      </c>
      <c r="J492" s="3" t="str">
        <f>HYPERLINK("tel:+911352773470", "+911352773470")</f>
        <v>+911352773470</v>
      </c>
      <c r="K492" s="5" t="str">
        <f t="shared" ref="K492:K494" si="36">HYPERLINK("mailto:nan", "nan")</f>
        <v>nan</v>
      </c>
      <c r="L492" s="6" t="s">
        <v>2901</v>
      </c>
    </row>
    <row r="493" ht="15.75" customHeight="1">
      <c r="A493" s="3">
        <v>497.0</v>
      </c>
      <c r="B493" s="3" t="s">
        <v>2902</v>
      </c>
      <c r="C493" s="3" t="s">
        <v>2903</v>
      </c>
      <c r="D493" s="3" t="s">
        <v>2904</v>
      </c>
      <c r="E493" s="3" t="s">
        <v>2905</v>
      </c>
      <c r="F493" s="3" t="s">
        <v>2906</v>
      </c>
      <c r="G493" s="3" t="s">
        <v>85</v>
      </c>
      <c r="H493" s="4" t="str">
        <f>HYPERLINK("https://schools.org.in/patna/10280106918/honey-dew-point-school.html", "https://schools.org.in/patna/10280106918/honey-dew-point-school.html")</f>
        <v>https://schools.org.in/patna/10280106918/honey-dew-point-school.html</v>
      </c>
      <c r="I493" s="3" t="s">
        <v>2907</v>
      </c>
      <c r="J493" s="3" t="str">
        <f>HYPERLINK("tel:nan", "nan")</f>
        <v>nan</v>
      </c>
      <c r="K493" s="5" t="str">
        <f t="shared" si="36"/>
        <v>nan</v>
      </c>
      <c r="L493" s="6" t="s">
        <v>2908</v>
      </c>
    </row>
    <row r="494" ht="15.75" customHeight="1">
      <c r="A494" s="3">
        <v>498.0</v>
      </c>
      <c r="B494" s="3" t="s">
        <v>2909</v>
      </c>
      <c r="C494" s="3" t="s">
        <v>2910</v>
      </c>
      <c r="D494" s="3" t="s">
        <v>2911</v>
      </c>
      <c r="E494" s="3" t="s">
        <v>2912</v>
      </c>
      <c r="F494" s="3" t="s">
        <v>2913</v>
      </c>
      <c r="G494" s="3" t="s">
        <v>100</v>
      </c>
      <c r="H494" s="4" t="str">
        <f>HYPERLINK("https://no2delhicantt.kvs.ac.in/", "https://no2delhicantt.kvs.ac.in/")</f>
        <v>https://no2delhicantt.kvs.ac.in/</v>
      </c>
      <c r="I494" s="3" t="s">
        <v>625</v>
      </c>
      <c r="J494" s="3" t="str">
        <f>HYPERLINK("tel:+911126949189", "+911126949189")</f>
        <v>+911126949189</v>
      </c>
      <c r="K494" s="5" t="str">
        <f t="shared" si="36"/>
        <v>nan</v>
      </c>
      <c r="L494" s="6" t="s">
        <v>2914</v>
      </c>
    </row>
    <row r="495" ht="15.75" customHeight="1">
      <c r="A495" s="3">
        <v>499.0</v>
      </c>
      <c r="B495" s="3" t="s">
        <v>2915</v>
      </c>
      <c r="C495" s="3" t="s">
        <v>2916</v>
      </c>
      <c r="D495" s="3" t="s">
        <v>2917</v>
      </c>
      <c r="E495" s="3" t="s">
        <v>2918</v>
      </c>
      <c r="F495" s="3" t="s">
        <v>2919</v>
      </c>
      <c r="G495" s="3" t="s">
        <v>24</v>
      </c>
      <c r="H495" s="4" t="str">
        <f>HYPERLINK("https://heritagexperiential.org/", "https://heritagexperiential.org/")</f>
        <v>https://heritagexperiential.org/</v>
      </c>
      <c r="J495" s="3" t="str">
        <f>HYPERLINK("tel:+911242855124", "+911242855124")</f>
        <v>+911242855124</v>
      </c>
      <c r="K495" s="5" t="str">
        <f>HYPERLINK("mailto:info@ggn.hxls.org", "info@ggn.hxls.org")</f>
        <v>info@ggn.hxls.org</v>
      </c>
      <c r="L495" s="6" t="s">
        <v>2920</v>
      </c>
    </row>
    <row r="496" ht="15.75" customHeight="1">
      <c r="A496" s="3">
        <v>500.0</v>
      </c>
      <c r="B496" s="3" t="s">
        <v>2921</v>
      </c>
      <c r="C496" s="3" t="s">
        <v>2622</v>
      </c>
      <c r="D496" s="3" t="s">
        <v>2922</v>
      </c>
      <c r="E496" s="3" t="s">
        <v>2923</v>
      </c>
      <c r="F496" s="3" t="s">
        <v>2625</v>
      </c>
      <c r="G496" s="3" t="s">
        <v>554</v>
      </c>
      <c r="H496" s="4" t="str">
        <f>HYPERLINK("https://surda.kvs.ac.in/en/", "https://surda.kvs.ac.in/en/")</f>
        <v>https://surda.kvs.ac.in/en/</v>
      </c>
      <c r="I496" s="3" t="s">
        <v>625</v>
      </c>
      <c r="J496" s="3" t="str">
        <f>HYPERLINK("tel:+916585295511", "+916585295511")</f>
        <v>+916585295511</v>
      </c>
      <c r="K496" s="5" t="str">
        <f>HYPERLINK("mailto:nan", "nan")</f>
        <v>nan</v>
      </c>
      <c r="L496" s="6" t="s">
        <v>2924</v>
      </c>
    </row>
    <row r="497" ht="15.75" customHeight="1">
      <c r="A497" s="3">
        <v>501.0</v>
      </c>
      <c r="B497" s="3" t="s">
        <v>2925</v>
      </c>
      <c r="C497" s="3" t="s">
        <v>2926</v>
      </c>
      <c r="D497" s="3" t="s">
        <v>2927</v>
      </c>
      <c r="E497" s="3" t="s">
        <v>2928</v>
      </c>
      <c r="F497" s="3" t="s">
        <v>2929</v>
      </c>
      <c r="G497" s="3" t="s">
        <v>31</v>
      </c>
      <c r="H497" s="4" t="str">
        <f>HYPERLINK("https://www.tvsacademytumkur.com/", "https://www.tvsacademytumkur.com/")</f>
        <v>https://www.tvsacademytumkur.com/</v>
      </c>
      <c r="J497" s="3" t="str">
        <f>HYPERLINK("tel:+918162009035", "+918162009035")</f>
        <v>+918162009035</v>
      </c>
      <c r="K497" s="5" t="str">
        <f>HYPERLINK("mailto:office@tvsatumkur.com", "office@tvsatumkur.com")</f>
        <v>office@tvsatumkur.com</v>
      </c>
      <c r="L497" s="6" t="s">
        <v>2930</v>
      </c>
    </row>
    <row r="498" ht="15.75" customHeight="1">
      <c r="A498" s="3">
        <v>502.0</v>
      </c>
      <c r="B498" s="3" t="s">
        <v>2931</v>
      </c>
      <c r="C498" s="3" t="s">
        <v>27</v>
      </c>
      <c r="D498" s="3" t="s">
        <v>2932</v>
      </c>
      <c r="E498" s="3" t="s">
        <v>2933</v>
      </c>
      <c r="F498" s="3" t="s">
        <v>30</v>
      </c>
      <c r="G498" s="3" t="s">
        <v>31</v>
      </c>
      <c r="H498" s="4" t="str">
        <f>HYPERLINK("https://excelpublicschool.com/", "https://excelpublicschool.com/")</f>
        <v>https://excelpublicschool.com/</v>
      </c>
      <c r="J498" s="3" t="str">
        <f>HYPERLINK("tel:+918212971004", "+918212971004")</f>
        <v>+918212971004</v>
      </c>
      <c r="K498" s="5" t="str">
        <f>HYPERLINK("mailto:eps@excelpublicschool.com", "eps@excelpublicschool.com")</f>
        <v>eps@excelpublicschool.com</v>
      </c>
      <c r="L498" s="6" t="s">
        <v>32</v>
      </c>
    </row>
    <row r="499" ht="15.75" customHeight="1">
      <c r="A499" s="3">
        <v>503.0</v>
      </c>
      <c r="B499" s="3" t="s">
        <v>2934</v>
      </c>
      <c r="C499" s="3" t="s">
        <v>2112</v>
      </c>
      <c r="D499" s="3" t="s">
        <v>2935</v>
      </c>
      <c r="E499" s="3" t="s">
        <v>2936</v>
      </c>
      <c r="F499" s="3" t="s">
        <v>2115</v>
      </c>
      <c r="G499" s="3" t="s">
        <v>58</v>
      </c>
      <c r="H499" s="4" t="str">
        <f>HYPERLINK("https://kairalividyabhavan.com/", "https://kairalividyabhavan.com/")</f>
        <v>https://kairalividyabhavan.com/</v>
      </c>
      <c r="J499" s="3" t="str">
        <f>HYPERLINK("tel:+914722813240", "+914722813240")</f>
        <v>+914722813240</v>
      </c>
      <c r="K499" s="5" t="str">
        <f>HYPERLINK("mailto:nan", "nan")</f>
        <v>nan</v>
      </c>
      <c r="L499" s="6"/>
    </row>
    <row r="500" ht="15.75" customHeight="1">
      <c r="A500" s="3">
        <v>504.0</v>
      </c>
      <c r="B500" s="3" t="s">
        <v>2937</v>
      </c>
      <c r="C500" s="3" t="s">
        <v>2938</v>
      </c>
      <c r="D500" s="3" t="s">
        <v>2939</v>
      </c>
      <c r="E500" s="3" t="s">
        <v>2940</v>
      </c>
      <c r="F500" s="3" t="s">
        <v>2941</v>
      </c>
      <c r="G500" s="3" t="s">
        <v>58</v>
      </c>
      <c r="H500" s="4" t="str">
        <f>HYPERLINK("https://schools.org.in/kasaragod/32010500410/dr-a-g-ghss-kodoth.html", "https://schools.org.in/kasaragod/32010500410/dr-a-g-ghss-kodoth.html")</f>
        <v>https://schools.org.in/kasaragod/32010500410/dr-a-g-ghss-kodoth.html</v>
      </c>
      <c r="I500" s="3" t="s">
        <v>2942</v>
      </c>
      <c r="J500" s="3" t="str">
        <f>HYPERLINK("tel:+912307367762", "+912307367762")</f>
        <v>+912307367762</v>
      </c>
      <c r="K500" s="5" t="str">
        <f>HYPERLINK("mailto:dhsetransfer@kite.kerala.gov.in", "dhsetransfer@kite.kerala.gov.in")</f>
        <v>dhsetransfer@kite.kerala.gov.in</v>
      </c>
      <c r="L500" s="6" t="s">
        <v>2943</v>
      </c>
    </row>
    <row r="501" ht="15.75" customHeight="1">
      <c r="A501" s="3">
        <v>505.0</v>
      </c>
      <c r="B501" s="3" t="s">
        <v>2944</v>
      </c>
      <c r="C501" s="3" t="s">
        <v>2945</v>
      </c>
      <c r="D501" s="3" t="s">
        <v>2946</v>
      </c>
      <c r="E501" s="3" t="s">
        <v>2947</v>
      </c>
      <c r="F501" s="3" t="s">
        <v>2948</v>
      </c>
      <c r="G501" s="3" t="s">
        <v>58</v>
      </c>
      <c r="H501" s="4" t="str">
        <f>HYPERLINK("https://chenneerkara.kvs.ac.in/en/", "https://chenneerkara.kvs.ac.in/en/")</f>
        <v>https://chenneerkara.kvs.ac.in/en/</v>
      </c>
      <c r="J501" s="3" t="str">
        <f>HYPERLINK("tel:+914682256000", "+914682256000")</f>
        <v>+914682256000</v>
      </c>
      <c r="K501" s="5" t="str">
        <f>HYPERLINK("mailto:nan", "nan")</f>
        <v>nan</v>
      </c>
      <c r="L501" s="6" t="s">
        <v>419</v>
      </c>
    </row>
    <row r="502" ht="15.75" customHeight="1">
      <c r="A502" s="3">
        <v>506.0</v>
      </c>
      <c r="B502" s="3" t="s">
        <v>2949</v>
      </c>
      <c r="C502" s="3" t="s">
        <v>2950</v>
      </c>
      <c r="D502" s="3" t="s">
        <v>2951</v>
      </c>
      <c r="E502" s="3" t="s">
        <v>2952</v>
      </c>
      <c r="F502" s="3" t="s">
        <v>2953</v>
      </c>
      <c r="G502" s="3" t="s">
        <v>58</v>
      </c>
      <c r="H502" s="4" t="str">
        <f>HYPERLINK("http://mgmhssthiruvalla.blogspot.com/", "http://mgmhssthiruvalla.blogspot.com/")</f>
        <v>http://mgmhssthiruvalla.blogspot.com/</v>
      </c>
      <c r="I502" s="3" t="s">
        <v>2954</v>
      </c>
      <c r="J502" s="3" t="str">
        <f>HYPERLINK("tel:+914692602425", "+914692602425")</f>
        <v>+914692602425</v>
      </c>
      <c r="K502" s="5" t="str">
        <f>HYPERLINK("mailto:mgmhsstvla44@gmail.com", "mgmhsstvla44@gmail.com")</f>
        <v>mgmhsstvla44@gmail.com</v>
      </c>
      <c r="L502" s="6" t="s">
        <v>2955</v>
      </c>
    </row>
    <row r="503" ht="15.75" customHeight="1">
      <c r="A503" s="3">
        <v>507.0</v>
      </c>
      <c r="B503" s="3" t="s">
        <v>2956</v>
      </c>
      <c r="C503" s="3" t="s">
        <v>2957</v>
      </c>
      <c r="D503" s="3" t="s">
        <v>2958</v>
      </c>
      <c r="E503" s="3" t="s">
        <v>2959</v>
      </c>
      <c r="F503" s="3" t="s">
        <v>2960</v>
      </c>
      <c r="G503" s="3" t="s">
        <v>58</v>
      </c>
      <c r="H503" s="4" t="str">
        <f>HYPERLINK("https://schools.org.in/alappuzha/32110400909/holy-family-hss-cherthala.html", "https://schools.org.in/alappuzha/32110400909/holy-family-hss-cherthala.html")</f>
        <v>https://schools.org.in/alappuzha/32110400909/holy-family-hss-cherthala.html</v>
      </c>
      <c r="I503" s="3" t="s">
        <v>2961</v>
      </c>
      <c r="J503" s="3" t="str">
        <f t="shared" ref="J503:J504" si="37">HYPERLINK("tel:nan", "nan")</f>
        <v>nan</v>
      </c>
      <c r="K503" s="5" t="str">
        <f>HYPERLINK("mailto:nan", "nan")</f>
        <v>nan</v>
      </c>
      <c r="L503" s="6" t="s">
        <v>2962</v>
      </c>
    </row>
    <row r="504" ht="15.75" customHeight="1">
      <c r="A504" s="3">
        <v>508.0</v>
      </c>
      <c r="B504" s="3" t="s">
        <v>2963</v>
      </c>
      <c r="C504" s="3" t="s">
        <v>2964</v>
      </c>
      <c r="D504" s="3" t="s">
        <v>2965</v>
      </c>
      <c r="E504" s="3" t="s">
        <v>2966</v>
      </c>
      <c r="F504" s="3" t="s">
        <v>2967</v>
      </c>
      <c r="G504" s="3" t="s">
        <v>38</v>
      </c>
      <c r="H504" s="4" t="str">
        <f>HYPERLINK("https://alumni.anjumaniislam.org/group/page/100152942/About.dz", "https://alumni.anjumaniislam.org/group/page/100152942/About.dz")</f>
        <v>https://alumni.anjumaniislam.org/group/page/100152942/About.dz</v>
      </c>
      <c r="I504" s="3" t="s">
        <v>2968</v>
      </c>
      <c r="J504" s="3" t="str">
        <f t="shared" si="37"/>
        <v>nan</v>
      </c>
      <c r="K504" s="5" t="str">
        <f>HYPERLINK("mailto:info@anjumaniislam.org", "info@anjumaniislam.org")</f>
        <v>info@anjumaniislam.org</v>
      </c>
      <c r="L504" s="6" t="s">
        <v>2969</v>
      </c>
    </row>
    <row r="505" ht="15.75" customHeight="1">
      <c r="A505" s="3">
        <v>509.0</v>
      </c>
      <c r="B505" s="3" t="s">
        <v>2970</v>
      </c>
      <c r="C505" s="3" t="s">
        <v>2971</v>
      </c>
      <c r="D505" s="3" t="s">
        <v>2972</v>
      </c>
      <c r="E505" s="3" t="s">
        <v>2973</v>
      </c>
      <c r="F505" s="3" t="s">
        <v>2974</v>
      </c>
      <c r="G505" s="3" t="s">
        <v>70</v>
      </c>
      <c r="H505" s="4" t="str">
        <f>HYPERLINK("https://sanddunesschool.com/", "https://sanddunesschool.com/")</f>
        <v>https://sanddunesschool.com/</v>
      </c>
      <c r="I505" s="3" t="s">
        <v>2975</v>
      </c>
      <c r="J505" s="3" t="str">
        <f>HYPERLINK("tel:+919549111186", "+919549111186")</f>
        <v>+919549111186</v>
      </c>
      <c r="K505" s="5" t="str">
        <f>HYPERLINK("mailto:info@sanddunesschool.com", "info@sanddunesschool.com")</f>
        <v>info@sanddunesschool.com</v>
      </c>
      <c r="L505" s="6"/>
    </row>
    <row r="506" ht="15.75" customHeight="1">
      <c r="A506" s="3">
        <v>510.0</v>
      </c>
      <c r="B506" s="3" t="s">
        <v>2976</v>
      </c>
      <c r="C506" s="3" t="s">
        <v>2977</v>
      </c>
      <c r="D506" s="3" t="s">
        <v>2978</v>
      </c>
      <c r="E506" s="3" t="s">
        <v>2979</v>
      </c>
      <c r="F506" s="3" t="s">
        <v>2980</v>
      </c>
      <c r="G506" s="3" t="s">
        <v>17</v>
      </c>
      <c r="H506" s="4" t="str">
        <f>HYPERLINK("https://schools.org.in/tiruchirappalli/33150100402/ghss-thiruvalarsolai.html", "https://schools.org.in/tiruchirappalli/33150100402/ghss-thiruvalarsolai.html")</f>
        <v>https://schools.org.in/tiruchirappalli/33150100402/ghss-thiruvalarsolai.html</v>
      </c>
      <c r="I506" s="3" t="s">
        <v>2981</v>
      </c>
      <c r="J506" s="3" t="str">
        <f>HYPERLINK("tel:+914425672574", "+914425672574")</f>
        <v>+914425672574</v>
      </c>
      <c r="K506" s="5" t="str">
        <f>HYPERLINK("mailto:schsec@tn.gov.in", "schsec@tn.gov.in")</f>
        <v>schsec@tn.gov.in</v>
      </c>
      <c r="L506" s="6" t="s">
        <v>2982</v>
      </c>
    </row>
    <row r="507" ht="15.75" customHeight="1">
      <c r="A507" s="3">
        <v>511.0</v>
      </c>
      <c r="B507" s="3" t="s">
        <v>2983</v>
      </c>
      <c r="C507" s="3" t="s">
        <v>2984</v>
      </c>
      <c r="D507" s="3" t="s">
        <v>2985</v>
      </c>
      <c r="E507" s="3" t="s">
        <v>2986</v>
      </c>
      <c r="F507" s="3" t="s">
        <v>2987</v>
      </c>
      <c r="G507" s="3" t="s">
        <v>17</v>
      </c>
      <c r="H507" s="4" t="str">
        <f>HYPERLINK("https://schools.org.in/dharmapuri/33050500902/ghss-begarahalli.html", "https://schools.org.in/dharmapuri/33050500902/ghss-begarahalli.html")</f>
        <v>https://schools.org.in/dharmapuri/33050500902/ghss-begarahalli.html</v>
      </c>
      <c r="I507" s="3" t="s">
        <v>2988</v>
      </c>
      <c r="J507" s="3" t="str">
        <f>HYPERLINK("tel:nan", "nan")</f>
        <v>nan</v>
      </c>
      <c r="K507" s="5" t="str">
        <f>HYPERLINK("mailto:nan", "nan")</f>
        <v>nan</v>
      </c>
      <c r="L507" s="6" t="s">
        <v>2989</v>
      </c>
    </row>
    <row r="508" ht="15.75" customHeight="1">
      <c r="A508" s="3">
        <v>512.0</v>
      </c>
      <c r="B508" s="3" t="s">
        <v>2990</v>
      </c>
      <c r="C508" s="3" t="s">
        <v>2991</v>
      </c>
      <c r="D508" s="3" t="s">
        <v>2992</v>
      </c>
      <c r="E508" s="3" t="s">
        <v>2993</v>
      </c>
      <c r="F508" s="3" t="s">
        <v>2994</v>
      </c>
      <c r="G508" s="3" t="s">
        <v>17</v>
      </c>
      <c r="H508" s="4" t="str">
        <f>HYPERLINK("https://schools.org.in/thoothukkudi/33281105603/govt-hss-sivagnanapuram.html", "https://schools.org.in/thoothukkudi/33281105603/govt-hss-sivagnanapuram.html")</f>
        <v>https://schools.org.in/thoothukkudi/33281105603/govt-hss-sivagnanapuram.html</v>
      </c>
      <c r="I508" s="3" t="s">
        <v>2995</v>
      </c>
      <c r="J508" s="3" t="str">
        <f>HYPERLINK("tel:+919840998626", "+919840998626")</f>
        <v>+919840998626</v>
      </c>
      <c r="K508" s="5" t="str">
        <f>HYPERLINK("mailto:info@helpkidstrust.org", "info@helpkidstrust.org")</f>
        <v>info@helpkidstrust.org</v>
      </c>
      <c r="L508" s="6" t="s">
        <v>2996</v>
      </c>
    </row>
    <row r="509" ht="15.75" customHeight="1">
      <c r="A509" s="3">
        <v>513.0</v>
      </c>
      <c r="B509" s="3" t="s">
        <v>2997</v>
      </c>
      <c r="C509" s="3" t="s">
        <v>2998</v>
      </c>
      <c r="D509" s="3" t="s">
        <v>2999</v>
      </c>
      <c r="E509" s="3" t="s">
        <v>3000</v>
      </c>
      <c r="F509" s="3" t="s">
        <v>3001</v>
      </c>
      <c r="G509" s="3" t="s">
        <v>130</v>
      </c>
      <c r="H509" s="4" t="str">
        <f>HYPERLINK("https://www.msrschool.in/", "https://www.msrschool.in/")</f>
        <v>https://www.msrschool.in/</v>
      </c>
      <c r="J509" s="3" t="str">
        <f>HYPERLINK("tel:+919505159997", "+919505159997")</f>
        <v>+919505159997</v>
      </c>
      <c r="K509" s="5" t="str">
        <f>HYPERLINK("mailto:msrcentralschool@gmail.com", "msrcentralschool@gmail.com")</f>
        <v>msrcentralschool@gmail.com</v>
      </c>
      <c r="L509" s="6" t="s">
        <v>3002</v>
      </c>
    </row>
    <row r="510" ht="15.75" customHeight="1">
      <c r="A510" s="3">
        <v>514.0</v>
      </c>
      <c r="B510" s="3" t="s">
        <v>3003</v>
      </c>
      <c r="C510" s="3" t="s">
        <v>1876</v>
      </c>
      <c r="D510" s="3" t="s">
        <v>3004</v>
      </c>
      <c r="E510" s="3" t="s">
        <v>3005</v>
      </c>
      <c r="F510" s="3" t="s">
        <v>1879</v>
      </c>
      <c r="G510" s="3" t="s">
        <v>138</v>
      </c>
      <c r="H510" s="4" t="str">
        <f>HYPERLINK("https://bbpsnoida.balbharati.org/", "https://bbpsnoida.balbharati.org/")</f>
        <v>https://bbpsnoida.balbharati.org/</v>
      </c>
      <c r="J510" s="3" t="str">
        <f>HYPERLINK("tel:+917290014141", "+917290014141")</f>
        <v>+917290014141</v>
      </c>
      <c r="K510" s="5" t="str">
        <f>HYPERLINK("mailto:bbpsip@gmail.com", "bbpsip@gmail.com")</f>
        <v>bbpsip@gmail.com</v>
      </c>
      <c r="L510" s="6"/>
    </row>
    <row r="511" ht="15.75" customHeight="1">
      <c r="A511" s="3">
        <v>515.0</v>
      </c>
      <c r="B511" s="3" t="s">
        <v>3006</v>
      </c>
      <c r="C511" s="3" t="s">
        <v>3007</v>
      </c>
      <c r="D511" s="3" t="s">
        <v>3008</v>
      </c>
      <c r="E511" s="3" t="s">
        <v>3009</v>
      </c>
      <c r="F511" s="3" t="s">
        <v>3010</v>
      </c>
      <c r="G511" s="3" t="s">
        <v>272</v>
      </c>
      <c r="H511" s="4" t="str">
        <f>HYPERLINK("https://no2srivijayanagar.kvs.ac.in/en/", "https://no2srivijayanagar.kvs.ac.in/en/")</f>
        <v>https://no2srivijayanagar.kvs.ac.in/en/</v>
      </c>
      <c r="I511" s="3" t="s">
        <v>3011</v>
      </c>
      <c r="J511" s="3" t="str">
        <f>HYPERLINK("tel:+918912558038", "+918912558038")</f>
        <v>+918912558038</v>
      </c>
      <c r="K511" s="5" t="str">
        <f>HYPERLINK("mailto:info@careers360.com", "info@careers360.com")</f>
        <v>info@careers360.com</v>
      </c>
      <c r="L511" s="6" t="s">
        <v>3012</v>
      </c>
    </row>
    <row r="512" ht="15.75" customHeight="1">
      <c r="A512" s="3">
        <v>516.0</v>
      </c>
      <c r="B512" s="3" t="s">
        <v>3013</v>
      </c>
      <c r="C512" s="3" t="s">
        <v>3014</v>
      </c>
      <c r="D512" s="3" t="s">
        <v>3015</v>
      </c>
      <c r="E512" s="3" t="s">
        <v>3016</v>
      </c>
      <c r="F512" s="3" t="s">
        <v>3017</v>
      </c>
      <c r="G512" s="3" t="s">
        <v>272</v>
      </c>
      <c r="H512" s="4" t="str">
        <f>HYPERLINK("https://spsnellore.ap.gov.in/public-utility/28193101209-zphs-manubolu-manubolu-mandal/", "https://spsnellore.ap.gov.in/public-utility/28193101209-zphs-manubolu-manubolu-mandal/")</f>
        <v>https://spsnellore.ap.gov.in/public-utility/28193101209-zphs-manubolu-manubolu-mandal/</v>
      </c>
      <c r="I512" s="3" t="s">
        <v>3018</v>
      </c>
      <c r="J512" s="3" t="str">
        <f>HYPERLINK("tel:+5954483736", "+5954483736")</f>
        <v>+5954483736</v>
      </c>
      <c r="K512" s="5" t="str">
        <f>HYPERLINK("mailto:nan", "nan")</f>
        <v>nan</v>
      </c>
      <c r="L512" s="6" t="s">
        <v>3019</v>
      </c>
    </row>
    <row r="513" ht="15.75" customHeight="1">
      <c r="A513" s="3">
        <v>517.0</v>
      </c>
      <c r="B513" s="3" t="s">
        <v>3020</v>
      </c>
      <c r="C513" s="3" t="s">
        <v>3021</v>
      </c>
      <c r="D513" s="3" t="s">
        <v>3022</v>
      </c>
      <c r="E513" s="3" t="s">
        <v>3023</v>
      </c>
      <c r="F513" s="3" t="s">
        <v>3024</v>
      </c>
      <c r="G513" s="3" t="s">
        <v>272</v>
      </c>
      <c r="H513" s="4" t="str">
        <f>HYPERLINK("https://apbragcet.apcfss.in/", "https://apbragcet.apcfss.in/")</f>
        <v>https://apbragcet.apcfss.in/</v>
      </c>
      <c r="I513" s="3" t="s">
        <v>3025</v>
      </c>
      <c r="J513" s="3" t="str">
        <f>HYPERLINK("tel:+918977935211", "+918977935211")</f>
        <v>+918977935211</v>
      </c>
      <c r="K513" s="5" t="str">
        <f>HYPERLINK("mailto:egoalv@nic.in", "egoalv@nic.in")</f>
        <v>egoalv@nic.in</v>
      </c>
      <c r="L513" s="6" t="s">
        <v>3026</v>
      </c>
    </row>
    <row r="514" ht="15.75" customHeight="1">
      <c r="A514" s="3">
        <v>518.0</v>
      </c>
      <c r="B514" s="3" t="s">
        <v>3027</v>
      </c>
      <c r="C514" s="3" t="s">
        <v>3028</v>
      </c>
      <c r="D514" s="3" t="s">
        <v>3029</v>
      </c>
      <c r="E514" s="3" t="s">
        <v>3030</v>
      </c>
      <c r="F514" s="3" t="s">
        <v>3031</v>
      </c>
      <c r="G514" s="3" t="s">
        <v>100</v>
      </c>
      <c r="H514" s="4" t="str">
        <f>HYPERLINK("https://khicharipur.kvs.ac.in/en/", "https://khicharipur.kvs.ac.in/en/")</f>
        <v>https://khicharipur.kvs.ac.in/en/</v>
      </c>
      <c r="J514" s="3" t="str">
        <f>HYPERLINK("tel:+911121200604", "+911121200604")</f>
        <v>+911121200604</v>
      </c>
      <c r="K514" s="5" t="str">
        <f t="shared" ref="K514:K516" si="38">HYPERLINK("mailto:nan", "nan")</f>
        <v>nan</v>
      </c>
      <c r="L514" s="6" t="s">
        <v>3032</v>
      </c>
    </row>
    <row r="515" ht="15.75" customHeight="1">
      <c r="A515" s="3">
        <v>519.0</v>
      </c>
      <c r="B515" s="3" t="s">
        <v>3033</v>
      </c>
      <c r="C515" s="3" t="s">
        <v>3034</v>
      </c>
      <c r="D515" s="3" t="s">
        <v>3035</v>
      </c>
      <c r="E515" s="3" t="s">
        <v>3036</v>
      </c>
      <c r="F515" s="3" t="s">
        <v>3037</v>
      </c>
      <c r="G515" s="3" t="s">
        <v>58</v>
      </c>
      <c r="H515" s="4" t="str">
        <f>HYPERLINK("nan", "nan")</f>
        <v>nan</v>
      </c>
      <c r="J515" s="3" t="str">
        <f t="shared" ref="J515:J516" si="39">HYPERLINK("tel:nan", "nan")</f>
        <v>nan</v>
      </c>
      <c r="K515" s="5" t="str">
        <f t="shared" si="38"/>
        <v>nan</v>
      </c>
      <c r="L515" s="6"/>
    </row>
    <row r="516" ht="15.75" customHeight="1">
      <c r="A516" s="3">
        <v>520.0</v>
      </c>
      <c r="B516" s="3" t="s">
        <v>3038</v>
      </c>
      <c r="C516" s="3" t="s">
        <v>3039</v>
      </c>
      <c r="D516" s="3" t="s">
        <v>3040</v>
      </c>
      <c r="E516" s="3" t="s">
        <v>3041</v>
      </c>
      <c r="F516" s="3" t="s">
        <v>3042</v>
      </c>
      <c r="G516" s="3" t="s">
        <v>58</v>
      </c>
      <c r="H516" s="4" t="str">
        <f>HYPERLINK("https://schools.org.in/thrissur/32071500708/snvups-thalikulam.html", "https://schools.org.in/thrissur/32071500708/snvups-thalikulam.html")</f>
        <v>https://schools.org.in/thrissur/32071500708/snvups-thalikulam.html</v>
      </c>
      <c r="I516" s="3" t="s">
        <v>3043</v>
      </c>
      <c r="J516" s="3" t="str">
        <f t="shared" si="39"/>
        <v>nan</v>
      </c>
      <c r="K516" s="5" t="str">
        <f t="shared" si="38"/>
        <v>nan</v>
      </c>
      <c r="L516" s="6" t="s">
        <v>3044</v>
      </c>
    </row>
    <row r="517" ht="15.75" customHeight="1">
      <c r="A517" s="3">
        <v>521.0</v>
      </c>
      <c r="B517" s="3" t="s">
        <v>3045</v>
      </c>
      <c r="C517" s="3" t="s">
        <v>3046</v>
      </c>
      <c r="D517" s="3" t="s">
        <v>3047</v>
      </c>
      <c r="E517" s="3" t="s">
        <v>3048</v>
      </c>
      <c r="F517" s="3" t="s">
        <v>3049</v>
      </c>
      <c r="G517" s="3" t="s">
        <v>58</v>
      </c>
      <c r="H517" s="4" t="str">
        <f>HYPERLINK("https://saraswathividyanikethanschool.com/", "https://saraswathividyanikethanschool.com/")</f>
        <v>https://saraswathividyanikethanschool.com/</v>
      </c>
      <c r="I517" s="3" t="s">
        <v>3050</v>
      </c>
      <c r="J517" s="3" t="str">
        <f>HYPERLINK("tel:+917909192520", "+917909192520")</f>
        <v>+917909192520</v>
      </c>
      <c r="K517" s="5" t="str">
        <f>HYPERLINK("mailto:svncschool@yahoo.co.in", "svncschool@yahoo.co.in")</f>
        <v>svncschool@yahoo.co.in</v>
      </c>
      <c r="L517" s="6" t="s">
        <v>3051</v>
      </c>
    </row>
    <row r="518" ht="15.75" customHeight="1">
      <c r="A518" s="3">
        <v>522.0</v>
      </c>
      <c r="B518" s="3" t="s">
        <v>3052</v>
      </c>
      <c r="C518" s="3" t="s">
        <v>34</v>
      </c>
      <c r="D518" s="3" t="s">
        <v>3053</v>
      </c>
      <c r="E518" s="3" t="s">
        <v>3054</v>
      </c>
      <c r="F518" s="3" t="s">
        <v>37</v>
      </c>
      <c r="G518" s="3" t="s">
        <v>38</v>
      </c>
      <c r="H518" s="4" t="str">
        <f>HYPERLINK("https://www.justdial.com/Nashik/Vainateya-Vidyalaya-Jr-College-Of-Science-Niphad/0253PX253-X253-250805135625-Z7X5_BZDET", "https://www.justdial.com/Nashik/Vainateya-Vidyalaya-Jr-College-Of-Science-Niphad/0253PX253-X253-250805135625-Z7X5_BZDET")</f>
        <v>https://www.justdial.com/Nashik/Vainateya-Vidyalaya-Jr-College-Of-Science-Niphad/0253PX253-X253-250805135625-Z7X5_BZDET</v>
      </c>
      <c r="J518" s="3" t="str">
        <f>HYPERLINK("tel:+918401071261", "+918401071261")</f>
        <v>+918401071261</v>
      </c>
      <c r="K518" s="5" t="str">
        <f>HYPERLINK("mailto:nan", "nan")</f>
        <v>nan</v>
      </c>
      <c r="L518" s="6"/>
    </row>
    <row r="519" ht="15.75" customHeight="1">
      <c r="A519" s="3">
        <v>523.0</v>
      </c>
      <c r="B519" s="3" t="s">
        <v>3055</v>
      </c>
      <c r="C519" s="3" t="s">
        <v>3056</v>
      </c>
      <c r="D519" s="3" t="s">
        <v>3057</v>
      </c>
      <c r="E519" s="3" t="s">
        <v>3058</v>
      </c>
      <c r="F519" s="3" t="s">
        <v>3059</v>
      </c>
      <c r="G519" s="3" t="s">
        <v>38</v>
      </c>
      <c r="H519" s="4" t="str">
        <f>HYPERLINK("https://somalwarnikalas.org/", "https://somalwarnikalas.org/")</f>
        <v>https://somalwarnikalas.org/</v>
      </c>
      <c r="J519" s="3" t="str">
        <f>HYPERLINK("tel:+917122282220", "+917122282220")</f>
        <v>+917122282220</v>
      </c>
      <c r="K519" s="5" t="str">
        <f>HYPERLINK("mailto:somalwarschool.nikalas@gmail.com", "somalwarschool.nikalas@gmail.com")</f>
        <v>somalwarschool.nikalas@gmail.com</v>
      </c>
      <c r="L519" s="6" t="s">
        <v>3060</v>
      </c>
    </row>
    <row r="520" ht="15.75" customHeight="1">
      <c r="A520" s="3">
        <v>524.0</v>
      </c>
      <c r="B520" s="3" t="s">
        <v>3061</v>
      </c>
      <c r="C520" s="3" t="s">
        <v>3062</v>
      </c>
      <c r="D520" s="3" t="s">
        <v>3063</v>
      </c>
      <c r="E520" s="3" t="s">
        <v>3064</v>
      </c>
      <c r="F520" s="3" t="s">
        <v>3065</v>
      </c>
      <c r="G520" s="3" t="s">
        <v>17</v>
      </c>
      <c r="H520" s="4" t="str">
        <f>HYPERLINK("https://www.hinduvidyalaya.org/622-2/", "https://www.hinduvidyalaya.org/622-2/")</f>
        <v>https://www.hinduvidyalaya.org/622-2/</v>
      </c>
      <c r="I520" s="3" t="s">
        <v>3066</v>
      </c>
      <c r="J520" s="3" t="str">
        <f>HYPERLINK("tel:+914652272575", "+914652272575")</f>
        <v>+914652272575</v>
      </c>
      <c r="K520" s="5" t="str">
        <f t="shared" ref="K520:K522" si="40">HYPERLINK("mailto:nan", "nan")</f>
        <v>nan</v>
      </c>
      <c r="L520" s="6" t="s">
        <v>217</v>
      </c>
    </row>
    <row r="521" ht="15.75" customHeight="1">
      <c r="A521" s="3">
        <v>525.0</v>
      </c>
      <c r="B521" s="3" t="s">
        <v>3067</v>
      </c>
      <c r="C521" s="3" t="s">
        <v>3068</v>
      </c>
      <c r="D521" s="3" t="s">
        <v>3069</v>
      </c>
      <c r="E521" s="3" t="s">
        <v>3070</v>
      </c>
      <c r="F521" s="3" t="s">
        <v>3071</v>
      </c>
      <c r="G521" s="3" t="s">
        <v>130</v>
      </c>
      <c r="H521" s="4" t="str">
        <f>HYPERLINK("https://medak.telangana.gov.in/public-utility/zphs-nagsanpally/", "https://medak.telangana.gov.in/public-utility/zphs-nagsanpally/")</f>
        <v>https://medak.telangana.gov.in/public-utility/zphs-nagsanpally/</v>
      </c>
      <c r="I521" s="3" t="s">
        <v>3072</v>
      </c>
      <c r="J521" s="3" t="str">
        <f>HYPERLINK("tel:+918309238897", "+918309238897")</f>
        <v>+918309238897</v>
      </c>
      <c r="K521" s="5" t="str">
        <f t="shared" si="40"/>
        <v>nan</v>
      </c>
      <c r="L521" s="6" t="s">
        <v>3073</v>
      </c>
    </row>
    <row r="522" ht="15.75" customHeight="1">
      <c r="A522" s="3">
        <v>526.0</v>
      </c>
      <c r="B522" s="3" t="s">
        <v>3074</v>
      </c>
      <c r="C522" s="3" t="s">
        <v>3075</v>
      </c>
      <c r="D522" s="3" t="s">
        <v>3076</v>
      </c>
      <c r="E522" s="3" t="s">
        <v>3077</v>
      </c>
      <c r="F522" s="3" t="s">
        <v>3078</v>
      </c>
      <c r="G522" s="3" t="s">
        <v>3079</v>
      </c>
      <c r="H522" s="4" t="str">
        <f>HYPERLINK("https://kavaratti.kvs.ac.in/en/", "https://kavaratti.kvs.ac.in/en/")</f>
        <v>https://kavaratti.kvs.ac.in/en/</v>
      </c>
      <c r="J522" s="3" t="str">
        <f>HYPERLINK("tel:+914896263580", "+914896263580")</f>
        <v>+914896263580</v>
      </c>
      <c r="K522" s="5" t="str">
        <f t="shared" si="40"/>
        <v>nan</v>
      </c>
      <c r="L522" s="6" t="s">
        <v>3080</v>
      </c>
    </row>
    <row r="523" ht="15.75" customHeight="1">
      <c r="A523" s="3">
        <v>527.0</v>
      </c>
      <c r="B523" s="3" t="s">
        <v>3081</v>
      </c>
      <c r="C523" s="3" t="s">
        <v>1653</v>
      </c>
      <c r="D523" s="3" t="s">
        <v>3082</v>
      </c>
      <c r="E523" s="3" t="s">
        <v>3083</v>
      </c>
      <c r="F523" s="3" t="s">
        <v>1656</v>
      </c>
      <c r="G523" s="3" t="s">
        <v>100</v>
      </c>
      <c r="H523" s="4" t="str">
        <f>HYPERLINK("https://www.mothersglobal.in/", "https://www.mothersglobal.in/")</f>
        <v>https://www.mothersglobal.in/</v>
      </c>
      <c r="J523" s="3" t="str">
        <f>HYPERLINK("tel:+911140500737", "+911140500737")</f>
        <v>+911140500737</v>
      </c>
      <c r="K523" s="5" t="str">
        <f>HYPERLINK("mailto:info@mothersglobal.in", "info@mothersglobal.in")</f>
        <v>info@mothersglobal.in</v>
      </c>
      <c r="L523" s="6" t="s">
        <v>3084</v>
      </c>
    </row>
    <row r="524" ht="15.75" customHeight="1">
      <c r="A524" s="3">
        <v>528.0</v>
      </c>
      <c r="B524" s="3" t="s">
        <v>3085</v>
      </c>
      <c r="C524" s="3" t="s">
        <v>3086</v>
      </c>
      <c r="D524" s="3" t="s">
        <v>3087</v>
      </c>
      <c r="E524" s="3" t="s">
        <v>3088</v>
      </c>
      <c r="F524" s="3" t="s">
        <v>3089</v>
      </c>
      <c r="G524" s="3" t="s">
        <v>51</v>
      </c>
      <c r="H524" s="4" t="str">
        <f>HYPERLINK("https://schools.org.in/mandi/02050602003/gsss-bhangrotu.html", "https://schools.org.in/mandi/02050602003/gsss-bhangrotu.html")</f>
        <v>https://schools.org.in/mandi/02050602003/gsss-bhangrotu.html</v>
      </c>
      <c r="I524" s="3" t="s">
        <v>3090</v>
      </c>
      <c r="J524" s="3" t="str">
        <f>HYPERLINK("tel:+912050602003", "+912050602003")</f>
        <v>+912050602003</v>
      </c>
      <c r="K524" s="5" t="str">
        <f t="shared" ref="K524:K526" si="41">HYPERLINK("mailto:nan", "nan")</f>
        <v>nan</v>
      </c>
      <c r="L524" s="6" t="s">
        <v>3091</v>
      </c>
    </row>
    <row r="525" ht="15.75" customHeight="1">
      <c r="A525" s="3">
        <v>529.0</v>
      </c>
      <c r="B525" s="3" t="s">
        <v>3092</v>
      </c>
      <c r="C525" s="3" t="s">
        <v>3093</v>
      </c>
      <c r="D525" s="3" t="s">
        <v>3094</v>
      </c>
      <c r="E525" s="3" t="s">
        <v>3095</v>
      </c>
      <c r="F525" s="3" t="s">
        <v>3096</v>
      </c>
      <c r="G525" s="3" t="s">
        <v>554</v>
      </c>
      <c r="H525" s="4" t="str">
        <f>HYPERLINK("https://tatanagar.kvs.ac.in/", "https://tatanagar.kvs.ac.in/")</f>
        <v>https://tatanagar.kvs.ac.in/</v>
      </c>
      <c r="I525" s="3" t="s">
        <v>625</v>
      </c>
      <c r="J525" s="3" t="str">
        <f>HYPERLINK("tel:+916572296011", "+916572296011")</f>
        <v>+916572296011</v>
      </c>
      <c r="K525" s="5" t="str">
        <f t="shared" si="41"/>
        <v>nan</v>
      </c>
      <c r="L525" s="6" t="s">
        <v>2924</v>
      </c>
    </row>
    <row r="526" ht="15.75" customHeight="1">
      <c r="A526" s="3">
        <v>530.0</v>
      </c>
      <c r="B526" s="3" t="s">
        <v>3097</v>
      </c>
      <c r="C526" s="3" t="s">
        <v>1853</v>
      </c>
      <c r="D526" s="3" t="s">
        <v>3098</v>
      </c>
      <c r="E526" s="3" t="s">
        <v>3098</v>
      </c>
      <c r="F526" s="3" t="s">
        <v>1856</v>
      </c>
      <c r="G526" s="3" t="s">
        <v>58</v>
      </c>
      <c r="H526" s="4" t="str">
        <f>HYPERLINK("https://schools.org.in/alappuzha/32110400201/mannancherry-govt-hs.html", "https://schools.org.in/alappuzha/32110400201/mannancherry-govt-hs.html")</f>
        <v>https://schools.org.in/alappuzha/32110400201/mannancherry-govt-hs.html</v>
      </c>
      <c r="I526" s="3" t="s">
        <v>1857</v>
      </c>
      <c r="J526" s="3" t="str">
        <f>HYPERLINK("tel:+917736306065", "+917736306065")</f>
        <v>+917736306065</v>
      </c>
      <c r="K526" s="5" t="str">
        <f t="shared" si="41"/>
        <v>nan</v>
      </c>
      <c r="L526" s="6" t="s">
        <v>1858</v>
      </c>
    </row>
    <row r="527" ht="15.75" customHeight="1">
      <c r="A527" s="3">
        <v>531.0</v>
      </c>
      <c r="B527" s="3" t="s">
        <v>3099</v>
      </c>
      <c r="C527" s="3" t="s">
        <v>3100</v>
      </c>
      <c r="D527" s="3" t="s">
        <v>3101</v>
      </c>
      <c r="E527" s="3" t="s">
        <v>3102</v>
      </c>
      <c r="F527" s="3" t="s">
        <v>3103</v>
      </c>
      <c r="G527" s="3" t="s">
        <v>356</v>
      </c>
      <c r="H527" s="4" t="str">
        <f>HYPERLINK("https://wisdomtreebbsr.com/", "https://wisdomtreebbsr.com/")</f>
        <v>https://wisdomtreebbsr.com/</v>
      </c>
      <c r="I527" s="3" t="s">
        <v>3104</v>
      </c>
      <c r="J527" s="3" t="str">
        <f>HYPERLINK("tel:+919439070000", "+919439070000")</f>
        <v>+919439070000</v>
      </c>
      <c r="K527" s="5" t="str">
        <f>HYPERLINK("mailto:info@wisdomtreebbsr.com", "info@wisdomtreebbsr.com")</f>
        <v>info@wisdomtreebbsr.com</v>
      </c>
      <c r="L527" s="6" t="s">
        <v>3105</v>
      </c>
    </row>
    <row r="528" ht="15.75" customHeight="1">
      <c r="A528" s="3">
        <v>532.0</v>
      </c>
      <c r="B528" s="3" t="s">
        <v>3106</v>
      </c>
      <c r="C528" s="3" t="s">
        <v>3107</v>
      </c>
      <c r="D528" s="3" t="s">
        <v>3108</v>
      </c>
      <c r="E528" s="3" t="s">
        <v>3109</v>
      </c>
      <c r="F528" s="3" t="s">
        <v>3110</v>
      </c>
      <c r="G528" s="3" t="s">
        <v>17</v>
      </c>
      <c r="H528" s="4" t="str">
        <f>HYPERLINK("https://aim.gov.in/pdf/Final-List-Top-1000-teams.pdf", "https://aim.gov.in/pdf/Final-List-Top-1000-teams.pdf")</f>
        <v>https://aim.gov.in/pdf/Final-List-Top-1000-teams.pdf</v>
      </c>
      <c r="J528" s="3" t="str">
        <f>HYPERLINK("tel:nan", "nan")</f>
        <v>nan</v>
      </c>
      <c r="K528" s="5" t="str">
        <f>HYPERLINK("mailto:hello@scribd.com", "hello@scribd.com")</f>
        <v>hello@scribd.com</v>
      </c>
      <c r="L528" s="6"/>
    </row>
    <row r="529" ht="15.75" customHeight="1">
      <c r="A529" s="3">
        <v>533.0</v>
      </c>
      <c r="B529" s="3" t="s">
        <v>3111</v>
      </c>
      <c r="C529" s="3" t="s">
        <v>3062</v>
      </c>
      <c r="D529" s="3" t="s">
        <v>3112</v>
      </c>
      <c r="E529" s="3" t="s">
        <v>3113</v>
      </c>
      <c r="F529" s="3" t="s">
        <v>3065</v>
      </c>
      <c r="G529" s="3" t="s">
        <v>17</v>
      </c>
      <c r="H529" s="4" t="str">
        <f>HYPERLINK("https://www.hinduvidyalaya.org/622-2/", "https://www.hinduvidyalaya.org/622-2/")</f>
        <v>https://www.hinduvidyalaya.org/622-2/</v>
      </c>
      <c r="I529" s="3" t="s">
        <v>3066</v>
      </c>
      <c r="J529" s="3" t="str">
        <f>HYPERLINK("tel:+914652272575", "+914652272575")</f>
        <v>+914652272575</v>
      </c>
      <c r="K529" s="5" t="str">
        <f>HYPERLINK("mailto:nan", "nan")</f>
        <v>nan</v>
      </c>
      <c r="L529" s="6" t="s">
        <v>217</v>
      </c>
    </row>
    <row r="530" ht="15.75" customHeight="1">
      <c r="A530" s="3">
        <v>534.0</v>
      </c>
      <c r="B530" s="3" t="s">
        <v>3114</v>
      </c>
      <c r="C530" s="3" t="s">
        <v>3115</v>
      </c>
      <c r="D530" s="3" t="s">
        <v>3116</v>
      </c>
      <c r="E530" s="3" t="s">
        <v>3117</v>
      </c>
      <c r="F530" s="3" t="s">
        <v>3118</v>
      </c>
      <c r="G530" s="3" t="s">
        <v>17</v>
      </c>
      <c r="H530" s="4" t="str">
        <f>HYPERLINK("https://www.yuvabharathi.in/", "https://www.yuvabharathi.in/")</f>
        <v>https://www.yuvabharathi.in/</v>
      </c>
      <c r="I530" s="3" t="s">
        <v>3119</v>
      </c>
      <c r="J530" s="3" t="str">
        <f>HYPERLINK("tel:+914224208105", "+914224208105")</f>
        <v>+914224208105</v>
      </c>
      <c r="K530" s="5" t="str">
        <f>HYPERLINK("mailto:info@yuvabharathi.in", "info@yuvabharathi.in")</f>
        <v>info@yuvabharathi.in</v>
      </c>
      <c r="L530" s="6" t="s">
        <v>3120</v>
      </c>
    </row>
    <row r="531" ht="15.75" customHeight="1">
      <c r="A531" s="3">
        <v>535.0</v>
      </c>
      <c r="B531" s="3" t="s">
        <v>3121</v>
      </c>
      <c r="C531" s="3" t="s">
        <v>3122</v>
      </c>
      <c r="D531" s="3" t="s">
        <v>3123</v>
      </c>
      <c r="E531" s="3" t="s">
        <v>3124</v>
      </c>
      <c r="F531" s="3" t="s">
        <v>3125</v>
      </c>
      <c r="G531" s="3" t="s">
        <v>130</v>
      </c>
      <c r="H531" s="4" t="str">
        <f>HYPERLINK("https://schools.org.in/karimnagar/36030700903/zphs-anthergoam.html", "https://schools.org.in/karimnagar/36030700903/zphs-anthergoam.html")</f>
        <v>https://schools.org.in/karimnagar/36030700903/zphs-anthergoam.html</v>
      </c>
      <c r="I531" s="3" t="s">
        <v>3126</v>
      </c>
      <c r="J531" s="3" t="str">
        <f>HYPERLINK("tel:+9118005728980", "+9118005728980")</f>
        <v>+9118005728980</v>
      </c>
      <c r="K531" s="5" t="str">
        <f>HYPERLINK("mailto:dro-srd-ts@gov.in", "dro-srd-ts@gov.in")</f>
        <v>dro-srd-ts@gov.in</v>
      </c>
      <c r="L531" s="6" t="s">
        <v>3127</v>
      </c>
    </row>
    <row r="532" ht="15.75" customHeight="1">
      <c r="A532" s="3">
        <v>536.0</v>
      </c>
      <c r="B532" s="3" t="s">
        <v>3128</v>
      </c>
      <c r="C532" s="3" t="s">
        <v>3129</v>
      </c>
      <c r="D532" s="3" t="s">
        <v>3130</v>
      </c>
      <c r="E532" s="3" t="s">
        <v>3131</v>
      </c>
      <c r="F532" s="3" t="s">
        <v>3132</v>
      </c>
      <c r="G532" s="3" t="s">
        <v>272</v>
      </c>
      <c r="H532" s="4" t="str">
        <f>HYPERLINK("https://vizianagaram.ap.gov.in/public-utility/apswr-junior-college-girls-garugubilli/", "https://vizianagaram.ap.gov.in/public-utility/apswr-junior-college-girls-garugubilli/")</f>
        <v>https://vizianagaram.ap.gov.in/public-utility/apswr-junior-college-girls-garugubilli/</v>
      </c>
      <c r="I532" s="3" t="s">
        <v>3133</v>
      </c>
      <c r="J532" s="3" t="str">
        <f>HYPERLINK("tel:+919177333885", "+919177333885")</f>
        <v>+919177333885</v>
      </c>
      <c r="K532" s="5" t="str">
        <f>HYPERLINK("mailto:info@careers360.com", "info@careers360.com")</f>
        <v>info@careers360.com</v>
      </c>
      <c r="L532" s="6" t="s">
        <v>3134</v>
      </c>
    </row>
    <row r="533" ht="15.75" customHeight="1">
      <c r="A533" s="3">
        <v>537.0</v>
      </c>
      <c r="B533" s="3" t="s">
        <v>3135</v>
      </c>
      <c r="C533" s="3" t="s">
        <v>2181</v>
      </c>
      <c r="D533" s="3" t="s">
        <v>3136</v>
      </c>
      <c r="E533" s="3" t="s">
        <v>3137</v>
      </c>
      <c r="F533" s="3" t="s">
        <v>2184</v>
      </c>
      <c r="G533" s="3" t="s">
        <v>272</v>
      </c>
      <c r="H533" s="4" t="str">
        <f>HYPERLINK("https://schools.org.in/prakasam/28182600704/zphs-budawada.html", "https://schools.org.in/prakasam/28182600704/zphs-budawada.html")</f>
        <v>https://schools.org.in/prakasam/28182600704/zphs-budawada.html</v>
      </c>
      <c r="I533" s="3" t="s">
        <v>2185</v>
      </c>
      <c r="J533" s="3" t="str">
        <f>HYPERLINK("tel:+5954483736", "+5954483736")</f>
        <v>+5954483736</v>
      </c>
      <c r="K533" s="5" t="str">
        <f>HYPERLINK("mailto:nan", "nan")</f>
        <v>nan</v>
      </c>
      <c r="L533" s="6" t="s">
        <v>2186</v>
      </c>
    </row>
    <row r="534" ht="15.75" customHeight="1">
      <c r="A534" s="3">
        <v>538.0</v>
      </c>
      <c r="B534" s="3" t="s">
        <v>3138</v>
      </c>
      <c r="C534" s="3" t="s">
        <v>3139</v>
      </c>
      <c r="D534" s="3" t="s">
        <v>3140</v>
      </c>
      <c r="E534" s="3" t="s">
        <v>3141</v>
      </c>
      <c r="F534" s="3" t="s">
        <v>3142</v>
      </c>
      <c r="G534" s="3" t="s">
        <v>182</v>
      </c>
      <c r="H534" s="4" t="str">
        <f>HYPERLINK("https://pulwama.gov.in/education/", "https://pulwama.gov.in/education/")</f>
        <v>https://pulwama.gov.in/education/</v>
      </c>
      <c r="I534" s="3" t="s">
        <v>3143</v>
      </c>
      <c r="J534" s="3" t="str">
        <f>HYPERLINK("tel:+911933241243", "+911933241243")</f>
        <v>+911933241243</v>
      </c>
      <c r="K534" s="5" t="str">
        <f>HYPERLINK("mailto:dse.jammu@jk.gov.in", "dse.jammu@jk.gov.in")</f>
        <v>dse.jammu@jk.gov.in</v>
      </c>
      <c r="L534" s="6"/>
    </row>
    <row r="535" ht="15.75" customHeight="1">
      <c r="A535" s="3">
        <v>539.0</v>
      </c>
      <c r="B535" s="3" t="s">
        <v>3144</v>
      </c>
      <c r="C535" s="3" t="s">
        <v>3145</v>
      </c>
      <c r="D535" s="3" t="s">
        <v>3146</v>
      </c>
      <c r="E535" s="3" t="s">
        <v>3147</v>
      </c>
      <c r="F535" s="3" t="s">
        <v>3148</v>
      </c>
      <c r="G535" s="3" t="s">
        <v>31</v>
      </c>
      <c r="H535" s="4" t="str">
        <f>HYPERLINK("https://ndmcdonimalai.kvs.ac.in/en/", "https://ndmcdonimalai.kvs.ac.in/en/")</f>
        <v>https://ndmcdonimalai.kvs.ac.in/en/</v>
      </c>
      <c r="I535" s="3" t="s">
        <v>625</v>
      </c>
      <c r="J535" s="3" t="str">
        <f>HYPERLINK("tel:+918395274604", "+918395274604")</f>
        <v>+918395274604</v>
      </c>
      <c r="K535" s="5" t="str">
        <f>HYPERLINK("mailto:nan", "nan")</f>
        <v>nan</v>
      </c>
      <c r="L535" s="6" t="s">
        <v>3149</v>
      </c>
    </row>
    <row r="536" ht="15.75" customHeight="1">
      <c r="A536" s="3">
        <v>540.0</v>
      </c>
      <c r="B536" s="3" t="s">
        <v>3150</v>
      </c>
      <c r="C536" s="3" t="s">
        <v>3151</v>
      </c>
      <c r="D536" s="3" t="s">
        <v>3152</v>
      </c>
      <c r="E536" s="3" t="s">
        <v>3153</v>
      </c>
      <c r="F536" s="3" t="s">
        <v>3154</v>
      </c>
      <c r="G536" s="3" t="s">
        <v>31</v>
      </c>
      <c r="H536" s="4" t="str">
        <f>HYPERLINK("https://tribal.nic.in/EMRS.aspx", "https://tribal.nic.in/EMRS.aspx")</f>
        <v>https://tribal.nic.in/EMRS.aspx</v>
      </c>
      <c r="I536" s="3" t="s">
        <v>3155</v>
      </c>
      <c r="J536" s="3" t="str">
        <f>HYPERLINK("tel:+919482300400", "+919482300400")</f>
        <v>+919482300400</v>
      </c>
      <c r="K536" s="5" t="str">
        <f>HYPERLINK("mailto:pd.webportal@karnataka.gov.in", "pd.webportal@karnataka.gov.in")</f>
        <v>pd.webportal@karnataka.gov.in</v>
      </c>
      <c r="L536" s="6" t="s">
        <v>1844</v>
      </c>
    </row>
    <row r="537" ht="15.75" customHeight="1">
      <c r="A537" s="3">
        <v>541.0</v>
      </c>
      <c r="B537" s="3" t="s">
        <v>3156</v>
      </c>
      <c r="C537" s="3" t="s">
        <v>3157</v>
      </c>
      <c r="D537" s="3" t="s">
        <v>3158</v>
      </c>
      <c r="E537" s="3" t="s">
        <v>3159</v>
      </c>
      <c r="F537" s="3" t="s">
        <v>3160</v>
      </c>
      <c r="G537" s="3" t="s">
        <v>31</v>
      </c>
      <c r="H537" s="4" t="str">
        <f t="shared" ref="H537:H538" si="42">HYPERLINK("https://dom.karnataka.gov.in/new-page/Minorities%20Morarji%20Desai%20Residential%20Schools/en", "https://dom.karnataka.gov.in/new-page/Minorities%20Morarji%20Desai%20Residential%20Schools/en")</f>
        <v>https://dom.karnataka.gov.in/new-page/Minorities%20Morarji%20Desai%20Residential%20Schools/en</v>
      </c>
      <c r="I537" s="3" t="s">
        <v>3161</v>
      </c>
      <c r="J537" s="3" t="str">
        <f>HYPERLINK("tel:nan", "nan")</f>
        <v>nan</v>
      </c>
      <c r="K537" s="5" t="str">
        <f>HYPERLINK("mailto:support@dochub.com", "support@dochub.com")</f>
        <v>support@dochub.com</v>
      </c>
      <c r="L537" s="6" t="s">
        <v>3162</v>
      </c>
    </row>
    <row r="538" ht="15.75" customHeight="1">
      <c r="A538" s="3">
        <v>542.0</v>
      </c>
      <c r="B538" s="3" t="s">
        <v>3163</v>
      </c>
      <c r="C538" s="3" t="s">
        <v>3164</v>
      </c>
      <c r="D538" s="3" t="s">
        <v>3165</v>
      </c>
      <c r="E538" s="3" t="s">
        <v>3166</v>
      </c>
      <c r="F538" s="3" t="s">
        <v>3167</v>
      </c>
      <c r="G538" s="3" t="s">
        <v>31</v>
      </c>
      <c r="H538" s="4" t="str">
        <f t="shared" si="42"/>
        <v>https://dom.karnataka.gov.in/new-page/Minorities%20Morarji%20Desai%20Residential%20Schools/en</v>
      </c>
      <c r="I538" s="3" t="s">
        <v>3168</v>
      </c>
      <c r="J538" s="3" t="str">
        <f>HYPERLINK("tel:+918375232800", "+918375232800")</f>
        <v>+918375232800</v>
      </c>
      <c r="K538" s="5" t="str">
        <f>HYPERLINK("mailto:mbt@cscftri.ren.nic.in", "mbt@cscftri.ren.nic.in")</f>
        <v>mbt@cscftri.ren.nic.in</v>
      </c>
      <c r="L538" s="6" t="s">
        <v>3169</v>
      </c>
    </row>
    <row r="539" ht="15.75" customHeight="1">
      <c r="A539" s="3">
        <v>543.0</v>
      </c>
      <c r="B539" s="3" t="s">
        <v>3170</v>
      </c>
      <c r="C539" s="3" t="s">
        <v>27</v>
      </c>
      <c r="D539" s="3" t="s">
        <v>3171</v>
      </c>
      <c r="E539" s="3" t="s">
        <v>3172</v>
      </c>
      <c r="F539" s="3" t="s">
        <v>30</v>
      </c>
      <c r="G539" s="3" t="s">
        <v>31</v>
      </c>
      <c r="H539" s="4" t="str">
        <f>HYPERLINK("https://excelpublicschool.com/", "https://excelpublicschool.com/")</f>
        <v>https://excelpublicschool.com/</v>
      </c>
      <c r="I539" s="3" t="s">
        <v>412</v>
      </c>
      <c r="J539" s="3" t="str">
        <f>HYPERLINK("tel:+918212971004", "+918212971004")</f>
        <v>+918212971004</v>
      </c>
      <c r="K539" s="5" t="str">
        <f>HYPERLINK("mailto:eps@excelpublicschool.com", "eps@excelpublicschool.com")</f>
        <v>eps@excelpublicschool.com</v>
      </c>
      <c r="L539" s="6" t="s">
        <v>32</v>
      </c>
    </row>
    <row r="540" ht="15.75" customHeight="1">
      <c r="A540" s="3">
        <v>544.0</v>
      </c>
      <c r="B540" s="3" t="s">
        <v>3173</v>
      </c>
      <c r="C540" s="3" t="s">
        <v>3174</v>
      </c>
      <c r="D540" s="3" t="s">
        <v>3175</v>
      </c>
      <c r="E540" s="3" t="s">
        <v>3176</v>
      </c>
      <c r="F540" s="3" t="s">
        <v>3177</v>
      </c>
      <c r="G540" s="3" t="s">
        <v>58</v>
      </c>
      <c r="H540" s="4" t="str">
        <f>HYPERLINK("https://schools.org.in/thiruvananthapuram/32140900402/st-thomas-hss-amboor.html", "https://schools.org.in/thiruvananthapuram/32140900402/st-thomas-hss-amboor.html")</f>
        <v>https://schools.org.in/thiruvananthapuram/32140900402/st-thomas-hss-amboor.html</v>
      </c>
      <c r="I540" s="3" t="s">
        <v>3178</v>
      </c>
      <c r="J540" s="3" t="str">
        <f>HYPERLINK("tel:+914712325106", "+914712325106")</f>
        <v>+914712325106</v>
      </c>
      <c r="K540" s="5" t="str">
        <f>HYPERLINK("mailto:dirdhse.dge@kerala.gov.in", "dirdhse.dge@kerala.gov.in")</f>
        <v>dirdhse.dge@kerala.gov.in</v>
      </c>
      <c r="L540" s="6" t="s">
        <v>3179</v>
      </c>
    </row>
    <row r="541" ht="15.75" customHeight="1">
      <c r="A541" s="3">
        <v>545.0</v>
      </c>
      <c r="B541" s="3" t="s">
        <v>3180</v>
      </c>
      <c r="C541" s="3" t="s">
        <v>3181</v>
      </c>
      <c r="D541" s="3" t="s">
        <v>3182</v>
      </c>
      <c r="E541" s="3" t="s">
        <v>3183</v>
      </c>
      <c r="F541" s="3" t="s">
        <v>3184</v>
      </c>
      <c r="G541" s="3" t="s">
        <v>38</v>
      </c>
      <c r="H541" s="4" t="str">
        <f>HYPERLINK("https://ris.education/campuses/mumbai/boisar-cbse/", "https://ris.education/campuses/mumbai/boisar-cbse/")</f>
        <v>https://ris.education/campuses/mumbai/boisar-cbse/</v>
      </c>
      <c r="I541" s="3" t="s">
        <v>3185</v>
      </c>
      <c r="J541" s="3" t="str">
        <f>HYPERLINK("tel:+918291609368", "+918291609368")</f>
        <v>+918291609368</v>
      </c>
      <c r="K541" s="5" t="str">
        <f>HYPERLINK("mailto:rismr@rahuleducation.com", "rismr@rahuleducation.com")</f>
        <v>rismr@rahuleducation.com</v>
      </c>
      <c r="L541" s="6" t="s">
        <v>3186</v>
      </c>
    </row>
    <row r="542" ht="15.75" customHeight="1">
      <c r="A542" s="3">
        <v>546.0</v>
      </c>
      <c r="B542" s="3" t="s">
        <v>3187</v>
      </c>
      <c r="C542" s="3" t="s">
        <v>13</v>
      </c>
      <c r="D542" s="3" t="s">
        <v>3188</v>
      </c>
      <c r="E542" s="3" t="s">
        <v>3189</v>
      </c>
      <c r="F542" s="3" t="s">
        <v>16</v>
      </c>
      <c r="G542" s="3" t="s">
        <v>17</v>
      </c>
      <c r="H542" s="4" t="str">
        <f>HYPERLINK("https://spicschool.com/", "https://spicschool.com/")</f>
        <v>https://spicschool.com/</v>
      </c>
      <c r="I542" s="3" t="s">
        <v>18</v>
      </c>
      <c r="J542" s="3" t="str">
        <f>HYPERLINK("tel:+914612355066", "+914612355066")</f>
        <v>+914612355066</v>
      </c>
      <c r="K542" s="5" t="str">
        <f>HYPERLINK("mailto:contact@spicschool.com", "contact@spicschool.com")</f>
        <v>contact@spicschool.com</v>
      </c>
      <c r="L542" s="6" t="s">
        <v>931</v>
      </c>
    </row>
    <row r="543" ht="15.75" customHeight="1">
      <c r="A543" s="3">
        <v>547.0</v>
      </c>
      <c r="B543" s="3" t="s">
        <v>3190</v>
      </c>
      <c r="C543" s="3" t="s">
        <v>3191</v>
      </c>
      <c r="D543" s="3" t="s">
        <v>3192</v>
      </c>
      <c r="E543" s="3" t="s">
        <v>3193</v>
      </c>
      <c r="F543" s="3" t="s">
        <v>3194</v>
      </c>
      <c r="G543" s="3" t="s">
        <v>17</v>
      </c>
      <c r="H543" s="4" t="str">
        <f>HYPERLINK("https://dipr.tn.gov.in/ords/r/dipr/info-prdept103/press-release1?p33_file_id=15324&amp;request=APPLICATION_PROCESS%3DGET_FILE&amp;session=204230482371883&amp;cs=1r8p38FbCYU4Fbcb8rAapM-8R4XpvBCxnAndyjr2Xls5xPt0rkFOh5Z0tSXJJdSWroT_LsMfYlyvBUYqeo7VnRQ", "https://dipr.tn.gov.in/ords/r/dipr/info-prdept103/press-release1?p33_file_id=15324&amp;request=APPLICATION_PROCESS%3DGET_FILE&amp;session=204230482371883&amp;cs=1r8p38FbCYU4Fbcb8rAapM-8R4XpvBCxnAndyjr2Xls5xPt0rkFOh5Z0tSXJJdSWroT_LsMfYlyvBUYqeo7VnRQ")</f>
        <v>https://dipr.tn.gov.in/ords/r/dipr/info-prdept103/press-release1?p33_file_id=15324&amp;request=APPLICATION_PROCESS%3DGET_FILE&amp;session=204230482371883&amp;cs=1r8p38FbCYU4Fbcb8rAapM-8R4XpvBCxnAndyjr2Xls5xPt0rkFOh5Z0tSXJJdSWroT_LsMfYlyvBUYqeo7VnRQ</v>
      </c>
      <c r="I543" s="3" t="s">
        <v>3195</v>
      </c>
      <c r="J543" s="3" t="str">
        <f>HYPERLINK("tel:nan", "nan")</f>
        <v>nan</v>
      </c>
      <c r="K543" s="5" t="str">
        <f>HYPERLINK("mailto:info@villageinfo.in", "info@villageinfo.in")</f>
        <v>info@villageinfo.in</v>
      </c>
      <c r="L543" s="6"/>
    </row>
    <row r="544" ht="15.75" customHeight="1">
      <c r="A544" s="3">
        <v>548.0</v>
      </c>
      <c r="B544" s="3" t="s">
        <v>3196</v>
      </c>
      <c r="C544" s="3" t="s">
        <v>3197</v>
      </c>
      <c r="D544" s="3" t="s">
        <v>3198</v>
      </c>
      <c r="E544" s="3" t="s">
        <v>3199</v>
      </c>
      <c r="F544" s="3" t="s">
        <v>3200</v>
      </c>
      <c r="G544" s="3" t="s">
        <v>130</v>
      </c>
      <c r="H544" s="4" t="str">
        <f>HYPERLINK("https://bhoopalapally.telangana.gov.in/public-utility/zphs-mahadevpur-boys/", "https://bhoopalapally.telangana.gov.in/public-utility/zphs-mahadevpur-boys/")</f>
        <v>https://bhoopalapally.telangana.gov.in/public-utility/zphs-mahadevpur-boys/</v>
      </c>
      <c r="I544" s="3" t="s">
        <v>3201</v>
      </c>
      <c r="J544" s="3" t="str">
        <f>HYPERLINK("tel:+917995088365", "+917995088365")</f>
        <v>+917995088365</v>
      </c>
      <c r="K544" s="5" t="str">
        <f>HYPERLINK("mailto:dio-jsb@nic.in", "dio-jsb@nic.in")</f>
        <v>dio-jsb@nic.in</v>
      </c>
      <c r="L544" s="6" t="s">
        <v>3202</v>
      </c>
    </row>
    <row r="545" ht="15.75" customHeight="1">
      <c r="A545" s="3">
        <v>549.0</v>
      </c>
      <c r="B545" s="3" t="s">
        <v>3203</v>
      </c>
      <c r="C545" s="3" t="s">
        <v>3204</v>
      </c>
      <c r="D545" s="3" t="s">
        <v>3205</v>
      </c>
      <c r="E545" s="3" t="s">
        <v>3206</v>
      </c>
      <c r="F545" s="3" t="s">
        <v>3207</v>
      </c>
      <c r="G545" s="3" t="s">
        <v>272</v>
      </c>
      <c r="H545" s="4" t="str">
        <f>HYPERLINK("https://www.india.gov.in/official-website-gurukulam-andhra-pradesh", "https://www.india.gov.in/official-website-gurukulam-andhra-pradesh")</f>
        <v>https://www.india.gov.in/official-website-gurukulam-andhra-pradesh</v>
      </c>
      <c r="I545" s="3" t="s">
        <v>625</v>
      </c>
      <c r="J545" s="3" t="str">
        <f>HYPERLINK("tel:+919393939393", "+919393939393")</f>
        <v>+919393939393</v>
      </c>
      <c r="K545" s="5" t="str">
        <f>HYPERLINK("mailto:S2954273@gmail.com", "S2954273@gmail.com")</f>
        <v>S2954273@gmail.com</v>
      </c>
      <c r="L545" s="6" t="s">
        <v>3208</v>
      </c>
    </row>
    <row r="546" ht="15.75" customHeight="1">
      <c r="A546" s="3">
        <v>550.0</v>
      </c>
      <c r="B546" s="3" t="s">
        <v>3209</v>
      </c>
      <c r="C546" s="3" t="s">
        <v>1951</v>
      </c>
      <c r="D546" s="3" t="s">
        <v>3210</v>
      </c>
      <c r="E546" s="3" t="s">
        <v>3211</v>
      </c>
      <c r="F546" s="3" t="s">
        <v>1954</v>
      </c>
      <c r="G546" s="3" t="s">
        <v>229</v>
      </c>
      <c r="H546" s="4" t="str">
        <f>HYPERLINK("https://bvbraipur.org/", "https://bvbraipur.org/")</f>
        <v>https://bvbraipur.org/</v>
      </c>
      <c r="J546" s="3" t="str">
        <f>HYPERLINK("tel:+917713500941", "+917713500941")</f>
        <v>+917713500941</v>
      </c>
      <c r="K546" s="5" t="str">
        <f>HYPERLINK("mailto:principal@bvbraipur.org", "principal@bvbraipur.org")</f>
        <v>principal@bvbraipur.org</v>
      </c>
      <c r="L546" s="6"/>
    </row>
    <row r="547" ht="15.75" customHeight="1">
      <c r="A547" s="3">
        <v>551.0</v>
      </c>
      <c r="B547" s="3" t="s">
        <v>3212</v>
      </c>
      <c r="C547" s="3" t="s">
        <v>3213</v>
      </c>
      <c r="D547" s="3" t="s">
        <v>3214</v>
      </c>
      <c r="E547" s="3" t="s">
        <v>3215</v>
      </c>
      <c r="F547" s="3" t="s">
        <v>3216</v>
      </c>
      <c r="G547" s="3" t="s">
        <v>100</v>
      </c>
      <c r="H547" s="4" t="str">
        <f>HYPERLINK("https://www.ipwspv.com/", "https://www.ipwspv.com/")</f>
        <v>https://www.ipwspv.com/</v>
      </c>
      <c r="J547" s="3" t="str">
        <f>HYPERLINK("tel:+917070305812", "+917070305812")</f>
        <v>+917070305812</v>
      </c>
      <c r="K547" s="5" t="str">
        <f t="shared" ref="K547:K548" si="43">HYPERLINK("mailto:nan", "nan")</f>
        <v>nan</v>
      </c>
      <c r="L547" s="6"/>
    </row>
    <row r="548" ht="15.75" customHeight="1">
      <c r="A548" s="3">
        <v>552.0</v>
      </c>
      <c r="B548" s="3" t="s">
        <v>3217</v>
      </c>
      <c r="C548" s="3" t="s">
        <v>3218</v>
      </c>
      <c r="D548" s="3" t="s">
        <v>3219</v>
      </c>
      <c r="E548" s="3" t="s">
        <v>3220</v>
      </c>
      <c r="F548" s="3" t="s">
        <v>3221</v>
      </c>
      <c r="G548" s="3" t="s">
        <v>17</v>
      </c>
      <c r="H548" s="4" t="str">
        <f>HYPERLINK("https://aim.gov.in/pdf/Final-List-Top-1000-teams.pdf", "https://aim.gov.in/pdf/Final-List-Top-1000-teams.pdf")</f>
        <v>https://aim.gov.in/pdf/Final-List-Top-1000-teams.pdf</v>
      </c>
      <c r="J548" s="3" t="str">
        <f>HYPERLINK("tel:nan", "nan")</f>
        <v>nan</v>
      </c>
      <c r="K548" s="5" t="str">
        <f t="shared" si="43"/>
        <v>nan</v>
      </c>
      <c r="L548" s="6"/>
    </row>
    <row r="549" ht="15.75" customHeight="1">
      <c r="A549" s="3">
        <v>553.0</v>
      </c>
      <c r="B549" s="3" t="s">
        <v>3222</v>
      </c>
      <c r="C549" s="3" t="s">
        <v>2138</v>
      </c>
      <c r="D549" s="3" t="s">
        <v>3223</v>
      </c>
      <c r="E549" s="3" t="s">
        <v>3224</v>
      </c>
      <c r="F549" s="3" t="s">
        <v>2141</v>
      </c>
      <c r="G549" s="3" t="s">
        <v>130</v>
      </c>
      <c r="H549" s="4" t="str">
        <f>HYPERLINK("https://schools.org.in/mahbubnagar/36075400604/zphs-setty-atmakur.html", "https://schools.org.in/mahbubnagar/36075400604/zphs-setty-atmakur.html")</f>
        <v>https://schools.org.in/mahbubnagar/36075400604/zphs-setty-atmakur.html</v>
      </c>
      <c r="I549" s="3" t="s">
        <v>2142</v>
      </c>
      <c r="J549" s="3" t="str">
        <f>HYPERLINK("tel:+918096195770", "+918096195770")</f>
        <v>+918096195770</v>
      </c>
      <c r="K549" s="5" t="str">
        <f>HYPERLINK("mailto:drokamareddy@gmail.com", "drokamareddy@gmail.com")</f>
        <v>drokamareddy@gmail.com</v>
      </c>
      <c r="L549" s="6" t="s">
        <v>2143</v>
      </c>
    </row>
    <row r="550" ht="15.75" customHeight="1">
      <c r="A550" s="3">
        <v>554.0</v>
      </c>
      <c r="B550" s="3" t="s">
        <v>3225</v>
      </c>
      <c r="C550" s="3" t="s">
        <v>2066</v>
      </c>
      <c r="D550" s="3" t="s">
        <v>3226</v>
      </c>
      <c r="E550" s="3" t="s">
        <v>3227</v>
      </c>
      <c r="F550" s="3" t="s">
        <v>2069</v>
      </c>
      <c r="G550" s="3" t="s">
        <v>138</v>
      </c>
      <c r="H550" s="4" t="str">
        <f>HYPERLINK("https://jaipuriaghaziabad.edu.in/", "https://jaipuriaghaziabad.edu.in/")</f>
        <v>https://jaipuriaghaziabad.edu.in/</v>
      </c>
      <c r="I550" s="3" t="s">
        <v>2070</v>
      </c>
      <c r="J550" s="3" t="str">
        <f>HYPERLINK("tel:+919151005503", "+919151005503")</f>
        <v>+919151005503</v>
      </c>
      <c r="K550" s="5" t="str">
        <f>HYPERLINK("mailto:officialjpsnaini@gmail.com", "officialjpsnaini@gmail.com")</f>
        <v>officialjpsnaini@gmail.com</v>
      </c>
      <c r="L550" s="6"/>
    </row>
    <row r="551" ht="15.75" customHeight="1">
      <c r="A551" s="3">
        <v>555.0</v>
      </c>
      <c r="B551" s="3" t="s">
        <v>3228</v>
      </c>
      <c r="C551" s="3" t="s">
        <v>3229</v>
      </c>
      <c r="D551" s="3" t="s">
        <v>3230</v>
      </c>
      <c r="E551" s="3" t="s">
        <v>3231</v>
      </c>
      <c r="F551" s="3" t="s">
        <v>3232</v>
      </c>
      <c r="G551" s="3" t="s">
        <v>272</v>
      </c>
      <c r="H551" s="4" t="str">
        <f>HYPERLINK("https://mjpapbcwreis.apcfss.in/", "https://mjpapbcwreis.apcfss.in/")</f>
        <v>https://mjpapbcwreis.apcfss.in/</v>
      </c>
      <c r="J551" s="3" t="str">
        <f>HYPERLINK("tel:nan", "nan")</f>
        <v>nan</v>
      </c>
      <c r="K551" s="5" t="str">
        <f>HYPERLINK("mailto:nan", "nan")</f>
        <v>nan</v>
      </c>
      <c r="L551" s="6"/>
    </row>
    <row r="552" ht="15.75" customHeight="1">
      <c r="A552" s="3">
        <v>556.0</v>
      </c>
      <c r="B552" s="3" t="s">
        <v>3233</v>
      </c>
      <c r="C552" s="3" t="s">
        <v>1951</v>
      </c>
      <c r="D552" s="3" t="s">
        <v>3234</v>
      </c>
      <c r="E552" s="3" t="s">
        <v>3235</v>
      </c>
      <c r="F552" s="3" t="s">
        <v>1954</v>
      </c>
      <c r="G552" s="3" t="s">
        <v>229</v>
      </c>
      <c r="H552" s="4" t="str">
        <f>HYPERLINK("https://bvbraipur.org/", "https://bvbraipur.org/")</f>
        <v>https://bvbraipur.org/</v>
      </c>
      <c r="J552" s="3" t="str">
        <f>HYPERLINK("tel:+917713500941", "+917713500941")</f>
        <v>+917713500941</v>
      </c>
      <c r="K552" s="5" t="str">
        <f>HYPERLINK("mailto:principal@bvbraipur.org", "principal@bvbraipur.org")</f>
        <v>principal@bvbraipur.org</v>
      </c>
      <c r="L552" s="6" t="s">
        <v>3236</v>
      </c>
    </row>
    <row r="553" ht="15.75" customHeight="1">
      <c r="A553" s="3">
        <v>557.0</v>
      </c>
      <c r="B553" s="3" t="s">
        <v>3237</v>
      </c>
      <c r="C553" s="3" t="s">
        <v>1153</v>
      </c>
      <c r="D553" s="3" t="s">
        <v>3238</v>
      </c>
      <c r="E553" s="3" t="s">
        <v>3239</v>
      </c>
      <c r="F553" s="3" t="s">
        <v>1156</v>
      </c>
      <c r="G553" s="3" t="s">
        <v>100</v>
      </c>
      <c r="H553" s="4" t="str">
        <f>HYPERLINK("http://hansrajmodelschool.org/", "http://hansrajmodelschool.org/")</f>
        <v>http://hansrajmodelschool.org/</v>
      </c>
      <c r="J553" s="3" t="str">
        <f>HYPERLINK("tel:+911145911500", "+911145911500")</f>
        <v>+911145911500</v>
      </c>
      <c r="K553" s="5" t="str">
        <f>HYPERLINK("mailto:info@hansrajmodelschool.org", "info@hansrajmodelschool.org")</f>
        <v>info@hansrajmodelschool.org</v>
      </c>
      <c r="L553" s="6" t="s">
        <v>1157</v>
      </c>
    </row>
    <row r="554" ht="15.75" customHeight="1">
      <c r="A554" s="3">
        <v>558.0</v>
      </c>
      <c r="B554" s="3" t="s">
        <v>3240</v>
      </c>
      <c r="C554" s="3" t="s">
        <v>3241</v>
      </c>
      <c r="D554" s="3" t="s">
        <v>3242</v>
      </c>
      <c r="E554" s="3" t="s">
        <v>3243</v>
      </c>
      <c r="F554" s="3" t="s">
        <v>3244</v>
      </c>
      <c r="G554" s="3" t="s">
        <v>24</v>
      </c>
      <c r="H554" s="4" t="str">
        <f>HYPERLINK("https://www.gitaniketan.org/", "https://www.gitaniketan.org/")</f>
        <v>https://www.gitaniketan.org/</v>
      </c>
      <c r="I554" s="3" t="s">
        <v>3245</v>
      </c>
      <c r="J554" s="3" t="str">
        <f>HYPERLINK("tel:+911744270696", "+911744270696")</f>
        <v>+911744270696</v>
      </c>
      <c r="K554" s="5" t="str">
        <f>HYPERLINK("mailto:gitaniketan@rediffmail.com", "gitaniketan@rediffmail.com")</f>
        <v>gitaniketan@rediffmail.com</v>
      </c>
      <c r="L554" s="6" t="s">
        <v>3246</v>
      </c>
    </row>
    <row r="555" ht="15.75" customHeight="1">
      <c r="A555" s="3">
        <v>559.0</v>
      </c>
      <c r="B555" s="3" t="s">
        <v>3247</v>
      </c>
      <c r="C555" s="3" t="s">
        <v>3248</v>
      </c>
      <c r="D555" s="3" t="s">
        <v>3249</v>
      </c>
      <c r="E555" s="3" t="s">
        <v>3250</v>
      </c>
      <c r="F555" s="3" t="s">
        <v>3251</v>
      </c>
      <c r="G555" s="3" t="s">
        <v>554</v>
      </c>
      <c r="H555" s="4" t="str">
        <f>HYPERLINK("https://www.zilaschoolranchi.com/", "https://www.zilaschoolranchi.com/")</f>
        <v>https://www.zilaschoolranchi.com/</v>
      </c>
      <c r="I555" s="3" t="s">
        <v>3252</v>
      </c>
      <c r="J555" s="3" t="str">
        <f>HYPERLINK("tel:+919693571713", "+919693571713")</f>
        <v>+919693571713</v>
      </c>
      <c r="K555" s="5" t="str">
        <f>HYPERLINK("mailto:astvszilavidyalaya@gmail.com", "astvszilavidyalaya@gmail.com")</f>
        <v>astvszilavidyalaya@gmail.com</v>
      </c>
      <c r="L555" s="6" t="s">
        <v>3253</v>
      </c>
    </row>
    <row r="556" ht="15.75" customHeight="1">
      <c r="A556" s="3">
        <v>560.0</v>
      </c>
      <c r="B556" s="3" t="s">
        <v>3254</v>
      </c>
      <c r="C556" s="3" t="s">
        <v>3255</v>
      </c>
      <c r="D556" s="3" t="s">
        <v>3256</v>
      </c>
      <c r="E556" s="3" t="s">
        <v>3257</v>
      </c>
      <c r="F556" s="3" t="s">
        <v>3258</v>
      </c>
      <c r="G556" s="3" t="s">
        <v>31</v>
      </c>
      <c r="H556" s="4" t="str">
        <f>HYPERLINK("https://presidencyschooleast.org/", "https://presidencyschooleast.org/")</f>
        <v>https://presidencyschooleast.org/</v>
      </c>
      <c r="J556" s="3" t="str">
        <f>HYPERLINK("tel:+919620812270", "+919620812270")</f>
        <v>+919620812270</v>
      </c>
      <c r="K556" s="5" t="str">
        <f>HYPERLINK("mailto:admission-psbe@presidency.edu.in", "admission-psbe@presidency.edu.in")</f>
        <v>admission-psbe@presidency.edu.in</v>
      </c>
      <c r="L556" s="6" t="s">
        <v>3259</v>
      </c>
    </row>
    <row r="557" ht="15.75" customHeight="1">
      <c r="A557" s="3">
        <v>561.0</v>
      </c>
      <c r="B557" s="3" t="s">
        <v>3260</v>
      </c>
      <c r="C557" s="3" t="s">
        <v>3261</v>
      </c>
      <c r="D557" s="3" t="s">
        <v>3262</v>
      </c>
      <c r="E557" s="3" t="s">
        <v>3263</v>
      </c>
      <c r="F557" s="3" t="s">
        <v>3264</v>
      </c>
      <c r="G557" s="3" t="s">
        <v>31</v>
      </c>
      <c r="H557" s="4" t="str">
        <f>HYPERLINK("https://krishnarajapuram.kvs.ac.in/en/", "https://krishnarajapuram.kvs.ac.in/en/")</f>
        <v>https://krishnarajapuram.kvs.ac.in/en/</v>
      </c>
      <c r="J557" s="3" t="str">
        <f>HYPERLINK("tel:+918025616000", "+918025616000")</f>
        <v>+918025616000</v>
      </c>
      <c r="K557" s="5" t="str">
        <f t="shared" ref="K557:K558" si="44">HYPERLINK("mailto:nan", "nan")</f>
        <v>nan</v>
      </c>
      <c r="L557" s="6"/>
    </row>
    <row r="558" ht="15.75" customHeight="1">
      <c r="A558" s="3">
        <v>562.0</v>
      </c>
      <c r="B558" s="3" t="s">
        <v>3265</v>
      </c>
      <c r="C558" s="3" t="s">
        <v>3266</v>
      </c>
      <c r="D558" s="3" t="s">
        <v>3267</v>
      </c>
      <c r="E558" s="3" t="s">
        <v>3268</v>
      </c>
      <c r="F558" s="3" t="s">
        <v>3269</v>
      </c>
      <c r="G558" s="3" t="s">
        <v>31</v>
      </c>
      <c r="H558" s="4" t="str">
        <f>HYPERLINK("https://schools.org.in/mandya/29220701801/ghps-belavadi.html", "https://schools.org.in/mandya/29220701801/ghps-belavadi.html")</f>
        <v>https://schools.org.in/mandya/29220701801/ghps-belavadi.html</v>
      </c>
      <c r="I558" s="3" t="s">
        <v>3270</v>
      </c>
      <c r="J558" s="3" t="str">
        <f>HYPERLINK("tel:nan", "nan")</f>
        <v>nan</v>
      </c>
      <c r="K558" s="5" t="str">
        <f t="shared" si="44"/>
        <v>nan</v>
      </c>
      <c r="L558" s="6" t="s">
        <v>3271</v>
      </c>
    </row>
    <row r="559" ht="15.75" customHeight="1">
      <c r="A559" s="3">
        <v>563.0</v>
      </c>
      <c r="B559" s="3" t="s">
        <v>3272</v>
      </c>
      <c r="C559" s="3" t="s">
        <v>3273</v>
      </c>
      <c r="D559" s="3" t="s">
        <v>3274</v>
      </c>
      <c r="E559" s="3" t="s">
        <v>3275</v>
      </c>
      <c r="F559" s="3" t="s">
        <v>3276</v>
      </c>
      <c r="G559" s="3" t="s">
        <v>58</v>
      </c>
      <c r="H559" s="4" t="str">
        <f>HYPERLINK("https://malankaratvm.com/welcome/institutioninner/50", "https://malankaratvm.com/welcome/institutioninner/50")</f>
        <v>https://malankaratvm.com/welcome/institutioninner/50</v>
      </c>
      <c r="I559" s="3" t="s">
        <v>3277</v>
      </c>
      <c r="J559" s="3" t="str">
        <f>HYPERLINK("tel:+914712541642", "+914712541642")</f>
        <v>+914712541642</v>
      </c>
      <c r="K559" s="5" t="str">
        <f>HYPERLINK("mailto:catholicostvm@gmail.com", "catholicostvm@gmail.com")</f>
        <v>catholicostvm@gmail.com</v>
      </c>
      <c r="L559" s="6" t="s">
        <v>3278</v>
      </c>
    </row>
    <row r="560" ht="15.75" customHeight="1">
      <c r="A560" s="3">
        <v>565.0</v>
      </c>
      <c r="B560" s="3" t="s">
        <v>3279</v>
      </c>
      <c r="C560" s="3" t="s">
        <v>3280</v>
      </c>
      <c r="D560" s="3" t="s">
        <v>3281</v>
      </c>
      <c r="E560" s="3" t="s">
        <v>3282</v>
      </c>
      <c r="F560" s="3" t="s">
        <v>3283</v>
      </c>
      <c r="G560" s="3" t="s">
        <v>38</v>
      </c>
      <c r="H560" s="4" t="str">
        <f>HYPERLINK("https://www.akshara.in/", "https://www.akshara.in/")</f>
        <v>https://www.akshara.in/</v>
      </c>
      <c r="J560" s="3" t="str">
        <f>HYPERLINK("tel:+919023079999", "+919023079999")</f>
        <v>+919023079999</v>
      </c>
      <c r="K560" s="5" t="str">
        <f>HYPERLINK("mailto:admissions@akshara.edu.in", "admissions@akshara.edu.in")</f>
        <v>admissions@akshara.edu.in</v>
      </c>
      <c r="L560" s="6"/>
    </row>
    <row r="561" ht="15.75" customHeight="1">
      <c r="A561" s="3">
        <v>566.0</v>
      </c>
      <c r="B561" s="3" t="s">
        <v>3284</v>
      </c>
      <c r="C561" s="3" t="s">
        <v>2357</v>
      </c>
      <c r="D561" s="3" t="s">
        <v>3285</v>
      </c>
      <c r="E561" s="3" t="s">
        <v>3286</v>
      </c>
      <c r="F561" s="3" t="s">
        <v>2360</v>
      </c>
      <c r="G561" s="3" t="s">
        <v>38</v>
      </c>
      <c r="H561" s="4" t="str">
        <f>HYPERLINK("https://ves.ac.in/vehs/", "https://ves.ac.in/vehs/")</f>
        <v>https://ves.ac.in/vehs/</v>
      </c>
      <c r="J561" s="3" t="str">
        <f>HYPERLINK("tel:+918591983696", "+918591983696")</f>
        <v>+918591983696</v>
      </c>
      <c r="K561" s="5" t="str">
        <f>HYPERLINK("mailto:veshsk.jsm@ves.ac.in", "veshsk.jsm@ves.ac.in")</f>
        <v>veshsk.jsm@ves.ac.in</v>
      </c>
      <c r="L561" s="6" t="s">
        <v>2361</v>
      </c>
    </row>
    <row r="562" ht="15.75" customHeight="1">
      <c r="A562" s="3">
        <v>567.0</v>
      </c>
      <c r="B562" s="3" t="s">
        <v>3287</v>
      </c>
      <c r="C562" s="3" t="s">
        <v>3288</v>
      </c>
      <c r="D562" s="3" t="s">
        <v>3289</v>
      </c>
      <c r="E562" s="3" t="s">
        <v>3290</v>
      </c>
      <c r="F562" s="3" t="s">
        <v>3291</v>
      </c>
      <c r="G562" s="3" t="s">
        <v>17</v>
      </c>
      <c r="H562" s="4" t="str">
        <f>HYPERLINK("https://schools.org.in/thiruvallur/33010306503/govt-high-sec-school-vidaiyur.html", "https://schools.org.in/thiruvallur/33010306503/govt-high-sec-school-vidaiyur.html")</f>
        <v>https://schools.org.in/thiruvallur/33010306503/govt-high-sec-school-vidaiyur.html</v>
      </c>
      <c r="I562" s="3" t="s">
        <v>3292</v>
      </c>
      <c r="J562" s="3" t="str">
        <f>HYPERLINK("tel:nan", "nan")</f>
        <v>nan</v>
      </c>
      <c r="K562" s="5" t="str">
        <f t="shared" ref="K562:K563" si="45">HYPERLINK("mailto:nan", "nan")</f>
        <v>nan</v>
      </c>
      <c r="L562" s="6" t="s">
        <v>3293</v>
      </c>
    </row>
    <row r="563" ht="15.75" customHeight="1">
      <c r="A563" s="3">
        <v>568.0</v>
      </c>
      <c r="B563" s="3" t="s">
        <v>3294</v>
      </c>
      <c r="C563" s="3" t="s">
        <v>3295</v>
      </c>
      <c r="D563" s="3" t="s">
        <v>3296</v>
      </c>
      <c r="E563" s="3" t="s">
        <v>3297</v>
      </c>
      <c r="F563" s="3" t="s">
        <v>3298</v>
      </c>
      <c r="G563" s="3" t="s">
        <v>17</v>
      </c>
      <c r="H563" s="4" t="str">
        <f>HYPERLINK("https://schools.org.in/thiruvarur/33200801102/gghss-kottur.html", "https://schools.org.in/thiruvarur/33200801102/gghss-kottur.html")</f>
        <v>https://schools.org.in/thiruvarur/33200801102/gghss-kottur.html</v>
      </c>
      <c r="I563" s="3" t="s">
        <v>3299</v>
      </c>
      <c r="J563" s="3" t="str">
        <f>HYPERLINK("tel:+914352944333", "+914352944333")</f>
        <v>+914352944333</v>
      </c>
      <c r="K563" s="5" t="str">
        <f t="shared" si="45"/>
        <v>nan</v>
      </c>
      <c r="L563" s="6" t="s">
        <v>3300</v>
      </c>
    </row>
    <row r="564" ht="15.75" customHeight="1">
      <c r="A564" s="3">
        <v>569.0</v>
      </c>
      <c r="B564" s="3" t="s">
        <v>3301</v>
      </c>
      <c r="C564" s="3" t="s">
        <v>3302</v>
      </c>
      <c r="D564" s="3" t="s">
        <v>3303</v>
      </c>
      <c r="E564" s="3" t="s">
        <v>3304</v>
      </c>
      <c r="F564" s="3" t="s">
        <v>3305</v>
      </c>
      <c r="G564" s="3" t="s">
        <v>17</v>
      </c>
      <c r="H564" s="4" t="str">
        <f>HYPERLINK("https://schools.org.in/kancheepuram/33030102602/ghss-ayyangarkulam.html", "https://schools.org.in/kancheepuram/33030102602/ghss-ayyangarkulam.html")</f>
        <v>https://schools.org.in/kancheepuram/33030102602/ghss-ayyangarkulam.html</v>
      </c>
      <c r="I564" s="3" t="s">
        <v>3306</v>
      </c>
      <c r="J564" s="3" t="str">
        <f>HYPERLINK("tel:nan", "nan")</f>
        <v>nan</v>
      </c>
      <c r="K564" s="5" t="str">
        <f>HYPERLINK("mailto:hello@scribd.com", "hello@scribd.com")</f>
        <v>hello@scribd.com</v>
      </c>
      <c r="L564" s="6" t="s">
        <v>3307</v>
      </c>
    </row>
    <row r="565" ht="15.75" customHeight="1">
      <c r="A565" s="3">
        <v>570.0</v>
      </c>
      <c r="B565" s="3" t="s">
        <v>3308</v>
      </c>
      <c r="C565" s="3" t="s">
        <v>3309</v>
      </c>
      <c r="D565" s="3" t="s">
        <v>3310</v>
      </c>
      <c r="E565" s="3" t="s">
        <v>3311</v>
      </c>
      <c r="F565" s="3" t="s">
        <v>3312</v>
      </c>
      <c r="G565" s="3" t="s">
        <v>130</v>
      </c>
      <c r="H565" s="4" t="str">
        <f>HYPERLINK("https://tgswreis.telangana.gov.in/", "https://tgswreis.telangana.gov.in/")</f>
        <v>https://tgswreis.telangana.gov.in/</v>
      </c>
      <c r="I565" s="3" t="s">
        <v>3313</v>
      </c>
      <c r="J565" s="3" t="str">
        <f>HYPERLINK("tel:+914042014347", "+914042014347")</f>
        <v>+914042014347</v>
      </c>
      <c r="K565" s="5" t="str">
        <f>HYPERLINK("mailto:support@hassofttehnologies.com", "support@hassofttehnologies.com")</f>
        <v>support@hassofttehnologies.com</v>
      </c>
      <c r="L565" s="6" t="s">
        <v>3314</v>
      </c>
    </row>
    <row r="566" ht="15.75" customHeight="1">
      <c r="A566" s="3">
        <v>571.0</v>
      </c>
      <c r="B566" s="3" t="s">
        <v>3315</v>
      </c>
      <c r="C566" s="3" t="s">
        <v>3316</v>
      </c>
      <c r="D566" s="3" t="s">
        <v>3317</v>
      </c>
      <c r="E566" s="3" t="s">
        <v>3318</v>
      </c>
      <c r="F566" s="3" t="s">
        <v>3319</v>
      </c>
      <c r="G566" s="3" t="s">
        <v>138</v>
      </c>
      <c r="H566" s="4" t="str">
        <f>HYPERLINK("https://newcanttald.kvs.ac.in/en/", "https://newcanttald.kvs.ac.in/en/")</f>
        <v>https://newcanttald.kvs.ac.in/en/</v>
      </c>
      <c r="J566" s="3" t="str">
        <f>HYPERLINK("tel:+915322622058", "+915322622058")</f>
        <v>+915322622058</v>
      </c>
      <c r="K566" s="5" t="str">
        <f t="shared" ref="K566:K567" si="46">HYPERLINK("mailto:nan", "nan")</f>
        <v>nan</v>
      </c>
      <c r="L566" s="6"/>
    </row>
    <row r="567" ht="15.75" customHeight="1">
      <c r="A567" s="3">
        <v>572.0</v>
      </c>
      <c r="B567" s="3" t="s">
        <v>3320</v>
      </c>
      <c r="C567" s="3" t="s">
        <v>3321</v>
      </c>
      <c r="D567" s="3" t="s">
        <v>3322</v>
      </c>
      <c r="E567" s="3" t="s">
        <v>3323</v>
      </c>
      <c r="F567" s="3" t="s">
        <v>3324</v>
      </c>
      <c r="G567" s="3" t="s">
        <v>597</v>
      </c>
      <c r="H567" s="4" t="str">
        <f>HYPERLINK("https://dehradunbirpur.kvs.ac.in/en/", "https://dehradunbirpur.kvs.ac.in/en/")</f>
        <v>https://dehradunbirpur.kvs.ac.in/en/</v>
      </c>
      <c r="J567" s="3" t="str">
        <f>HYPERLINK("tel:+911352554434", "+911352554434")</f>
        <v>+911352554434</v>
      </c>
      <c r="K567" s="5" t="str">
        <f t="shared" si="46"/>
        <v>nan</v>
      </c>
      <c r="L567" s="6" t="s">
        <v>2901</v>
      </c>
    </row>
    <row r="568" ht="15.75" customHeight="1">
      <c r="A568" s="3">
        <v>573.0</v>
      </c>
      <c r="B568" s="3" t="s">
        <v>3325</v>
      </c>
      <c r="C568" s="3" t="s">
        <v>3326</v>
      </c>
      <c r="D568" s="3" t="s">
        <v>3327</v>
      </c>
      <c r="E568" s="3" t="s">
        <v>3328</v>
      </c>
      <c r="F568" s="3" t="s">
        <v>3329</v>
      </c>
      <c r="G568" s="3" t="s">
        <v>272</v>
      </c>
      <c r="H568" s="4" t="str">
        <f>HYPERLINK("https://swreis.ap.gov.in/", "https://swreis.ap.gov.in/")</f>
        <v>https://swreis.ap.gov.in/</v>
      </c>
      <c r="I568" s="3" t="s">
        <v>3025</v>
      </c>
      <c r="J568" s="3" t="str">
        <f>HYPERLINK("tel:+912099881005", "+912099881005")</f>
        <v>+912099881005</v>
      </c>
      <c r="K568" s="5" t="str">
        <f>HYPERLINK("mailto:egoalv@nic.in", "egoalv@nic.in")</f>
        <v>egoalv@nic.in</v>
      </c>
      <c r="L568" s="6" t="s">
        <v>3026</v>
      </c>
    </row>
    <row r="569" ht="15.75" customHeight="1">
      <c r="A569" s="3">
        <v>574.0</v>
      </c>
      <c r="B569" s="3" t="s">
        <v>3330</v>
      </c>
      <c r="C569" s="3" t="s">
        <v>3331</v>
      </c>
      <c r="D569" s="3" t="s">
        <v>3332</v>
      </c>
      <c r="E569" s="3" t="s">
        <v>3333</v>
      </c>
      <c r="F569" s="3" t="s">
        <v>589</v>
      </c>
      <c r="G569" s="3" t="s">
        <v>85</v>
      </c>
      <c r="H569" s="4" t="str">
        <f>HYPERLINK("https://www.dpspatna.com/", "https://www.dpspatna.com/")</f>
        <v>https://www.dpspatna.com/</v>
      </c>
      <c r="I569" s="3" t="s">
        <v>3334</v>
      </c>
      <c r="J569" s="3" t="str">
        <f>HYPERLINK("tel:+919973811118", "+919973811118")</f>
        <v>+919973811118</v>
      </c>
      <c r="K569" s="5" t="str">
        <f>HYPERLINK("mailto:info@dpspatna.com", "info@dpspatna.com")</f>
        <v>info@dpspatna.com</v>
      </c>
      <c r="L569" s="6" t="s">
        <v>3335</v>
      </c>
    </row>
    <row r="570" ht="15.75" customHeight="1">
      <c r="A570" s="3">
        <v>575.0</v>
      </c>
      <c r="B570" s="3" t="s">
        <v>3336</v>
      </c>
      <c r="C570" s="3" t="s">
        <v>977</v>
      </c>
      <c r="D570" s="3" t="s">
        <v>3337</v>
      </c>
      <c r="E570" s="3" t="s">
        <v>3338</v>
      </c>
      <c r="F570" s="3" t="s">
        <v>979</v>
      </c>
      <c r="G570" s="3" t="s">
        <v>100</v>
      </c>
      <c r="H570" s="4" t="str">
        <f>HYPERLINK("https://mayurpublicschool.com/", "https://mayurpublicschool.com/")</f>
        <v>https://mayurpublicschool.com/</v>
      </c>
      <c r="J570" s="3" t="str">
        <f>HYPERLINK("tel:+911122477676", "+911122477676")</f>
        <v>+911122477676</v>
      </c>
      <c r="K570" s="5" t="str">
        <f>HYPERLINK("mailto:mps_edu@yahoo.com", "mps_edu@yahoo.com")</f>
        <v>mps_edu@yahoo.com</v>
      </c>
      <c r="L570" s="6"/>
    </row>
    <row r="571" ht="15.75" customHeight="1">
      <c r="A571" s="3">
        <v>576.0</v>
      </c>
      <c r="B571" s="3" t="s">
        <v>3339</v>
      </c>
      <c r="C571" s="3" t="s">
        <v>732</v>
      </c>
      <c r="D571" s="3" t="s">
        <v>3340</v>
      </c>
      <c r="E571" s="3" t="s">
        <v>3341</v>
      </c>
      <c r="F571" s="3" t="s">
        <v>735</v>
      </c>
      <c r="G571" s="3" t="s">
        <v>100</v>
      </c>
      <c r="H571" s="4" t="str">
        <f>HYPERLINK("https://www.aps.ac.in/", "https://www.aps.ac.in/")</f>
        <v>https://www.aps.ac.in/</v>
      </c>
      <c r="J571" s="3" t="str">
        <f>HYPERLINK("tel:+919310314369", "+919310314369")</f>
        <v>+919310314369</v>
      </c>
      <c r="K571" s="5" t="str">
        <f>HYPERLINK("mailto:adarshpublicschool@hotmail.com", "adarshpublicschool@hotmail.com")</f>
        <v>adarshpublicschool@hotmail.com</v>
      </c>
      <c r="L571" s="6" t="s">
        <v>737</v>
      </c>
    </row>
    <row r="572" ht="15.75" customHeight="1">
      <c r="A572" s="3">
        <v>577.0</v>
      </c>
      <c r="B572" s="3" t="s">
        <v>3342</v>
      </c>
      <c r="C572" s="3" t="s">
        <v>3343</v>
      </c>
      <c r="D572" s="3" t="s">
        <v>3344</v>
      </c>
      <c r="E572" s="3" t="s">
        <v>3345</v>
      </c>
      <c r="F572" s="3" t="s">
        <v>3346</v>
      </c>
      <c r="G572" s="3" t="s">
        <v>175</v>
      </c>
      <c r="H572" s="4" t="str">
        <f>HYPERLINK("https://mrcahmedabad.kvs.ac.in/en/", "https://mrcahmedabad.kvs.ac.in/en/")</f>
        <v>https://mrcahmedabad.kvs.ac.in/en/</v>
      </c>
      <c r="I572" s="3" t="s">
        <v>3347</v>
      </c>
      <c r="J572" s="3" t="str">
        <f>HYPERLINK("tel:+917925626493", "+917925626493")</f>
        <v>+917925626493</v>
      </c>
      <c r="K572" s="5" t="str">
        <f t="shared" ref="K572:K573" si="47">HYPERLINK("mailto:nan", "nan")</f>
        <v>nan</v>
      </c>
      <c r="L572" s="6" t="s">
        <v>3348</v>
      </c>
    </row>
    <row r="573" ht="15.75" customHeight="1">
      <c r="A573" s="3">
        <v>578.0</v>
      </c>
      <c r="B573" s="3" t="s">
        <v>3349</v>
      </c>
      <c r="C573" s="3" t="s">
        <v>3350</v>
      </c>
      <c r="D573" s="3" t="s">
        <v>3351</v>
      </c>
      <c r="E573" s="3" t="s">
        <v>3352</v>
      </c>
      <c r="F573" s="3" t="s">
        <v>3353</v>
      </c>
      <c r="G573" s="3" t="s">
        <v>554</v>
      </c>
      <c r="H573" s="4" t="str">
        <f>HYPERLINK("https://hinoo.kvs.ac.in/en/", "https://hinoo.kvs.ac.in/en/")</f>
        <v>https://hinoo.kvs.ac.in/en/</v>
      </c>
      <c r="I573" s="3" t="s">
        <v>93</v>
      </c>
      <c r="J573" s="3" t="str">
        <f>HYPERLINK("tel:+916512482377", "+916512482377")</f>
        <v>+916512482377</v>
      </c>
      <c r="K573" s="5" t="str">
        <f t="shared" si="47"/>
        <v>nan</v>
      </c>
      <c r="L573" s="6" t="s">
        <v>3354</v>
      </c>
    </row>
    <row r="574" ht="15.75" customHeight="1">
      <c r="A574" s="3">
        <v>579.0</v>
      </c>
      <c r="B574" s="3" t="s">
        <v>3355</v>
      </c>
      <c r="C574" s="3" t="s">
        <v>3356</v>
      </c>
      <c r="D574" s="3" t="s">
        <v>3357</v>
      </c>
      <c r="E574" s="3" t="s">
        <v>3358</v>
      </c>
      <c r="F574" s="3" t="s">
        <v>3359</v>
      </c>
      <c r="G574" s="3" t="s">
        <v>31</v>
      </c>
      <c r="H574" s="4" t="str">
        <f>HYPERLINK("http://tosss.edu.in/", "http://tosss.edu.in/")</f>
        <v>http://tosss.edu.in/</v>
      </c>
      <c r="I574" s="3" t="s">
        <v>210</v>
      </c>
      <c r="J574" s="3" t="str">
        <f>HYPERLINK("tel:+919611789571", "+919611789571")</f>
        <v>+919611789571</v>
      </c>
      <c r="K574" s="5" t="str">
        <f>HYPERLINK("mailto:oxfordcbse@gmail.com", "oxfordcbse@gmail.com")</f>
        <v>oxfordcbse@gmail.com</v>
      </c>
      <c r="L574" s="6" t="s">
        <v>3360</v>
      </c>
    </row>
    <row r="575" ht="15.75" customHeight="1">
      <c r="A575" s="3">
        <v>580.0</v>
      </c>
      <c r="B575" s="3" t="s">
        <v>3361</v>
      </c>
      <c r="C575" s="3" t="s">
        <v>3362</v>
      </c>
      <c r="D575" s="3" t="s">
        <v>3363</v>
      </c>
      <c r="E575" s="3" t="s">
        <v>3364</v>
      </c>
      <c r="F575" s="3" t="s">
        <v>589</v>
      </c>
      <c r="G575" s="3" t="s">
        <v>31</v>
      </c>
      <c r="H575" s="4" t="str">
        <f>HYPERLINK("https://dpsbangalore.edu.in/", "https://dpsbangalore.edu.in/")</f>
        <v>https://dpsbangalore.edu.in/</v>
      </c>
      <c r="J575" s="3" t="str">
        <f>HYPERLINK("tel:+918022518100", "+918022518100")</f>
        <v>+918022518100</v>
      </c>
      <c r="K575" s="5" t="str">
        <f>HYPERLINK("mailto:hmcambridgeinternational@north.dpsbangalore.edu.in", "hmcambridgeinternational@north.dpsbangalore.edu.in")</f>
        <v>hmcambridgeinternational@north.dpsbangalore.edu.in</v>
      </c>
      <c r="L575" s="6" t="s">
        <v>3365</v>
      </c>
    </row>
    <row r="576" ht="15.75" customHeight="1">
      <c r="A576" s="3">
        <v>581.0</v>
      </c>
      <c r="B576" s="3" t="s">
        <v>3366</v>
      </c>
      <c r="C576" s="3" t="s">
        <v>635</v>
      </c>
      <c r="D576" s="3" t="s">
        <v>3367</v>
      </c>
      <c r="E576" s="3" t="s">
        <v>3368</v>
      </c>
      <c r="F576" s="3" t="s">
        <v>638</v>
      </c>
      <c r="G576" s="3" t="s">
        <v>58</v>
      </c>
      <c r="H576" s="4" t="str">
        <f>HYPERLINK("https://vyasavidyapeethom.in/", "https://vyasavidyapeethom.in/")</f>
        <v>https://vyasavidyapeethom.in/</v>
      </c>
      <c r="I576" s="3" t="s">
        <v>639</v>
      </c>
      <c r="J576" s="3" t="str">
        <f>HYPERLINK("tel:+918078099504", "+918078099504")</f>
        <v>+918078099504</v>
      </c>
      <c r="K576" s="5" t="str">
        <f>HYPERLINK("mailto:vyasa930022principal@gmail.com", "vyasa930022principal@gmail.com")</f>
        <v>vyasa930022principal@gmail.com</v>
      </c>
      <c r="L576" s="6" t="s">
        <v>640</v>
      </c>
    </row>
    <row r="577" ht="15.75" customHeight="1">
      <c r="A577" s="3">
        <v>582.0</v>
      </c>
      <c r="B577" s="3" t="s">
        <v>3369</v>
      </c>
      <c r="C577" s="3" t="s">
        <v>3370</v>
      </c>
      <c r="D577" s="3" t="s">
        <v>3371</v>
      </c>
      <c r="E577" s="3" t="s">
        <v>3372</v>
      </c>
      <c r="F577" s="3" t="s">
        <v>3373</v>
      </c>
      <c r="G577" s="3" t="s">
        <v>58</v>
      </c>
      <c r="H577" s="4" t="str">
        <f>HYPERLINK("https://ernakulam.nic.in/en/public-utility/ghss-mulanthuruthy/", "https://ernakulam.nic.in/en/public-utility/ghss-mulanthuruthy/")</f>
        <v>https://ernakulam.nic.in/en/public-utility/ghss-mulanthuruthy/</v>
      </c>
      <c r="I577" s="3" t="s">
        <v>3374</v>
      </c>
      <c r="J577" s="3" t="str">
        <f>HYPERLINK("tel:+914842740353", "+914842740353")</f>
        <v>+914842740353</v>
      </c>
      <c r="K577" s="5" t="str">
        <f t="shared" ref="K577:K578" si="48">HYPERLINK("mailto:dirdhse.dge@kerala.gov.in", "dirdhse.dge@kerala.gov.in")</f>
        <v>dirdhse.dge@kerala.gov.in</v>
      </c>
      <c r="L577" s="6" t="s">
        <v>3375</v>
      </c>
    </row>
    <row r="578" ht="15.75" customHeight="1">
      <c r="A578" s="3">
        <v>583.0</v>
      </c>
      <c r="B578" s="3" t="s">
        <v>3376</v>
      </c>
      <c r="C578" s="3" t="s">
        <v>3377</v>
      </c>
      <c r="D578" s="3" t="s">
        <v>3378</v>
      </c>
      <c r="E578" s="3" t="s">
        <v>3379</v>
      </c>
      <c r="F578" s="3" t="s">
        <v>3380</v>
      </c>
      <c r="G578" s="3" t="s">
        <v>58</v>
      </c>
      <c r="H578" s="4" t="str">
        <f>HYPERLINK("https://schools.org.in/palakkad/32061300311/gmrs-thrithala.html", "https://schools.org.in/palakkad/32061300311/gmrs-thrithala.html")</f>
        <v>https://schools.org.in/palakkad/32061300311/gmrs-thrithala.html</v>
      </c>
      <c r="I578" s="3" t="s">
        <v>3381</v>
      </c>
      <c r="J578" s="3" t="str">
        <f>HYPERLINK("tel:+914712325106", "+914712325106")</f>
        <v>+914712325106</v>
      </c>
      <c r="K578" s="5" t="str">
        <f t="shared" si="48"/>
        <v>dirdhse.dge@kerala.gov.in</v>
      </c>
      <c r="L578" s="6" t="s">
        <v>3382</v>
      </c>
    </row>
    <row r="579" ht="15.75" customHeight="1">
      <c r="A579" s="3">
        <v>584.0</v>
      </c>
      <c r="B579" s="3" t="s">
        <v>3383</v>
      </c>
      <c r="C579" s="3" t="s">
        <v>3384</v>
      </c>
      <c r="D579" s="3" t="s">
        <v>3385</v>
      </c>
      <c r="E579" s="3" t="s">
        <v>3386</v>
      </c>
      <c r="F579" s="3" t="s">
        <v>3387</v>
      </c>
      <c r="G579" s="3" t="s">
        <v>115</v>
      </c>
      <c r="H579" s="4" t="str">
        <f>HYPERLINK("https://mungaoli.kvs.ac.in/en/", "https://mungaoli.kvs.ac.in/en/")</f>
        <v>https://mungaoli.kvs.ac.in/en/</v>
      </c>
      <c r="I579" s="3" t="s">
        <v>93</v>
      </c>
      <c r="J579" s="3" t="str">
        <f>HYPERLINK("tel:+919473567956", "+919473567956")</f>
        <v>+919473567956</v>
      </c>
      <c r="K579" s="5" t="str">
        <f>HYPERLINK("mailto:dmashoknagar@nic.in", "dmashoknagar@nic.in")</f>
        <v>dmashoknagar@nic.in</v>
      </c>
      <c r="L579" s="6"/>
    </row>
    <row r="580" ht="15.75" customHeight="1">
      <c r="A580" s="3">
        <v>585.0</v>
      </c>
      <c r="B580" s="3" t="s">
        <v>3388</v>
      </c>
      <c r="C580" s="3" t="s">
        <v>3389</v>
      </c>
      <c r="D580" s="3" t="s">
        <v>3390</v>
      </c>
      <c r="E580" s="3" t="s">
        <v>3391</v>
      </c>
      <c r="F580" s="3" t="s">
        <v>3392</v>
      </c>
      <c r="G580" s="3" t="s">
        <v>356</v>
      </c>
      <c r="H580" s="4" t="str">
        <f>HYPERLINK("https://erp.oav.edu.in/", "https://erp.oav.edu.in/")</f>
        <v>https://erp.oav.edu.in/</v>
      </c>
      <c r="I580" s="3" t="s">
        <v>3393</v>
      </c>
      <c r="J580" s="3" t="str">
        <f>HYPERLINK("tel:+916742302329", "+916742302329")</f>
        <v>+916742302329</v>
      </c>
      <c r="K580" s="5" t="str">
        <f>HYPERLINK("mailto:ori-bansnpal@nic.in", "ori-bansnpal@nic.in")</f>
        <v>ori-bansnpal@nic.in</v>
      </c>
      <c r="L580" s="6" t="s">
        <v>3394</v>
      </c>
    </row>
    <row r="581" ht="15.75" customHeight="1">
      <c r="A581" s="3">
        <v>586.0</v>
      </c>
      <c r="B581" s="3" t="s">
        <v>3395</v>
      </c>
      <c r="C581" s="3" t="s">
        <v>3396</v>
      </c>
      <c r="D581" s="3" t="s">
        <v>3397</v>
      </c>
      <c r="E581" s="3" t="s">
        <v>3398</v>
      </c>
      <c r="F581" s="3" t="s">
        <v>3399</v>
      </c>
      <c r="G581" s="3" t="s">
        <v>17</v>
      </c>
      <c r="H581" s="4" t="str">
        <f>HYPERLINK("https://schools.org.in/thanjavur/33211400508/ghs-kondraikkadu.html", "https://schools.org.in/thanjavur/33211400508/ghs-kondraikkadu.html")</f>
        <v>https://schools.org.in/thanjavur/33211400508/ghs-kondraikkadu.html</v>
      </c>
      <c r="I581" s="3" t="s">
        <v>3400</v>
      </c>
      <c r="J581" s="3" t="str">
        <f>HYPERLINK("tel:+918660726231", "+918660726231")</f>
        <v>+918660726231</v>
      </c>
      <c r="K581" s="5" t="str">
        <f>HYPERLINK("mailto:nan", "nan")</f>
        <v>nan</v>
      </c>
      <c r="L581" s="6" t="s">
        <v>3401</v>
      </c>
    </row>
    <row r="582" ht="15.75" customHeight="1">
      <c r="A582" s="3">
        <v>587.0</v>
      </c>
      <c r="B582" s="3" t="s">
        <v>3402</v>
      </c>
      <c r="C582" s="3" t="s">
        <v>3403</v>
      </c>
      <c r="D582" s="3" t="s">
        <v>3404</v>
      </c>
      <c r="E582" s="3" t="s">
        <v>2576</v>
      </c>
      <c r="F582" s="3" t="s">
        <v>3405</v>
      </c>
      <c r="G582" s="3" t="s">
        <v>130</v>
      </c>
      <c r="H582" s="4" t="str">
        <f>HYPERLINK("https://khammam.telangana.gov.in/public-utility/zphs-mahadevpuram/", "https://khammam.telangana.gov.in/public-utility/zphs-mahadevpuram/")</f>
        <v>https://khammam.telangana.gov.in/public-utility/zphs-mahadevpuram/</v>
      </c>
      <c r="I582" s="3" t="s">
        <v>3406</v>
      </c>
      <c r="J582" s="3" t="str">
        <f>HYPERLINK("tel:+919440665185", "+919440665185")</f>
        <v>+919440665185</v>
      </c>
      <c r="K582" s="5" t="str">
        <f>HYPERLINK("mailto:dio-mbd@nic.in", "dio-mbd@nic.in")</f>
        <v>dio-mbd@nic.in</v>
      </c>
      <c r="L582" s="6" t="s">
        <v>3407</v>
      </c>
    </row>
    <row r="583" ht="15.75" customHeight="1">
      <c r="A583" s="3">
        <v>588.0</v>
      </c>
      <c r="B583" s="3" t="s">
        <v>3408</v>
      </c>
      <c r="C583" s="3" t="s">
        <v>3409</v>
      </c>
      <c r="D583" s="3" t="s">
        <v>3410</v>
      </c>
      <c r="E583" s="3" t="s">
        <v>3411</v>
      </c>
      <c r="F583" s="3" t="s">
        <v>3412</v>
      </c>
      <c r="G583" s="3" t="s">
        <v>229</v>
      </c>
      <c r="H583" s="4" t="str">
        <f>HYPERLINK("https://cgschool.in/saems/SAEMSIndexEnglish.aspx", "https://cgschool.in/saems/SAEMSIndexEnglish.aspx")</f>
        <v>https://cgschool.in/saems/SAEMSIndexEnglish.aspx</v>
      </c>
      <c r="I583" s="3" t="s">
        <v>3413</v>
      </c>
      <c r="J583" s="3" t="str">
        <f>HYPERLINK("tel:+917712331385", "+917712331385")</f>
        <v>+917712331385</v>
      </c>
      <c r="K583" s="5" t="str">
        <f>HYPERLINK("mailto:cg.dpi.dir@gmail.com", "cg.dpi.dir@gmail.com")</f>
        <v>cg.dpi.dir@gmail.com</v>
      </c>
      <c r="L583" s="6" t="s">
        <v>3414</v>
      </c>
    </row>
    <row r="584" ht="15.75" customHeight="1">
      <c r="A584" s="3">
        <v>589.0</v>
      </c>
      <c r="B584" s="3" t="s">
        <v>3415</v>
      </c>
      <c r="C584" s="3" t="s">
        <v>3416</v>
      </c>
      <c r="D584" s="3" t="s">
        <v>3417</v>
      </c>
      <c r="E584" s="3" t="s">
        <v>3418</v>
      </c>
      <c r="F584" s="3" t="s">
        <v>3419</v>
      </c>
      <c r="G584" s="3" t="s">
        <v>31</v>
      </c>
      <c r="H584" s="4" t="str">
        <f>HYPERLINK("https://malleshwaram.kvs.ac.in/en/", "https://malleshwaram.kvs.ac.in/en/")</f>
        <v>https://malleshwaram.kvs.ac.in/en/</v>
      </c>
      <c r="J584" s="3" t="str">
        <f>HYPERLINK("tel:+918023341454", "+918023341454")</f>
        <v>+918023341454</v>
      </c>
      <c r="K584" s="5" t="str">
        <f>HYPERLINK("mailto:nan", "nan")</f>
        <v>nan</v>
      </c>
      <c r="L584" s="6" t="s">
        <v>3420</v>
      </c>
    </row>
    <row r="585" ht="15.75" customHeight="1">
      <c r="A585" s="3">
        <v>591.0</v>
      </c>
      <c r="B585" s="3" t="s">
        <v>3421</v>
      </c>
      <c r="C585" s="3" t="s">
        <v>3422</v>
      </c>
      <c r="D585" s="3" t="s">
        <v>3423</v>
      </c>
      <c r="E585" s="3" t="s">
        <v>3423</v>
      </c>
      <c r="F585" s="3" t="s">
        <v>3424</v>
      </c>
      <c r="G585" s="3" t="s">
        <v>58</v>
      </c>
      <c r="H585" s="4" t="str">
        <f>HYPERLINK("https://schools.org.in/kollam/32130800504/devi-vilasam-nair-service-society-higher-secondary-school-poovattoor.html", "https://schools.org.in/kollam/32130800504/devi-vilasam-nair-service-society-higher-secondary-school-poovattoor.html")</f>
        <v>https://schools.org.in/kollam/32130800504/devi-vilasam-nair-service-society-higher-secondary-school-poovattoor.html</v>
      </c>
      <c r="I585" s="3" t="s">
        <v>286</v>
      </c>
      <c r="J585" s="3" t="str">
        <f>HYPERLINK("tel:+914712529800", "+914712529800")</f>
        <v>+914712529800</v>
      </c>
      <c r="K585" s="5" t="str">
        <f>HYPERLINK("mailto:kalolsavam@kite.kerala.gov.in", "kalolsavam@kite.kerala.gov.in")</f>
        <v>kalolsavam@kite.kerala.gov.in</v>
      </c>
      <c r="L585" s="6" t="s">
        <v>3425</v>
      </c>
    </row>
    <row r="586" ht="15.75" customHeight="1">
      <c r="A586" s="3">
        <v>592.0</v>
      </c>
      <c r="B586" s="3" t="s">
        <v>3426</v>
      </c>
      <c r="C586" s="3" t="s">
        <v>3427</v>
      </c>
      <c r="D586" s="3" t="s">
        <v>3428</v>
      </c>
      <c r="E586" s="3" t="s">
        <v>3429</v>
      </c>
      <c r="F586" s="3" t="s">
        <v>3430</v>
      </c>
      <c r="G586" s="3" t="s">
        <v>70</v>
      </c>
      <c r="H586" s="4" t="str">
        <f>HYPERLINK("https://svgmsnewai.com/", "https://svgmsnewai.com/")</f>
        <v>https://svgmsnewai.com/</v>
      </c>
      <c r="I586" s="3" t="s">
        <v>3431</v>
      </c>
      <c r="J586" s="3" t="str">
        <f>HYPERLINK("tel:+918220308122", "+918220308122")</f>
        <v>+918220308122</v>
      </c>
      <c r="K586" s="5" t="str">
        <f>HYPERLINK("mailto:modelschoolnewai@gmail.com", "modelschoolnewai@gmail.com")</f>
        <v>modelschoolnewai@gmail.com</v>
      </c>
      <c r="L586" s="6" t="s">
        <v>3432</v>
      </c>
    </row>
    <row r="587" ht="15.75" customHeight="1">
      <c r="A587" s="3">
        <v>593.0</v>
      </c>
      <c r="B587" s="3" t="s">
        <v>3433</v>
      </c>
      <c r="C587" s="3" t="s">
        <v>3434</v>
      </c>
      <c r="D587" s="3" t="s">
        <v>3435</v>
      </c>
      <c r="E587" s="3" t="s">
        <v>945</v>
      </c>
      <c r="F587" s="3" t="s">
        <v>3436</v>
      </c>
      <c r="G587" s="3" t="s">
        <v>17</v>
      </c>
      <c r="H587" s="4" t="str">
        <f>HYPERLINK("https://www.justdial.com/Paramakudi/Sourashtra-Higher-Secondary-School-Sundhar-Nagar-Sundhar-Nagar/9999P4564-4564-181128112601-F6R9_BZDET", "https://www.justdial.com/Paramakudi/Sourashtra-Higher-Secondary-School-Sundhar-Nagar-Sundhar-Nagar/9999P4564-4564-181128112601-F6R9_BZDET")</f>
        <v>https://www.justdial.com/Paramakudi/Sourashtra-Higher-Secondary-School-Sundhar-Nagar-Sundhar-Nagar/9999P4564-4564-181128112601-F6R9_BZDET</v>
      </c>
      <c r="I587" s="3" t="s">
        <v>3437</v>
      </c>
      <c r="J587" s="3" t="str">
        <f>HYPERLINK("tel:+919999333223", "+919999333223")</f>
        <v>+919999333223</v>
      </c>
      <c r="K587" s="5" t="str">
        <f>HYPERLINK("mailto:contact@mappls.com", "contact@mappls.com")</f>
        <v>contact@mappls.com</v>
      </c>
      <c r="L587" s="6" t="s">
        <v>3438</v>
      </c>
    </row>
    <row r="588" ht="15.75" customHeight="1">
      <c r="A588" s="3">
        <v>594.0</v>
      </c>
      <c r="B588" s="3" t="s">
        <v>3439</v>
      </c>
      <c r="C588" s="3" t="s">
        <v>3440</v>
      </c>
      <c r="D588" s="3" t="s">
        <v>3441</v>
      </c>
      <c r="E588" s="3" t="s">
        <v>3442</v>
      </c>
      <c r="F588" s="3" t="s">
        <v>3443</v>
      </c>
      <c r="G588" s="3" t="s">
        <v>17</v>
      </c>
      <c r="H588" s="4" t="str">
        <f>HYPERLINK("https://campiontrichy.com/", "https://campiontrichy.com/")</f>
        <v>https://campiontrichy.com/</v>
      </c>
      <c r="I588" s="3" t="s">
        <v>3444</v>
      </c>
      <c r="J588" s="3" t="str">
        <f>HYPERLINK("tel:+917305397514", "+917305397514")</f>
        <v>+917305397514</v>
      </c>
      <c r="K588" s="5" t="str">
        <f>HYPERLINK("mailto:campionschool@yahoo.co.in", "campionschool@yahoo.co.in")</f>
        <v>campionschool@yahoo.co.in</v>
      </c>
      <c r="L588" s="6"/>
    </row>
    <row r="589" ht="15.75" customHeight="1">
      <c r="A589" s="3">
        <v>595.0</v>
      </c>
      <c r="B589" s="3" t="s">
        <v>3445</v>
      </c>
      <c r="C589" s="3" t="s">
        <v>3446</v>
      </c>
      <c r="D589" s="3" t="s">
        <v>3447</v>
      </c>
      <c r="E589" s="3" t="s">
        <v>3448</v>
      </c>
      <c r="F589" s="3" t="s">
        <v>3449</v>
      </c>
      <c r="G589" s="3" t="s">
        <v>17</v>
      </c>
      <c r="H589" s="4" t="str">
        <f>HYPERLINK("https://schools.org.in/coimbatore/33122000302/government-higher-secondary-school-edayarpalayam.html", "https://schools.org.in/coimbatore/33122000302/government-higher-secondary-school-edayarpalayam.html")</f>
        <v>https://schools.org.in/coimbatore/33122000302/government-higher-secondary-school-edayarpalayam.html</v>
      </c>
      <c r="I589" s="3" t="s">
        <v>3450</v>
      </c>
      <c r="J589" s="3" t="str">
        <f t="shared" ref="J589:J590" si="49">HYPERLINK("tel:nan", "nan")</f>
        <v>nan</v>
      </c>
      <c r="K589" s="5" t="str">
        <f t="shared" ref="K589:K591" si="50">HYPERLINK("mailto:nan", "nan")</f>
        <v>nan</v>
      </c>
      <c r="L589" s="6" t="s">
        <v>3451</v>
      </c>
    </row>
    <row r="590" ht="15.75" customHeight="1">
      <c r="A590" s="3">
        <v>596.0</v>
      </c>
      <c r="B590" s="3" t="s">
        <v>3452</v>
      </c>
      <c r="C590" s="3" t="s">
        <v>3453</v>
      </c>
      <c r="D590" s="3" t="s">
        <v>3454</v>
      </c>
      <c r="E590" s="3" t="s">
        <v>3455</v>
      </c>
      <c r="F590" s="3" t="s">
        <v>3456</v>
      </c>
      <c r="G590" s="3" t="s">
        <v>272</v>
      </c>
      <c r="H590" s="4" t="str">
        <f>HYPERLINK("https://swreis.ap.gov.in/", "https://swreis.ap.gov.in/")</f>
        <v>https://swreis.ap.gov.in/</v>
      </c>
      <c r="J590" s="3" t="str">
        <f t="shared" si="49"/>
        <v>nan</v>
      </c>
      <c r="K590" s="5" t="str">
        <f t="shared" si="50"/>
        <v>nan</v>
      </c>
      <c r="L590" s="6"/>
    </row>
    <row r="591" ht="15.75" customHeight="1">
      <c r="A591" s="3">
        <v>597.0</v>
      </c>
      <c r="B591" s="3" t="s">
        <v>3457</v>
      </c>
      <c r="C591" s="3" t="s">
        <v>3458</v>
      </c>
      <c r="D591" s="3" t="s">
        <v>3459</v>
      </c>
      <c r="E591" s="3" t="s">
        <v>3460</v>
      </c>
      <c r="F591" s="3" t="s">
        <v>3461</v>
      </c>
      <c r="G591" s="3" t="s">
        <v>272</v>
      </c>
      <c r="H591" s="4" t="str">
        <f>HYPERLINK("https://apms.apcfss.in/", "https://apms.apcfss.in/")</f>
        <v>https://apms.apcfss.in/</v>
      </c>
      <c r="J591" s="3" t="str">
        <f>HYPERLINK("tel:+911230413241", "+911230413241")</f>
        <v>+911230413241</v>
      </c>
      <c r="K591" s="5" t="str">
        <f t="shared" si="50"/>
        <v>nan</v>
      </c>
      <c r="L591" s="6" t="s">
        <v>3462</v>
      </c>
    </row>
    <row r="592" ht="15.75" customHeight="1">
      <c r="A592" s="3">
        <v>598.0</v>
      </c>
      <c r="B592" s="3" t="s">
        <v>3463</v>
      </c>
      <c r="C592" s="3" t="s">
        <v>3464</v>
      </c>
      <c r="D592" s="3" t="s">
        <v>3465</v>
      </c>
      <c r="E592" s="3" t="s">
        <v>3466</v>
      </c>
      <c r="F592" s="3" t="s">
        <v>3467</v>
      </c>
      <c r="G592" s="3" t="s">
        <v>182</v>
      </c>
      <c r="H592" s="4" t="str">
        <f>HYPERLINK("https://www.facebook.com/hsskhanda/", "https://www.facebook.com/hsskhanda/")</f>
        <v>https://www.facebook.com/hsskhanda/</v>
      </c>
      <c r="I592" s="3" t="s">
        <v>3468</v>
      </c>
      <c r="J592" s="3" t="str">
        <f>HYPERLINK("tel:+911951255203", "+911951255203")</f>
        <v>+911951255203</v>
      </c>
      <c r="K592" s="5" t="str">
        <f>HYPERLINK("mailto:ceobudgaam@gmail.com", "ceobudgaam@gmail.com")</f>
        <v>ceobudgaam@gmail.com</v>
      </c>
      <c r="L592" s="6" t="s">
        <v>3469</v>
      </c>
    </row>
    <row r="593" ht="15.75" customHeight="1">
      <c r="A593" s="3">
        <v>599.0</v>
      </c>
      <c r="B593" s="3" t="s">
        <v>3470</v>
      </c>
      <c r="C593" s="3" t="s">
        <v>3471</v>
      </c>
      <c r="D593" s="3" t="s">
        <v>3472</v>
      </c>
      <c r="E593" s="3" t="s">
        <v>3473</v>
      </c>
      <c r="F593" s="3" t="s">
        <v>3474</v>
      </c>
      <c r="G593" s="3" t="s">
        <v>554</v>
      </c>
      <c r="H593" s="4" t="str">
        <f>HYPERLINK("https://vbcvjsr.in/", "https://vbcvjsr.in/")</f>
        <v>https://vbcvjsr.in/</v>
      </c>
      <c r="I593" s="3" t="s">
        <v>5</v>
      </c>
      <c r="J593" s="3" t="str">
        <f>HYPERLINK("tel:+916572286829", "+916572286829")</f>
        <v>+916572286829</v>
      </c>
      <c r="K593" s="5" t="str">
        <f>HYPERLINK("mailto:vbcvjsr@gmail.com", "vbcvjsr@gmail.com")</f>
        <v>vbcvjsr@gmail.com</v>
      </c>
      <c r="L593" s="6"/>
    </row>
    <row r="594" ht="15.75" customHeight="1">
      <c r="A594" s="3">
        <v>600.0</v>
      </c>
      <c r="B594" s="3" t="s">
        <v>3475</v>
      </c>
      <c r="C594" s="3" t="s">
        <v>3476</v>
      </c>
      <c r="D594" s="3" t="s">
        <v>3477</v>
      </c>
      <c r="E594" s="3" t="s">
        <v>3478</v>
      </c>
      <c r="F594" s="3" t="s">
        <v>3479</v>
      </c>
      <c r="G594" s="3" t="s">
        <v>31</v>
      </c>
      <c r="H594" s="4" t="str">
        <f>HYPERLINK("https://schools.org.in/belagavi-chikkodi/29301406709/gns-comp-p-u-college-yadawad.html", "https://schools.org.in/belagavi-chikkodi/29301406709/gns-comp-p-u-college-yadawad.html")</f>
        <v>https://schools.org.in/belagavi-chikkodi/29301406709/gns-comp-p-u-college-yadawad.html</v>
      </c>
      <c r="I594" s="3" t="s">
        <v>3480</v>
      </c>
      <c r="J594" s="3" t="str">
        <f>HYPERLINK("tel:+918028571484", "+918028571484")</f>
        <v>+918028571484</v>
      </c>
      <c r="K594" s="5" t="str">
        <f>HYPERLINK("mailto:admissionsinkcgi@gmail.com", "admissionsinkcgi@gmail.com")</f>
        <v>admissionsinkcgi@gmail.com</v>
      </c>
      <c r="L594" s="6" t="s">
        <v>3481</v>
      </c>
    </row>
    <row r="595" ht="15.75" customHeight="1">
      <c r="A595" s="3">
        <v>601.0</v>
      </c>
      <c r="B595" s="3" t="s">
        <v>3482</v>
      </c>
      <c r="C595" s="3" t="s">
        <v>3483</v>
      </c>
      <c r="D595" s="3" t="s">
        <v>3484</v>
      </c>
      <c r="E595" s="3" t="s">
        <v>3485</v>
      </c>
      <c r="F595" s="3" t="s">
        <v>3486</v>
      </c>
      <c r="G595" s="3" t="s">
        <v>58</v>
      </c>
      <c r="H595" s="4" t="str">
        <f>HYPERLINK("https://www.navodaya.gov.in/nvs/nvs-school/PALAKKAD/en/home/", "https://www.navodaya.gov.in/nvs/nvs-school/PALAKKAD/en/home/")</f>
        <v>https://www.navodaya.gov.in/nvs/nvs-school/PALAKKAD/en/home/</v>
      </c>
      <c r="I595" s="3" t="s">
        <v>3487</v>
      </c>
      <c r="J595" s="3" t="str">
        <f>HYPERLINK("tel:+914029700571", "+914029700571")</f>
        <v>+914029700571</v>
      </c>
      <c r="K595" s="5" t="str">
        <f>HYPERLINK("mailto:ithelpdesk.nvs@gmail.com", "ithelpdesk.nvs@gmail.com")</f>
        <v>ithelpdesk.nvs@gmail.com</v>
      </c>
      <c r="L595" s="6"/>
    </row>
    <row r="596" ht="15.75" customHeight="1">
      <c r="A596" s="3">
        <v>602.0</v>
      </c>
      <c r="B596" s="3" t="s">
        <v>3488</v>
      </c>
      <c r="C596" s="3" t="s">
        <v>3489</v>
      </c>
      <c r="D596" s="3" t="s">
        <v>3490</v>
      </c>
      <c r="E596" s="3" t="s">
        <v>3491</v>
      </c>
      <c r="F596" s="3" t="s">
        <v>3492</v>
      </c>
      <c r="G596" s="3" t="s">
        <v>115</v>
      </c>
      <c r="H596" s="4" t="str">
        <f>HYPERLINK("https://khargone.kvs.ac.in/en/", "https://khargone.kvs.ac.in/en/")</f>
        <v>https://khargone.kvs.ac.in/en/</v>
      </c>
      <c r="I596" s="3" t="s">
        <v>3493</v>
      </c>
      <c r="J596" s="3" t="str">
        <f>HYPERLINK("tel:+919651274645", "+919651274645")</f>
        <v>+919651274645</v>
      </c>
      <c r="K596" s="5" t="str">
        <f>HYPERLINK("mailto:nan", "nan")</f>
        <v>nan</v>
      </c>
      <c r="L596" s="6"/>
    </row>
    <row r="597" ht="15.75" customHeight="1">
      <c r="A597" s="3">
        <v>604.0</v>
      </c>
      <c r="B597" s="3" t="s">
        <v>3494</v>
      </c>
      <c r="C597" s="3" t="s">
        <v>3495</v>
      </c>
      <c r="D597" s="3" t="s">
        <v>3496</v>
      </c>
      <c r="E597" s="3" t="s">
        <v>3497</v>
      </c>
      <c r="F597" s="3" t="s">
        <v>3498</v>
      </c>
      <c r="G597" s="3" t="s">
        <v>17</v>
      </c>
      <c r="H597" s="4" t="str">
        <f>HYPERLINK("https://schools.org.in/kanniyakumari/33300600504/govt-adi-dra-r-hss-pechipparai.html", "https://schools.org.in/kanniyakumari/33300600504/govt-adi-dra-r-hss-pechipparai.html")</f>
        <v>https://schools.org.in/kanniyakumari/33300600504/govt-adi-dra-r-hss-pechipparai.html</v>
      </c>
      <c r="I597" s="3" t="s">
        <v>3499</v>
      </c>
      <c r="J597" s="3" t="str">
        <f>HYPERLINK("tel:+914428576300", "+914428576300")</f>
        <v>+914428576300</v>
      </c>
      <c r="K597" s="5" t="str">
        <f>HYPERLINK("mailto:letters@thehindu.co.in", "letters@thehindu.co.in")</f>
        <v>letters@thehindu.co.in</v>
      </c>
      <c r="L597" s="6" t="s">
        <v>3500</v>
      </c>
    </row>
    <row r="598" ht="15.75" customHeight="1">
      <c r="A598" s="3">
        <v>605.0</v>
      </c>
      <c r="B598" s="3" t="s">
        <v>3501</v>
      </c>
      <c r="C598" s="3" t="s">
        <v>1125</v>
      </c>
      <c r="D598" s="3" t="s">
        <v>3502</v>
      </c>
      <c r="E598" s="3" t="s">
        <v>3503</v>
      </c>
      <c r="F598" s="3" t="s">
        <v>1128</v>
      </c>
      <c r="G598" s="3" t="s">
        <v>138</v>
      </c>
      <c r="H598" s="4" t="str">
        <f>HYPERLINK("https://stteresaschool.in/", "https://stteresaschool.in/")</f>
        <v>https://stteresaschool.in/</v>
      </c>
      <c r="J598" s="3" t="str">
        <f>HYPERLINK("tel:+918826000216", "+918826000216")</f>
        <v>+918826000216</v>
      </c>
      <c r="K598" s="5" t="str">
        <f>HYPERLINK("mailto:stteresaschool.indirapuram@gmail.com", "stteresaschool.indirapuram@gmail.com")</f>
        <v>stteresaschool.indirapuram@gmail.com</v>
      </c>
      <c r="L598" s="6"/>
    </row>
    <row r="599" ht="15.75" customHeight="1">
      <c r="A599" s="3">
        <v>606.0</v>
      </c>
      <c r="B599" s="3" t="s">
        <v>3504</v>
      </c>
      <c r="C599" s="3" t="s">
        <v>3505</v>
      </c>
      <c r="D599" s="3" t="s">
        <v>3506</v>
      </c>
      <c r="E599" s="3" t="s">
        <v>3507</v>
      </c>
      <c r="F599" s="3" t="s">
        <v>3508</v>
      </c>
      <c r="G599" s="3" t="s">
        <v>138</v>
      </c>
      <c r="H599" s="4" t="str">
        <f>HYPERLINK("https://sunbeamschools.com/default.aspx", "https://sunbeamschools.com/default.aspx")</f>
        <v>https://sunbeamschools.com/default.aspx</v>
      </c>
      <c r="J599" s="3" t="str">
        <f>HYPERLINK("tel:+919721453272", "+919721453272")</f>
        <v>+919721453272</v>
      </c>
      <c r="K599" s="5" t="str">
        <f>HYPERLINK("mailto:Sunbeam.deoria@gmail.com", "Sunbeam.deoria@gmail.com")</f>
        <v>Sunbeam.deoria@gmail.com</v>
      </c>
      <c r="L599" s="6"/>
    </row>
    <row r="600" ht="15.75" customHeight="1">
      <c r="A600" s="3">
        <v>607.0</v>
      </c>
      <c r="B600" s="3" t="s">
        <v>3509</v>
      </c>
      <c r="C600" s="3" t="s">
        <v>3510</v>
      </c>
      <c r="D600" s="3" t="s">
        <v>3511</v>
      </c>
      <c r="E600" s="3" t="s">
        <v>3512</v>
      </c>
      <c r="F600" s="3" t="s">
        <v>3513</v>
      </c>
      <c r="G600" s="3" t="s">
        <v>100</v>
      </c>
      <c r="H600" s="4" t="str">
        <f>HYPERLINK("https://www.facebook.com/p/Rajkiya-Sarvodaya-Bal-Vidyalaya-West-Vinod-Nagar-1002005-61551604432183/", "https://www.facebook.com/p/Rajkiya-Sarvodaya-Bal-Vidyalaya-West-Vinod-Nagar-1002005-61551604432183/")</f>
        <v>https://www.facebook.com/p/Rajkiya-Sarvodaya-Bal-Vidyalaya-West-Vinod-Nagar-1002005-61551604432183/</v>
      </c>
      <c r="I600" s="3" t="s">
        <v>286</v>
      </c>
      <c r="J600" s="3" t="str">
        <f>HYPERLINK("tel:+917040121703", "+917040121703")</f>
        <v>+917040121703</v>
      </c>
      <c r="K600" s="5" t="str">
        <f>HYPERLINK("mailto:nan", "nan")</f>
        <v>nan</v>
      </c>
      <c r="L600" s="6" t="s">
        <v>3514</v>
      </c>
    </row>
    <row r="601" ht="15.75" customHeight="1">
      <c r="A601" s="3">
        <v>608.0</v>
      </c>
      <c r="B601" s="3" t="s">
        <v>3515</v>
      </c>
      <c r="C601" s="3" t="s">
        <v>3516</v>
      </c>
      <c r="D601" s="3" t="s">
        <v>3517</v>
      </c>
      <c r="E601" s="3" t="s">
        <v>3518</v>
      </c>
      <c r="F601" s="3" t="s">
        <v>3519</v>
      </c>
      <c r="G601" s="3" t="s">
        <v>100</v>
      </c>
      <c r="H601" s="4" t="str">
        <f>HYPERLINK("https://www.vis10dwarka.com/", "https://www.vis10dwarka.com/")</f>
        <v>https://www.vis10dwarka.com/</v>
      </c>
      <c r="J601" s="3" t="str">
        <f>HYPERLINK("tel:+911143180800", "+911143180800")</f>
        <v>+911143180800</v>
      </c>
      <c r="K601" s="5" t="str">
        <f>HYPERLINK("mailto:principal@vis10dwarka.com", "principal@vis10dwarka.com")</f>
        <v>principal@vis10dwarka.com</v>
      </c>
      <c r="L601" s="6" t="s">
        <v>3520</v>
      </c>
    </row>
    <row r="602" ht="15.75" customHeight="1">
      <c r="A602" s="3">
        <v>609.0</v>
      </c>
      <c r="B602" s="3" t="s">
        <v>3521</v>
      </c>
      <c r="C602" s="3" t="s">
        <v>1313</v>
      </c>
      <c r="D602" s="3" t="s">
        <v>3522</v>
      </c>
      <c r="E602" s="3" t="s">
        <v>3523</v>
      </c>
      <c r="F602" s="3" t="s">
        <v>1316</v>
      </c>
      <c r="G602" s="3" t="s">
        <v>175</v>
      </c>
      <c r="H602" s="4" t="str">
        <f>HYPERLINK("https://danteshwareng.barodahighschool.com/", "https://danteshwareng.barodahighschool.com/")</f>
        <v>https://danteshwareng.barodahighschool.com/</v>
      </c>
      <c r="J602" s="3" t="str">
        <f>HYPERLINK("tel:+919016962440", "+919016962440")</f>
        <v>+919016962440</v>
      </c>
      <c r="K602" s="5" t="str">
        <f>HYPERLINK("mailto:office.bhsde@bhs.edu.in", "office.bhsde@bhs.edu.in")</f>
        <v>office.bhsde@bhs.edu.in</v>
      </c>
      <c r="L602" s="6"/>
    </row>
    <row r="603" ht="15.75" customHeight="1">
      <c r="A603" s="3">
        <v>610.0</v>
      </c>
      <c r="B603" s="3" t="s">
        <v>3524</v>
      </c>
      <c r="C603" s="3" t="s">
        <v>2446</v>
      </c>
      <c r="D603" s="3" t="s">
        <v>3525</v>
      </c>
      <c r="E603" s="3" t="s">
        <v>3526</v>
      </c>
      <c r="F603" s="3" t="s">
        <v>2449</v>
      </c>
      <c r="G603" s="3" t="s">
        <v>31</v>
      </c>
      <c r="H603" s="4" t="str">
        <f>HYPERLINK("https://schools.org.in/bengaluru-u-south/29200312168/ghs-jeevanabhimanagara.html", "https://schools.org.in/bengaluru-u-south/29200312168/ghs-jeevanabhimanagara.html")</f>
        <v>https://schools.org.in/bengaluru-u-south/29200312168/ghs-jeevanabhimanagara.html</v>
      </c>
      <c r="I603" s="3" t="s">
        <v>2450</v>
      </c>
      <c r="J603" s="3" t="str">
        <f>HYPERLINK("tel:+912025211610", "+912025211610")</f>
        <v>+912025211610</v>
      </c>
      <c r="K603" s="5" t="str">
        <f>HYPERLINK("mailto:nan", "nan")</f>
        <v>nan</v>
      </c>
      <c r="L603" s="6" t="s">
        <v>2451</v>
      </c>
    </row>
    <row r="604" ht="15.75" customHeight="1">
      <c r="A604" s="3">
        <v>611.0</v>
      </c>
      <c r="B604" s="3" t="s">
        <v>3527</v>
      </c>
      <c r="C604" s="3" t="s">
        <v>3528</v>
      </c>
      <c r="D604" s="3" t="s">
        <v>3529</v>
      </c>
      <c r="E604" s="3" t="s">
        <v>3530</v>
      </c>
      <c r="F604" s="3" t="s">
        <v>3531</v>
      </c>
      <c r="G604" s="3" t="s">
        <v>58</v>
      </c>
      <c r="H604" s="4" t="str">
        <f>HYPERLINK("https://schools.org.in/alappuzha/32110800203/sndp-hss-kuttamangalam.html", "https://schools.org.in/alappuzha/32110800203/sndp-hss-kuttamangalam.html")</f>
        <v>https://schools.org.in/alappuzha/32110800203/sndp-hss-kuttamangalam.html</v>
      </c>
      <c r="I604" s="3" t="s">
        <v>3532</v>
      </c>
      <c r="J604" s="3" t="str">
        <f t="shared" ref="J604:J606" si="51">HYPERLINK("tel:+914712325106", "+914712325106")</f>
        <v>+914712325106</v>
      </c>
      <c r="K604" s="5" t="str">
        <f t="shared" ref="K604:K606" si="52">HYPERLINK("mailto:dirdhse.dge@kerala.gov.in", "dirdhse.dge@kerala.gov.in")</f>
        <v>dirdhse.dge@kerala.gov.in</v>
      </c>
      <c r="L604" s="6" t="s">
        <v>3533</v>
      </c>
    </row>
    <row r="605" ht="15.75" customHeight="1">
      <c r="A605" s="3">
        <v>612.0</v>
      </c>
      <c r="B605" s="3" t="s">
        <v>3534</v>
      </c>
      <c r="C605" s="3" t="s">
        <v>3535</v>
      </c>
      <c r="D605" s="3" t="s">
        <v>3536</v>
      </c>
      <c r="E605" s="3" t="s">
        <v>3537</v>
      </c>
      <c r="F605" s="3" t="s">
        <v>3538</v>
      </c>
      <c r="G605" s="3" t="s">
        <v>58</v>
      </c>
      <c r="H605" s="4" t="str">
        <f>HYPERLINK("https://schools.org.in/alappuzha/32110400501/govt-dvhss-charamangalam.html", "https://schools.org.in/alappuzha/32110400501/govt-dvhss-charamangalam.html")</f>
        <v>https://schools.org.in/alappuzha/32110400501/govt-dvhss-charamangalam.html</v>
      </c>
      <c r="I605" s="3" t="s">
        <v>3539</v>
      </c>
      <c r="J605" s="3" t="str">
        <f t="shared" si="51"/>
        <v>+914712325106</v>
      </c>
      <c r="K605" s="5" t="str">
        <f t="shared" si="52"/>
        <v>dirdhse.dge@kerala.gov.in</v>
      </c>
      <c r="L605" s="6" t="s">
        <v>3540</v>
      </c>
    </row>
    <row r="606" ht="15.75" customHeight="1">
      <c r="A606" s="3">
        <v>613.0</v>
      </c>
      <c r="B606" s="3" t="s">
        <v>3541</v>
      </c>
      <c r="C606" s="3" t="s">
        <v>3542</v>
      </c>
      <c r="D606" s="3" t="s">
        <v>3543</v>
      </c>
      <c r="E606" s="3" t="s">
        <v>3544</v>
      </c>
      <c r="F606" s="3" t="s">
        <v>3545</v>
      </c>
      <c r="G606" s="3" t="s">
        <v>58</v>
      </c>
      <c r="H606" s="4" t="str">
        <f>HYPERLINK("https://schools.org.in/malappuram/32050700115/ghss-kokkur.html", "https://schools.org.in/malappuram/32050700115/ghss-kokkur.html")</f>
        <v>https://schools.org.in/malappuram/32050700115/ghss-kokkur.html</v>
      </c>
      <c r="I606" s="3" t="s">
        <v>3546</v>
      </c>
      <c r="J606" s="3" t="str">
        <f t="shared" si="51"/>
        <v>+914712325106</v>
      </c>
      <c r="K606" s="5" t="str">
        <f t="shared" si="52"/>
        <v>dirdhse.dge@kerala.gov.in</v>
      </c>
      <c r="L606" s="6" t="s">
        <v>3547</v>
      </c>
    </row>
    <row r="607" ht="15.75" customHeight="1">
      <c r="A607" s="3">
        <v>615.0</v>
      </c>
      <c r="B607" s="3" t="s">
        <v>3548</v>
      </c>
      <c r="C607" s="3" t="s">
        <v>3549</v>
      </c>
      <c r="D607" s="3" t="s">
        <v>3550</v>
      </c>
      <c r="E607" s="3" t="s">
        <v>3551</v>
      </c>
      <c r="F607" s="3" t="s">
        <v>3552</v>
      </c>
      <c r="G607" s="3" t="s">
        <v>265</v>
      </c>
      <c r="H607" s="4" t="str">
        <f>HYPERLINK("http://www.gyanshglobalschool.in/", "http://www.gyanshglobalschool.in/")</f>
        <v>http://www.gyanshglobalschool.in/</v>
      </c>
      <c r="J607" s="3" t="str">
        <f>HYPERLINK("tel:+919875996000", "+919875996000")</f>
        <v>+919875996000</v>
      </c>
      <c r="K607" s="5" t="str">
        <f>HYPERLINK("mailto:info@gyanshglobalschool.in", "info@gyanshglobalschool.in")</f>
        <v>info@gyanshglobalschool.in</v>
      </c>
      <c r="L607" s="6"/>
    </row>
    <row r="608" ht="15.75" customHeight="1">
      <c r="A608" s="3">
        <v>616.0</v>
      </c>
      <c r="B608" s="3" t="s">
        <v>3553</v>
      </c>
      <c r="C608" s="3" t="s">
        <v>3554</v>
      </c>
      <c r="D608" s="3" t="s">
        <v>3555</v>
      </c>
      <c r="E608" s="3" t="s">
        <v>3556</v>
      </c>
      <c r="F608" s="3" t="s">
        <v>3557</v>
      </c>
      <c r="G608" s="3" t="s">
        <v>17</v>
      </c>
      <c r="H608" s="4" t="str">
        <f>HYPERLINK("http://www.rcfatimacbseschool.in/", "http://www.rcfatimacbseschool.in/")</f>
        <v>http://www.rcfatimacbseschool.in/</v>
      </c>
      <c r="I608" s="3" t="s">
        <v>3558</v>
      </c>
      <c r="J608" s="3" t="str">
        <f>HYPERLINK("tel:+914366244433", "+914366244433")</f>
        <v>+914366244433</v>
      </c>
      <c r="K608" s="5" t="str">
        <f>HYPERLINK("mailto:rcfatimatvr@gmail.com", "rcfatimatvr@gmail.com")</f>
        <v>rcfatimatvr@gmail.com</v>
      </c>
      <c r="L608" s="6" t="s">
        <v>3559</v>
      </c>
    </row>
    <row r="609" ht="15.75" customHeight="1">
      <c r="A609" s="3">
        <v>617.0</v>
      </c>
      <c r="B609" s="3" t="s">
        <v>3560</v>
      </c>
      <c r="C609" s="3" t="s">
        <v>3561</v>
      </c>
      <c r="D609" s="3" t="s">
        <v>3562</v>
      </c>
      <c r="E609" s="3" t="s">
        <v>149</v>
      </c>
      <c r="F609" s="3" t="s">
        <v>3563</v>
      </c>
      <c r="G609" s="3" t="s">
        <v>17</v>
      </c>
      <c r="H609" s="4" t="str">
        <f>HYPERLINK("https://schools.org.in/thiruvarur/33200503303/ghss-suranur.html", "https://schools.org.in/thiruvarur/33200503303/ghss-suranur.html")</f>
        <v>https://schools.org.in/thiruvarur/33200503303/ghss-suranur.html</v>
      </c>
      <c r="I609" s="3" t="s">
        <v>3564</v>
      </c>
      <c r="J609" s="3" t="str">
        <f>HYPERLINK("tel:nan", "nan")</f>
        <v>nan</v>
      </c>
      <c r="K609" s="5" t="str">
        <f>HYPERLINK("mailto:nan", "nan")</f>
        <v>nan</v>
      </c>
      <c r="L609" s="6" t="s">
        <v>3565</v>
      </c>
    </row>
    <row r="610" ht="15.75" customHeight="1">
      <c r="A610" s="3">
        <v>618.0</v>
      </c>
      <c r="B610" s="3" t="s">
        <v>3566</v>
      </c>
      <c r="C610" s="3" t="s">
        <v>3567</v>
      </c>
      <c r="D610" s="3" t="s">
        <v>3568</v>
      </c>
      <c r="E610" s="3" t="s">
        <v>3569</v>
      </c>
      <c r="F610" s="3" t="s">
        <v>3570</v>
      </c>
      <c r="G610" s="3" t="s">
        <v>138</v>
      </c>
      <c r="H610" s="4" t="str">
        <f>HYPERLINK("https://brainzeduworld.com/", "https://brainzeduworld.com/")</f>
        <v>https://brainzeduworld.com/</v>
      </c>
      <c r="J610" s="3" t="str">
        <f>HYPERLINK("tel:+919105014545", "+919105014545")</f>
        <v>+919105014545</v>
      </c>
      <c r="K610" s="5" t="str">
        <f>HYPERLINK("mailto:contact@brainzeduworld.com", "contact@brainzeduworld.com")</f>
        <v>contact@brainzeduworld.com</v>
      </c>
      <c r="L610" s="6" t="s">
        <v>3571</v>
      </c>
    </row>
    <row r="611" ht="15.75" customHeight="1">
      <c r="A611" s="3">
        <v>619.0</v>
      </c>
      <c r="B611" s="3" t="s">
        <v>3572</v>
      </c>
      <c r="C611" s="3" t="s">
        <v>3573</v>
      </c>
      <c r="D611" s="3" t="s">
        <v>3574</v>
      </c>
      <c r="E611" s="3" t="s">
        <v>3575</v>
      </c>
      <c r="F611" s="3" t="s">
        <v>3576</v>
      </c>
      <c r="G611" s="3" t="s">
        <v>597</v>
      </c>
      <c r="H611" s="4" t="str">
        <f>HYPERLINK("https://no1roorkee.kvs.ac.in/en/", "https://no1roorkee.kvs.ac.in/en/")</f>
        <v>https://no1roorkee.kvs.ac.in/en/</v>
      </c>
      <c r="I611" s="3" t="s">
        <v>1458</v>
      </c>
      <c r="J611" s="3" t="str">
        <f>HYPERLINK("tel:+919432648329", "+919432648329")</f>
        <v>+919432648329</v>
      </c>
      <c r="K611" s="5" t="str">
        <f t="shared" ref="K611:K612" si="53">HYPERLINK("mailto:nan", "nan")</f>
        <v>nan</v>
      </c>
      <c r="L611" s="6"/>
    </row>
    <row r="612" ht="15.75" customHeight="1">
      <c r="A612" s="3">
        <v>620.0</v>
      </c>
      <c r="B612" s="3" t="s">
        <v>3577</v>
      </c>
      <c r="C612" s="3" t="s">
        <v>3578</v>
      </c>
      <c r="D612" s="3" t="s">
        <v>3579</v>
      </c>
      <c r="E612" s="3" t="s">
        <v>3580</v>
      </c>
      <c r="F612" s="3" t="s">
        <v>3581</v>
      </c>
      <c r="G612" s="3" t="s">
        <v>209</v>
      </c>
      <c r="H612" s="4" t="str">
        <f>HYPERLINK("https://lumding.kvs.ac.in/en/", "https://lumding.kvs.ac.in/en/")</f>
        <v>https://lumding.kvs.ac.in/en/</v>
      </c>
      <c r="I612" s="3" t="s">
        <v>93</v>
      </c>
      <c r="J612" s="3" t="str">
        <f>HYPERLINK("tel:+913674265509", "+913674265509")</f>
        <v>+913674265509</v>
      </c>
      <c r="K612" s="5" t="str">
        <f t="shared" si="53"/>
        <v>nan</v>
      </c>
      <c r="L612" s="6" t="s">
        <v>3582</v>
      </c>
    </row>
    <row r="613" ht="15.75" customHeight="1">
      <c r="A613" s="3">
        <v>621.0</v>
      </c>
      <c r="B613" s="3" t="s">
        <v>3583</v>
      </c>
      <c r="C613" s="3" t="s">
        <v>1184</v>
      </c>
      <c r="D613" s="3" t="s">
        <v>3584</v>
      </c>
      <c r="E613" s="3" t="s">
        <v>3585</v>
      </c>
      <c r="F613" s="3" t="s">
        <v>1187</v>
      </c>
      <c r="G613" s="3" t="s">
        <v>1188</v>
      </c>
      <c r="H613" s="4" t="str">
        <f>HYPERLINK("https://serchhip.nic.in/public-utility/h-t-high-school-chhuanthar-lumpsum/", "https://serchhip.nic.in/public-utility/h-t-high-school-chhuanthar-lumpsum/")</f>
        <v>https://serchhip.nic.in/public-utility/h-t-high-school-chhuanthar-lumpsum/</v>
      </c>
      <c r="I613" s="3" t="s">
        <v>1189</v>
      </c>
      <c r="J613" s="3" t="str">
        <f>HYPERLINK("tel:+918974433476", "+918974433476")</f>
        <v>+918974433476</v>
      </c>
      <c r="K613" s="5" t="str">
        <f>HYPERLINK("mailto:mbseoffice@gmail.com", "mbseoffice@gmail.com")</f>
        <v>mbseoffice@gmail.com</v>
      </c>
      <c r="L613" s="6" t="s">
        <v>1190</v>
      </c>
    </row>
    <row r="614" ht="15.75" customHeight="1">
      <c r="A614" s="3">
        <v>622.0</v>
      </c>
      <c r="B614" s="3" t="s">
        <v>3586</v>
      </c>
      <c r="C614" s="3" t="s">
        <v>3587</v>
      </c>
      <c r="D614" s="3" t="s">
        <v>3588</v>
      </c>
      <c r="E614" s="3" t="s">
        <v>3589</v>
      </c>
      <c r="F614" s="3" t="s">
        <v>3590</v>
      </c>
      <c r="G614" s="3" t="s">
        <v>31</v>
      </c>
      <c r="H614" s="4" t="str">
        <f>HYPERLINK("https://www.ncfe.ac.in/", "https://www.ncfe.ac.in/")</f>
        <v>https://www.ncfe.ac.in/</v>
      </c>
      <c r="J614" s="3" t="str">
        <f>HYPERLINK("tel:+918069455100", "+918069455100")</f>
        <v>+918069455100</v>
      </c>
      <c r="K614" s="5" t="str">
        <f>HYPERLINK("mailto:admissions.cvr@ncfe.ac.in", "admissions.cvr@ncfe.ac.in")</f>
        <v>admissions.cvr@ncfe.ac.in</v>
      </c>
      <c r="L614" s="6"/>
    </row>
    <row r="615" ht="15.75" customHeight="1">
      <c r="A615" s="3">
        <v>623.0</v>
      </c>
      <c r="B615" s="3" t="s">
        <v>3591</v>
      </c>
      <c r="C615" s="3" t="s">
        <v>3592</v>
      </c>
      <c r="D615" s="3" t="s">
        <v>3593</v>
      </c>
      <c r="E615" s="3" t="s">
        <v>3594</v>
      </c>
      <c r="F615" s="3" t="s">
        <v>3595</v>
      </c>
      <c r="G615" s="3" t="s">
        <v>58</v>
      </c>
      <c r="H615" s="4" t="str">
        <f>HYPERLINK("https://schools.org.in/thrissur/32070400501/cnn-ghs-cherpu.html", "https://schools.org.in/thrissur/32070400501/cnn-ghs-cherpu.html")</f>
        <v>https://schools.org.in/thrissur/32070400501/cnn-ghs-cherpu.html</v>
      </c>
      <c r="I615" s="3" t="s">
        <v>3596</v>
      </c>
      <c r="J615" s="3" t="str">
        <f>HYPERLINK("tel:+912334681509", "+912334681509")</f>
        <v>+912334681509</v>
      </c>
      <c r="K615" s="5" t="str">
        <f>HYPERLINK("mailto:nan", "nan")</f>
        <v>nan</v>
      </c>
      <c r="L615" s="6" t="s">
        <v>3597</v>
      </c>
    </row>
    <row r="616" ht="15.75" customHeight="1">
      <c r="A616" s="3">
        <v>624.0</v>
      </c>
      <c r="B616" s="3" t="s">
        <v>3598</v>
      </c>
      <c r="C616" s="3" t="s">
        <v>3599</v>
      </c>
      <c r="D616" s="3" t="s">
        <v>3600</v>
      </c>
      <c r="E616" s="3" t="s">
        <v>3601</v>
      </c>
      <c r="F616" s="3" t="s">
        <v>3602</v>
      </c>
      <c r="G616" s="3" t="s">
        <v>17</v>
      </c>
      <c r="H616" s="4" t="str">
        <f>HYPERLINK("https://avadicrpf.kvs.ac.in/en/", "https://avadicrpf.kvs.ac.in/en/")</f>
        <v>https://avadicrpf.kvs.ac.in/en/</v>
      </c>
      <c r="I616" s="3" t="s">
        <v>625</v>
      </c>
      <c r="J616" s="3" t="str">
        <f>HYPERLINK("tel:+914429810113", "+914429810113")</f>
        <v>+914429810113</v>
      </c>
      <c r="K616" s="5" t="str">
        <f>HYPERLINK("mailto:kvsrochennaiadmn@gmail.com", "kvsrochennaiadmn@gmail.com")</f>
        <v>kvsrochennaiadmn@gmail.com</v>
      </c>
      <c r="L616" s="6" t="s">
        <v>3603</v>
      </c>
    </row>
    <row r="617" ht="15.75" customHeight="1">
      <c r="A617" s="3">
        <v>625.0</v>
      </c>
      <c r="B617" s="3" t="s">
        <v>3604</v>
      </c>
      <c r="C617" s="3" t="s">
        <v>3605</v>
      </c>
      <c r="D617" s="3" t="s">
        <v>3606</v>
      </c>
      <c r="E617" s="3" t="s">
        <v>3607</v>
      </c>
      <c r="F617" s="3" t="s">
        <v>3608</v>
      </c>
      <c r="G617" s="3" t="s">
        <v>58</v>
      </c>
      <c r="H617" s="4" t="str">
        <f>HYPERLINK("https://schools.org.in/kozhikode/32040100212/gups-ollur.html", "https://schools.org.in/kozhikode/32040100212/gups-ollur.html")</f>
        <v>https://schools.org.in/kozhikode/32040100212/gups-ollur.html</v>
      </c>
      <c r="I617" s="3" t="s">
        <v>3609</v>
      </c>
      <c r="J617" s="3" t="str">
        <f>HYPERLINK("tel:+919999333223", "+919999333223")</f>
        <v>+919999333223</v>
      </c>
      <c r="K617" s="5" t="str">
        <f>HYPERLINK("mailto:contact@mappls.com", "contact@mappls.com")</f>
        <v>contact@mappls.com</v>
      </c>
      <c r="L617" s="6" t="s">
        <v>3610</v>
      </c>
    </row>
    <row r="618" ht="15.75" customHeight="1">
      <c r="A618" s="3">
        <v>626.0</v>
      </c>
      <c r="B618" s="3" t="s">
        <v>3611</v>
      </c>
      <c r="C618" s="3" t="s">
        <v>3612</v>
      </c>
      <c r="D618" s="3" t="s">
        <v>3613</v>
      </c>
      <c r="E618" s="3" t="s">
        <v>3614</v>
      </c>
      <c r="F618" s="3" t="s">
        <v>3615</v>
      </c>
      <c r="G618" s="3" t="s">
        <v>58</v>
      </c>
      <c r="H618" s="4" t="str">
        <f>HYPERLINK("https://schools.org.in/palakkad/32061300208/ghss-chalissery.html", "https://schools.org.in/palakkad/32061300208/ghss-chalissery.html")</f>
        <v>https://schools.org.in/palakkad/32061300208/ghss-chalissery.html</v>
      </c>
      <c r="I618" s="3" t="s">
        <v>3616</v>
      </c>
      <c r="J618" s="3" t="str">
        <f>HYPERLINK("tel:+914712325106", "+914712325106")</f>
        <v>+914712325106</v>
      </c>
      <c r="K618" s="5" t="str">
        <f>HYPERLINK("mailto:dirdhse.dge@kerala.gov.in", "dirdhse.dge@kerala.gov.in")</f>
        <v>dirdhse.dge@kerala.gov.in</v>
      </c>
      <c r="L618" s="6" t="s">
        <v>3617</v>
      </c>
    </row>
    <row r="619" ht="15.75" customHeight="1">
      <c r="A619" s="3">
        <v>627.0</v>
      </c>
      <c r="B619" s="3" t="s">
        <v>3618</v>
      </c>
      <c r="C619" s="3" t="s">
        <v>3174</v>
      </c>
      <c r="D619" s="3" t="s">
        <v>3619</v>
      </c>
      <c r="E619" s="3" t="s">
        <v>3620</v>
      </c>
      <c r="F619" s="3" t="s">
        <v>3177</v>
      </c>
      <c r="G619" s="3" t="s">
        <v>58</v>
      </c>
      <c r="H619" s="4" t="str">
        <f>HYPERLINK("https://schools.org.in/thiruvananthapuram/32140900402/st-thomas-hss-amboor.html", "https://schools.org.in/thiruvananthapuram/32140900402/st-thomas-hss-amboor.html")</f>
        <v>https://schools.org.in/thiruvananthapuram/32140900402/st-thomas-hss-amboor.html</v>
      </c>
      <c r="I619" s="3" t="s">
        <v>3178</v>
      </c>
      <c r="J619" s="3" t="str">
        <f>HYPERLINK("tel:+914712511122", "+914712511122")</f>
        <v>+914712511122</v>
      </c>
      <c r="K619" s="5" t="str">
        <f>HYPERLINK("mailto:mtcestvm@gmail.com", "mtcestvm@gmail.com")</f>
        <v>mtcestvm@gmail.com</v>
      </c>
      <c r="L619" s="6" t="s">
        <v>3179</v>
      </c>
    </row>
    <row r="620" ht="15.75" customHeight="1">
      <c r="A620" s="3">
        <v>628.0</v>
      </c>
      <c r="B620" s="3" t="s">
        <v>3621</v>
      </c>
      <c r="C620" s="3" t="s">
        <v>2688</v>
      </c>
      <c r="D620" s="3" t="s">
        <v>3622</v>
      </c>
      <c r="E620" s="3" t="s">
        <v>3623</v>
      </c>
      <c r="F620" s="3" t="s">
        <v>2691</v>
      </c>
      <c r="G620" s="3" t="s">
        <v>70</v>
      </c>
      <c r="H620" s="4" t="str">
        <f>HYPERLINK("https://www.svgmstijara.in/", "https://www.svgmstijara.in/")</f>
        <v>https://www.svgmstijara.in/</v>
      </c>
      <c r="I620" s="3" t="s">
        <v>2692</v>
      </c>
      <c r="J620" s="3" t="str">
        <f>HYPERLINK("tel:+919636721362", "+919636721362")</f>
        <v>+919636721362</v>
      </c>
      <c r="K620" s="5" t="str">
        <f>HYPERLINK("mailto:nan", "nan")</f>
        <v>nan</v>
      </c>
      <c r="L620" s="6" t="s">
        <v>3624</v>
      </c>
    </row>
    <row r="621" ht="15.75" customHeight="1">
      <c r="A621" s="3">
        <v>629.0</v>
      </c>
      <c r="B621" s="3" t="s">
        <v>3625</v>
      </c>
      <c r="C621" s="3" t="s">
        <v>3626</v>
      </c>
      <c r="D621" s="3" t="s">
        <v>3627</v>
      </c>
      <c r="E621" s="3" t="s">
        <v>3628</v>
      </c>
      <c r="F621" s="3" t="s">
        <v>3629</v>
      </c>
      <c r="G621" s="3" t="s">
        <v>138</v>
      </c>
      <c r="H621" s="4" t="str">
        <f>HYPERLINK("https://sdglobalschool.com/", "https://sdglobalschool.com/")</f>
        <v>https://sdglobalschool.com/</v>
      </c>
      <c r="J621" s="3" t="str">
        <f>HYPERLINK("tel:+919870436213", "+919870436213")</f>
        <v>+919870436213</v>
      </c>
      <c r="K621" s="5" t="str">
        <f>HYPERLINK("mailto:sdgsoff@gmail.com", "sdgsoff@gmail.com")</f>
        <v>sdgsoff@gmail.com</v>
      </c>
      <c r="L621" s="6"/>
    </row>
    <row r="622" ht="15.75" customHeight="1">
      <c r="A622" s="3">
        <v>630.0</v>
      </c>
      <c r="B622" s="3" t="s">
        <v>3630</v>
      </c>
      <c r="C622" s="3" t="s">
        <v>3631</v>
      </c>
      <c r="D622" s="3" t="s">
        <v>3632</v>
      </c>
      <c r="E622" s="3" t="s">
        <v>3633</v>
      </c>
      <c r="F622" s="3" t="s">
        <v>3634</v>
      </c>
      <c r="G622" s="3" t="s">
        <v>272</v>
      </c>
      <c r="H622" s="4" t="str">
        <f>HYPERLINK("https://eastgodavari.ap.gov.in/public-utility/zphs-old-town-anaparthi/", "https://eastgodavari.ap.gov.in/public-utility/zphs-old-town-anaparthi/")</f>
        <v>https://eastgodavari.ap.gov.in/public-utility/zphs-old-town-anaparthi/</v>
      </c>
      <c r="I622" s="3" t="s">
        <v>2081</v>
      </c>
      <c r="J622" s="3" t="str">
        <f>HYPERLINK("tel:+918832940508", "+918832940508")</f>
        <v>+918832940508</v>
      </c>
      <c r="K622" s="5" t="str">
        <f>HYPERLINK("mailto:sp@eg.appolice.gov.in", "sp@eg.appolice.gov.in")</f>
        <v>sp@eg.appolice.gov.in</v>
      </c>
      <c r="L622" s="6" t="s">
        <v>2082</v>
      </c>
    </row>
    <row r="623" ht="15.75" customHeight="1">
      <c r="A623" s="3">
        <v>631.0</v>
      </c>
      <c r="B623" s="3" t="s">
        <v>3635</v>
      </c>
      <c r="C623" s="3" t="s">
        <v>3636</v>
      </c>
      <c r="D623" s="3" t="s">
        <v>3637</v>
      </c>
      <c r="E623" s="3" t="s">
        <v>3638</v>
      </c>
      <c r="F623" s="3" t="s">
        <v>3639</v>
      </c>
      <c r="G623" s="3" t="s">
        <v>100</v>
      </c>
      <c r="H623" s="4" t="str">
        <f>HYPERLINK("https://khms.ac.in/", "https://khms.ac.in/")</f>
        <v>https://khms.ac.in/</v>
      </c>
      <c r="J623" s="3" t="str">
        <f>HYPERLINK("tel:+911147091581", "+911147091581")</f>
        <v>+911147091581</v>
      </c>
      <c r="K623" s="5" t="str">
        <f>HYPERLINK("mailto:info@hansrajmodelschool.org", "info@hansrajmodelschool.org")</f>
        <v>info@hansrajmodelschool.org</v>
      </c>
      <c r="L623" s="6" t="s">
        <v>1157</v>
      </c>
    </row>
    <row r="624" ht="15.75" customHeight="1">
      <c r="A624" s="3">
        <v>632.0</v>
      </c>
      <c r="B624" s="3" t="s">
        <v>3640</v>
      </c>
      <c r="C624" s="3" t="s">
        <v>3641</v>
      </c>
      <c r="D624" s="3" t="s">
        <v>3642</v>
      </c>
      <c r="E624" s="3" t="s">
        <v>3643</v>
      </c>
      <c r="F624" s="3" t="s">
        <v>3644</v>
      </c>
      <c r="G624" s="3" t="s">
        <v>554</v>
      </c>
      <c r="H624" s="4" t="str">
        <f>HYPERLINK("https://bsfhazaribagh.kvs.ac.in/en/", "https://bsfhazaribagh.kvs.ac.in/en/")</f>
        <v>https://bsfhazaribagh.kvs.ac.in/en/</v>
      </c>
      <c r="I624" s="3" t="s">
        <v>625</v>
      </c>
      <c r="J624" s="3" t="str">
        <f>HYPERLINK("tel:+916546236842", "+916546236842")</f>
        <v>+916546236842</v>
      </c>
      <c r="K624" s="5" t="str">
        <f>HYPERLINK("mailto:nan", "nan")</f>
        <v>nan</v>
      </c>
      <c r="L624" s="6"/>
    </row>
    <row r="625" ht="15.75" customHeight="1">
      <c r="A625" s="3">
        <v>633.0</v>
      </c>
      <c r="B625" s="3" t="s">
        <v>3645</v>
      </c>
      <c r="C625" s="3" t="s">
        <v>27</v>
      </c>
      <c r="D625" s="3" t="s">
        <v>3646</v>
      </c>
      <c r="E625" s="3" t="s">
        <v>3646</v>
      </c>
      <c r="F625" s="3" t="s">
        <v>30</v>
      </c>
      <c r="G625" s="3" t="s">
        <v>31</v>
      </c>
      <c r="H625" s="4" t="str">
        <f t="shared" ref="H625:H626" si="54">HYPERLINK("https://excelpublicschool.com/", "https://excelpublicschool.com/")</f>
        <v>https://excelpublicschool.com/</v>
      </c>
      <c r="J625" s="3" t="str">
        <f t="shared" ref="J625:J626" si="55">HYPERLINK("tel:+918212971004", "+918212971004")</f>
        <v>+918212971004</v>
      </c>
      <c r="K625" s="5" t="str">
        <f t="shared" ref="K625:K626" si="56">HYPERLINK("mailto:eps@excelpublicschool.com", "eps@excelpublicschool.com")</f>
        <v>eps@excelpublicschool.com</v>
      </c>
      <c r="L625" s="6" t="s">
        <v>32</v>
      </c>
    </row>
    <row r="626" ht="15.75" customHeight="1">
      <c r="A626" s="3">
        <v>634.0</v>
      </c>
      <c r="B626" s="3" t="s">
        <v>3647</v>
      </c>
      <c r="C626" s="3" t="s">
        <v>27</v>
      </c>
      <c r="D626" s="3" t="s">
        <v>3648</v>
      </c>
      <c r="E626" s="3" t="s">
        <v>3649</v>
      </c>
      <c r="F626" s="3" t="s">
        <v>30</v>
      </c>
      <c r="G626" s="3" t="s">
        <v>31</v>
      </c>
      <c r="H626" s="4" t="str">
        <f t="shared" si="54"/>
        <v>https://excelpublicschool.com/</v>
      </c>
      <c r="I626" s="3" t="s">
        <v>412</v>
      </c>
      <c r="J626" s="3" t="str">
        <f t="shared" si="55"/>
        <v>+918212971004</v>
      </c>
      <c r="K626" s="5" t="str">
        <f t="shared" si="56"/>
        <v>eps@excelpublicschool.com</v>
      </c>
      <c r="L626" s="6" t="s">
        <v>32</v>
      </c>
    </row>
    <row r="627" ht="15.75" customHeight="1">
      <c r="A627" s="3">
        <v>635.0</v>
      </c>
      <c r="B627" s="3" t="s">
        <v>3650</v>
      </c>
      <c r="C627" s="3" t="s">
        <v>3651</v>
      </c>
      <c r="D627" s="3" t="s">
        <v>3652</v>
      </c>
      <c r="E627" s="3" t="s">
        <v>3653</v>
      </c>
      <c r="F627" s="3" t="s">
        <v>3654</v>
      </c>
      <c r="G627" s="3" t="s">
        <v>58</v>
      </c>
      <c r="H627" s="4" t="str">
        <f>HYPERLINK("https://painavu.kvs.ac.in/en/", "https://painavu.kvs.ac.in/en/")</f>
        <v>https://painavu.kvs.ac.in/en/</v>
      </c>
      <c r="I627" s="3" t="s">
        <v>3655</v>
      </c>
      <c r="J627" s="3" t="str">
        <f>HYPERLINK("tel:+914862232205", "+914862232205")</f>
        <v>+914862232205</v>
      </c>
      <c r="K627" s="5" t="str">
        <f>HYPERLINK("mailto:chander.gaind@yahoo.co.in", "chander.gaind@yahoo.co.in")</f>
        <v>chander.gaind@yahoo.co.in</v>
      </c>
      <c r="L627" s="6" t="s">
        <v>3656</v>
      </c>
    </row>
    <row r="628" ht="15.75" customHeight="1">
      <c r="A628" s="3">
        <v>636.0</v>
      </c>
      <c r="B628" s="3" t="s">
        <v>3657</v>
      </c>
      <c r="C628" s="3" t="s">
        <v>2112</v>
      </c>
      <c r="D628" s="3" t="s">
        <v>3658</v>
      </c>
      <c r="E628" s="3" t="s">
        <v>3659</v>
      </c>
      <c r="F628" s="3" t="s">
        <v>2115</v>
      </c>
      <c r="G628" s="3" t="s">
        <v>58</v>
      </c>
      <c r="H628" s="4" t="str">
        <f>HYPERLINK("https://campuspro.co.in/schools/8903/kairali-vidya-bhavan-trivendrum", "https://campuspro.co.in/schools/8903/kairali-vidya-bhavan-trivendrum")</f>
        <v>https://campuspro.co.in/schools/8903/kairali-vidya-bhavan-trivendrum</v>
      </c>
      <c r="J628" s="3" t="str">
        <f>HYPERLINK("tel:+914722813240", "+914722813240")</f>
        <v>+914722813240</v>
      </c>
      <c r="K628" s="5" t="str">
        <f>HYPERLINK("mailto:kairali.ndd@gmail.com", "kairali.ndd@gmail.com")</f>
        <v>kairali.ndd@gmail.com</v>
      </c>
      <c r="L628" s="6" t="s">
        <v>2116</v>
      </c>
    </row>
    <row r="629" ht="15.75" customHeight="1">
      <c r="A629" s="3">
        <v>637.0</v>
      </c>
      <c r="B629" s="3" t="s">
        <v>3660</v>
      </c>
      <c r="C629" s="3" t="s">
        <v>3661</v>
      </c>
      <c r="D629" s="3" t="s">
        <v>3662</v>
      </c>
      <c r="E629" s="3" t="s">
        <v>3663</v>
      </c>
      <c r="F629" s="3" t="s">
        <v>3664</v>
      </c>
      <c r="G629" s="3" t="s">
        <v>58</v>
      </c>
      <c r="H629" s="4" t="str">
        <f>HYPERLINK("https://stackschools.com/schools/32131000905/hs-for-girls-punalur", "https://stackschools.com/schools/32131000905/hs-for-girls-punalur")</f>
        <v>https://stackschools.com/schools/32131000905/hs-for-girls-punalur</v>
      </c>
      <c r="J629" s="3" t="str">
        <f>HYPERLINK("tel:nan", "nan")</f>
        <v>nan</v>
      </c>
      <c r="K629" s="5" t="str">
        <f>HYPERLINK("mailto:nan", "nan")</f>
        <v>nan</v>
      </c>
      <c r="L629" s="6"/>
    </row>
    <row r="630" ht="15.75" customHeight="1">
      <c r="A630" s="3">
        <v>638.0</v>
      </c>
      <c r="B630" s="3" t="s">
        <v>3665</v>
      </c>
      <c r="C630" s="3" t="s">
        <v>3666</v>
      </c>
      <c r="D630" s="3" t="s">
        <v>3667</v>
      </c>
      <c r="E630" s="3" t="s">
        <v>3668</v>
      </c>
      <c r="F630" s="3" t="s">
        <v>3669</v>
      </c>
      <c r="G630" s="3" t="s">
        <v>115</v>
      </c>
      <c r="H630" s="4" t="str">
        <f>HYPERLINK("https://damoh.kvs.ac.in/", "https://damoh.kvs.ac.in/")</f>
        <v>https://damoh.kvs.ac.in/</v>
      </c>
      <c r="I630" s="3" t="s">
        <v>3670</v>
      </c>
      <c r="J630" s="3" t="str">
        <f>HYPERLINK("tel:+917812222345", "+917812222345")</f>
        <v>+917812222345</v>
      </c>
      <c r="K630" s="5" t="str">
        <f>HYPERLINK("mailto:dmdamoh@nic.in", "dmdamoh@nic.in")</f>
        <v>dmdamoh@nic.in</v>
      </c>
      <c r="L630" s="6"/>
    </row>
    <row r="631" ht="15.75" customHeight="1">
      <c r="A631" s="3">
        <v>639.0</v>
      </c>
      <c r="B631" s="3" t="s">
        <v>3671</v>
      </c>
      <c r="C631" s="3" t="s">
        <v>3672</v>
      </c>
      <c r="D631" s="3" t="s">
        <v>3673</v>
      </c>
      <c r="E631" s="3" t="s">
        <v>3674</v>
      </c>
      <c r="F631" s="3" t="s">
        <v>3675</v>
      </c>
      <c r="G631" s="3" t="s">
        <v>115</v>
      </c>
      <c r="H631" s="4" t="str">
        <f>HYPERLINK("https://schools.org.in/bhind/23030419807/govt-hss-excelence-no-1-bhind.html", "https://schools.org.in/bhind/23030419807/govt-hss-excelence-no-1-bhind.html")</f>
        <v>https://schools.org.in/bhind/23030419807/govt-hss-excelence-no-1-bhind.html</v>
      </c>
      <c r="I631" s="3" t="s">
        <v>3676</v>
      </c>
      <c r="J631" s="3" t="str">
        <f>HYPERLINK("tel:+917556720200", "+917556720200")</f>
        <v>+917556720200</v>
      </c>
      <c r="K631" s="5" t="str">
        <f>HYPERLINK("mailto:nan", "nan")</f>
        <v>nan</v>
      </c>
      <c r="L631" s="6" t="s">
        <v>3677</v>
      </c>
    </row>
    <row r="632" ht="15.75" customHeight="1">
      <c r="A632" s="3">
        <v>640.0</v>
      </c>
      <c r="B632" s="3" t="s">
        <v>3678</v>
      </c>
      <c r="C632" s="3" t="s">
        <v>3679</v>
      </c>
      <c r="D632" s="3" t="s">
        <v>3680</v>
      </c>
      <c r="E632" s="3" t="s">
        <v>3681</v>
      </c>
      <c r="F632" s="3" t="s">
        <v>3682</v>
      </c>
      <c r="G632" s="3" t="s">
        <v>38</v>
      </c>
      <c r="H632" s="4" t="str">
        <f>HYPERLINK("https://apase.in/", "https://apase.in/")</f>
        <v>https://apase.in/</v>
      </c>
      <c r="J632" s="3" t="str">
        <f>HYPERLINK("tel:+917721994777", "+917721994777")</f>
        <v>+917721994777</v>
      </c>
      <c r="K632" s="5" t="str">
        <f>HYPERLINK("mailto:info@apase.in", "info@apase.in")</f>
        <v>info@apase.in</v>
      </c>
      <c r="L632" s="6" t="s">
        <v>3683</v>
      </c>
    </row>
    <row r="633" ht="15.75" customHeight="1">
      <c r="A633" s="3">
        <v>641.0</v>
      </c>
      <c r="B633" s="3" t="s">
        <v>3684</v>
      </c>
      <c r="C633" s="3" t="s">
        <v>3685</v>
      </c>
      <c r="D633" s="3" t="s">
        <v>3686</v>
      </c>
      <c r="E633" s="3" t="s">
        <v>3687</v>
      </c>
      <c r="F633" s="3" t="s">
        <v>3688</v>
      </c>
      <c r="G633" s="3" t="s">
        <v>597</v>
      </c>
      <c r="H633" s="4" t="str">
        <f>HYPERLINK("https://hardwarbhel.kvs.ac.in/en/", "https://hardwarbhel.kvs.ac.in/en/")</f>
        <v>https://hardwarbhel.kvs.ac.in/en/</v>
      </c>
      <c r="J633" s="3" t="str">
        <f>HYPERLINK("tel:+911334231361", "+911334231361")</f>
        <v>+911334231361</v>
      </c>
      <c r="K633" s="5" t="str">
        <f>HYPERLINK("mailto:kvbhelhardwar@gmail.com", "kvbhelhardwar@gmail.com")</f>
        <v>kvbhelhardwar@gmail.com</v>
      </c>
      <c r="L633" s="6" t="s">
        <v>3689</v>
      </c>
    </row>
    <row r="634" ht="15.75" customHeight="1">
      <c r="A634" s="3">
        <v>642.0</v>
      </c>
      <c r="B634" s="3" t="s">
        <v>3690</v>
      </c>
      <c r="C634" s="3" t="s">
        <v>3510</v>
      </c>
      <c r="D634" s="3" t="s">
        <v>3691</v>
      </c>
      <c r="E634" s="3" t="s">
        <v>3692</v>
      </c>
      <c r="F634" s="3" t="s">
        <v>3513</v>
      </c>
      <c r="G634" s="3" t="s">
        <v>100</v>
      </c>
      <c r="H634" s="4" t="str">
        <f>HYPERLINK("https://www.facebook.com/p/Rajkiya-Sarvodaya-Bal-Vidyalaya-West-Vinod-Nagar-1002005-61551604432183/", "https://www.facebook.com/p/Rajkiya-Sarvodaya-Bal-Vidyalaya-West-Vinod-Nagar-1002005-61551604432183/")</f>
        <v>https://www.facebook.com/p/Rajkiya-Sarvodaya-Bal-Vidyalaya-West-Vinod-Nagar-1002005-61551604432183/</v>
      </c>
      <c r="I634" s="3" t="s">
        <v>286</v>
      </c>
      <c r="J634" s="3" t="str">
        <f>HYPERLINK("tel:+917040121703", "+917040121703")</f>
        <v>+917040121703</v>
      </c>
      <c r="K634" s="5" t="str">
        <f>HYPERLINK("mailto:nan", "nan")</f>
        <v>nan</v>
      </c>
      <c r="L634" s="6" t="s">
        <v>3514</v>
      </c>
    </row>
    <row r="635" ht="15.75" customHeight="1">
      <c r="A635" s="3">
        <v>643.0</v>
      </c>
      <c r="B635" s="3" t="s">
        <v>3693</v>
      </c>
      <c r="C635" s="3" t="s">
        <v>3636</v>
      </c>
      <c r="D635" s="3" t="s">
        <v>3694</v>
      </c>
      <c r="E635" s="3" t="s">
        <v>3695</v>
      </c>
      <c r="F635" s="3" t="s">
        <v>3639</v>
      </c>
      <c r="G635" s="3" t="s">
        <v>100</v>
      </c>
      <c r="H635" s="4" t="str">
        <f>HYPERLINK("https://khms.ac.in/", "https://khms.ac.in/")</f>
        <v>https://khms.ac.in/</v>
      </c>
      <c r="J635" s="3" t="str">
        <f>HYPERLINK("tel:+911147091581", "+911147091581")</f>
        <v>+911147091581</v>
      </c>
      <c r="K635" s="5" t="str">
        <f>HYPERLINK("mailto:info@hansrajmodelschool.org", "info@hansrajmodelschool.org")</f>
        <v>info@hansrajmodelschool.org</v>
      </c>
      <c r="L635" s="6" t="s">
        <v>1157</v>
      </c>
    </row>
    <row r="636" ht="15.75" customHeight="1">
      <c r="A636" s="3">
        <v>644.0</v>
      </c>
      <c r="B636" s="3" t="s">
        <v>3696</v>
      </c>
      <c r="C636" s="3" t="s">
        <v>1470</v>
      </c>
      <c r="D636" s="3" t="s">
        <v>3697</v>
      </c>
      <c r="E636" s="3" t="s">
        <v>3698</v>
      </c>
      <c r="F636" s="3" t="s">
        <v>1473</v>
      </c>
      <c r="G636" s="3" t="s">
        <v>24</v>
      </c>
      <c r="H636" s="4" t="str">
        <f>HYPERLINK("https://dpsgfaridabad.com/", "https://dpsgfaridabad.com/")</f>
        <v>https://dpsgfaridabad.com/</v>
      </c>
      <c r="I636" s="3" t="s">
        <v>1474</v>
      </c>
      <c r="J636" s="3" t="str">
        <f>HYPERLINK("tel:+911292555555", "+911292555555")</f>
        <v>+911292555555</v>
      </c>
      <c r="K636" s="5" t="str">
        <f>HYPERLINK("mailto:info@dpsgfaridabad.com", "info@dpsgfaridabad.com")</f>
        <v>info@dpsgfaridabad.com</v>
      </c>
      <c r="L636" s="6" t="s">
        <v>1475</v>
      </c>
    </row>
    <row r="637" ht="15.75" customHeight="1">
      <c r="A637" s="3">
        <v>645.0</v>
      </c>
      <c r="B637" s="3" t="s">
        <v>3699</v>
      </c>
      <c r="C637" s="3" t="s">
        <v>2547</v>
      </c>
      <c r="D637" s="3" t="s">
        <v>3700</v>
      </c>
      <c r="E637" s="3" t="s">
        <v>3701</v>
      </c>
      <c r="F637" s="3" t="s">
        <v>2550</v>
      </c>
      <c r="G637" s="3" t="s">
        <v>51</v>
      </c>
      <c r="H637" s="4" t="str">
        <f>HYPERLINK("https://vipschool.in/", "https://vipschool.in/")</f>
        <v>https://vipschool.in/</v>
      </c>
      <c r="I637" s="3" t="s">
        <v>2551</v>
      </c>
      <c r="J637" s="3" t="str">
        <f>HYPERLINK("tel:+911795247766", "+911795247766")</f>
        <v>+911795247766</v>
      </c>
      <c r="K637" s="5" t="str">
        <f>HYPERLINK("mailto:info@vipschool.in", "info@vipschool.in")</f>
        <v>info@vipschool.in</v>
      </c>
      <c r="L637" s="6" t="s">
        <v>2552</v>
      </c>
    </row>
    <row r="638" ht="15.75" customHeight="1">
      <c r="A638" s="3">
        <v>646.0</v>
      </c>
      <c r="B638" s="3" t="s">
        <v>3702</v>
      </c>
      <c r="C638" s="3" t="s">
        <v>3703</v>
      </c>
      <c r="D638" s="3" t="s">
        <v>3704</v>
      </c>
      <c r="E638" s="3" t="s">
        <v>1567</v>
      </c>
      <c r="F638" s="3" t="s">
        <v>3705</v>
      </c>
      <c r="G638" s="3" t="s">
        <v>182</v>
      </c>
      <c r="H638" s="4" t="str">
        <f>HYPERLINK("https://www.facebook.com/ghsskeller/", "https://www.facebook.com/ghsskeller/")</f>
        <v>https://www.facebook.com/ghsskeller/</v>
      </c>
      <c r="I638" s="3" t="s">
        <v>3706</v>
      </c>
      <c r="J638" s="3" t="str">
        <f>HYPERLINK("tel:+911150402553", "+911150402553")</f>
        <v>+911150402553</v>
      </c>
      <c r="K638" s="5" t="str">
        <f>HYPERLINK("mailto:ceospn@gmail.com", "ceospn@gmail.com")</f>
        <v>ceospn@gmail.com</v>
      </c>
      <c r="L638" s="6" t="s">
        <v>3707</v>
      </c>
    </row>
    <row r="639" ht="15.75" customHeight="1">
      <c r="A639" s="3">
        <v>647.0</v>
      </c>
      <c r="B639" s="3" t="s">
        <v>3708</v>
      </c>
      <c r="C639" s="3" t="s">
        <v>3709</v>
      </c>
      <c r="D639" s="3" t="s">
        <v>3710</v>
      </c>
      <c r="E639" s="3" t="s">
        <v>1540</v>
      </c>
      <c r="F639" s="3" t="s">
        <v>3711</v>
      </c>
      <c r="G639" s="3" t="s">
        <v>31</v>
      </c>
      <c r="H639" s="4" t="str">
        <f>HYPERLINK("https://campuspro.co.in/schools/7627/smt-kamala-bai-educational-institution", "https://campuspro.co.in/schools/7627/smt-kamala-bai-educational-institution")</f>
        <v>https://campuspro.co.in/schools/7627/smt-kamala-bai-educational-institution</v>
      </c>
      <c r="J639" s="3" t="str">
        <f>HYPERLINK("tel:+918022341011", "+918022341011")</f>
        <v>+918022341011</v>
      </c>
      <c r="K639" s="5" t="str">
        <f>HYPERLINK("mailto:info@skei.edu.in", "info@skei.edu.in")</f>
        <v>info@skei.edu.in</v>
      </c>
      <c r="L639" s="6" t="s">
        <v>3712</v>
      </c>
    </row>
    <row r="640" ht="15.75" customHeight="1">
      <c r="A640" s="3">
        <v>648.0</v>
      </c>
      <c r="B640" s="3" t="s">
        <v>3713</v>
      </c>
      <c r="C640" s="3" t="s">
        <v>3714</v>
      </c>
      <c r="D640" s="3" t="s">
        <v>3715</v>
      </c>
      <c r="E640" s="3" t="s">
        <v>3716</v>
      </c>
      <c r="F640" s="3" t="s">
        <v>3717</v>
      </c>
      <c r="G640" s="3" t="s">
        <v>58</v>
      </c>
      <c r="H640" s="4" t="str">
        <f>HYPERLINK("https://schools.org.in/ernakulam/32080200101/olph-ups-edakkunnu.html", "https://schools.org.in/ernakulam/32080200101/olph-ups-edakkunnu.html")</f>
        <v>https://schools.org.in/ernakulam/32080200101/olph-ups-edakkunnu.html</v>
      </c>
      <c r="I640" s="3" t="s">
        <v>3718</v>
      </c>
      <c r="J640" s="3" t="str">
        <f>HYPERLINK("tel:nan", "nan")</f>
        <v>nan</v>
      </c>
      <c r="K640" s="5" t="str">
        <f>HYPERLINK("mailto:nan", "nan")</f>
        <v>nan</v>
      </c>
      <c r="L640" s="6" t="s">
        <v>3719</v>
      </c>
    </row>
    <row r="641" ht="15.75" customHeight="1">
      <c r="A641" s="3">
        <v>649.0</v>
      </c>
      <c r="B641" s="3" t="s">
        <v>3720</v>
      </c>
      <c r="C641" s="3" t="s">
        <v>3721</v>
      </c>
      <c r="D641" s="3" t="s">
        <v>3722</v>
      </c>
      <c r="E641" s="3" t="s">
        <v>3723</v>
      </c>
      <c r="F641" s="3" t="s">
        <v>3724</v>
      </c>
      <c r="G641" s="3" t="s">
        <v>58</v>
      </c>
      <c r="H641" s="4" t="str">
        <f>HYPERLINK("https://schools.org.in/wayanad/32030200613/ghss-koleri.html", "https://schools.org.in/wayanad/32030200613/ghss-koleri.html")</f>
        <v>https://schools.org.in/wayanad/32030200613/ghss-koleri.html</v>
      </c>
      <c r="I641" s="3" t="s">
        <v>3725</v>
      </c>
      <c r="J641" s="3" t="str">
        <f>HYPERLINK("tel:+919496117941", "+919496117941")</f>
        <v>+919496117941</v>
      </c>
      <c r="K641" s="5" t="str">
        <f>HYPERLINK("mailto:gupsmananthavady@gmail.com", "gupsmananthavady@gmail.com")</f>
        <v>gupsmananthavady@gmail.com</v>
      </c>
      <c r="L641" s="6" t="s">
        <v>3726</v>
      </c>
    </row>
    <row r="642" ht="15.75" customHeight="1">
      <c r="A642" s="3">
        <v>650.0</v>
      </c>
      <c r="B642" s="3" t="s">
        <v>3727</v>
      </c>
      <c r="C642" s="3" t="s">
        <v>3728</v>
      </c>
      <c r="D642" s="3" t="s">
        <v>3729</v>
      </c>
      <c r="E642" s="3" t="s">
        <v>3730</v>
      </c>
      <c r="F642" s="3" t="s">
        <v>3731</v>
      </c>
      <c r="G642" s="3" t="s">
        <v>58</v>
      </c>
      <c r="H642" s="4" t="str">
        <f>HYPERLINK("https://www.cvkmhss.com/", "https://www.cvkmhss.com/")</f>
        <v>https://www.cvkmhss.com/</v>
      </c>
      <c r="I642" s="3" t="s">
        <v>3732</v>
      </c>
      <c r="J642" s="3" t="str">
        <f>HYPERLINK("tel:+914742585191", "+914742585191")</f>
        <v>+914742585191</v>
      </c>
      <c r="K642" s="5" t="str">
        <f>HYPERLINK("mailto:info@cvkmhss.com", "info@cvkmhss.com")</f>
        <v>info@cvkmhss.com</v>
      </c>
      <c r="L642" s="6" t="s">
        <v>3733</v>
      </c>
    </row>
    <row r="643" ht="15.75" customHeight="1">
      <c r="A643" s="3">
        <v>651.0</v>
      </c>
      <c r="B643" s="3" t="s">
        <v>3734</v>
      </c>
      <c r="C643" s="3" t="s">
        <v>111</v>
      </c>
      <c r="D643" s="3" t="s">
        <v>3735</v>
      </c>
      <c r="E643" s="3" t="s">
        <v>3736</v>
      </c>
      <c r="F643" s="3" t="s">
        <v>114</v>
      </c>
      <c r="G643" s="3" t="s">
        <v>115</v>
      </c>
      <c r="H643" s="4" t="str">
        <f>HYPERLINK("https://spsbhopal.ac.in/", "https://spsbhopal.ac.in/")</f>
        <v>https://spsbhopal.ac.in/</v>
      </c>
      <c r="I643" s="3" t="s">
        <v>116</v>
      </c>
      <c r="J643" s="3" t="str">
        <f>HYPERLINK("tel:+917553523719", "+917553523719")</f>
        <v>+917553523719</v>
      </c>
      <c r="K643" s="5" t="str">
        <f>HYPERLINK("mailto:spssn@spsbhopal.ac.in", "spssn@spsbhopal.ac.in")</f>
        <v>spssn@spsbhopal.ac.in</v>
      </c>
      <c r="L643" s="6" t="s">
        <v>117</v>
      </c>
    </row>
    <row r="644" ht="15.75" customHeight="1">
      <c r="A644" s="3">
        <v>652.0</v>
      </c>
      <c r="B644" s="3" t="s">
        <v>3737</v>
      </c>
      <c r="C644" s="3" t="s">
        <v>3738</v>
      </c>
      <c r="D644" s="3" t="s">
        <v>3739</v>
      </c>
      <c r="E644" s="3" t="s">
        <v>3740</v>
      </c>
      <c r="F644" s="3" t="s">
        <v>3741</v>
      </c>
      <c r="G644" s="3" t="s">
        <v>17</v>
      </c>
      <c r="H644" s="4" t="str">
        <f>HYPERLINK("https://schools.org.in/kanniyakumari/33300300709/ghss-monikettipottal.html", "https://schools.org.in/kanniyakumari/33300300709/ghss-monikettipottal.html")</f>
        <v>https://schools.org.in/kanniyakumari/33300300709/ghss-monikettipottal.html</v>
      </c>
      <c r="I644" s="3" t="s">
        <v>3742</v>
      </c>
      <c r="J644" s="3" t="str">
        <f>HYPERLINK("tel:+915613584288", "+915613584288")</f>
        <v>+915613584288</v>
      </c>
      <c r="K644" s="5" t="str">
        <f>HYPERLINK("mailto:nan", "nan")</f>
        <v>nan</v>
      </c>
      <c r="L644" s="6" t="s">
        <v>3743</v>
      </c>
    </row>
    <row r="645" ht="15.75" customHeight="1">
      <c r="A645" s="3">
        <v>653.0</v>
      </c>
      <c r="B645" s="3" t="s">
        <v>3744</v>
      </c>
      <c r="C645" s="3" t="s">
        <v>3745</v>
      </c>
      <c r="D645" s="3" t="s">
        <v>3746</v>
      </c>
      <c r="E645" s="3" t="s">
        <v>3747</v>
      </c>
      <c r="F645" s="3" t="s">
        <v>3748</v>
      </c>
      <c r="G645" s="3" t="s">
        <v>597</v>
      </c>
      <c r="H645" s="4" t="str">
        <f>HYPERLINK("http://www.vidyabharatialumni.org/school/92110", "http://www.vidyabharatialumni.org/school/92110")</f>
        <v>http://www.vidyabharatialumni.org/school/92110</v>
      </c>
      <c r="I645" s="3" t="s">
        <v>3245</v>
      </c>
      <c r="J645" s="3" t="str">
        <f>HYPERLINK("tel:+918433472500", "+918433472500")</f>
        <v>+918433472500</v>
      </c>
      <c r="K645" s="5" t="str">
        <f>HYPERLINK("mailto:vvmictanakpur@gmail.com", "vvmictanakpur@gmail.com")</f>
        <v>vvmictanakpur@gmail.com</v>
      </c>
      <c r="L645" s="6"/>
    </row>
    <row r="646" ht="15.75" customHeight="1">
      <c r="A646" s="3">
        <v>654.0</v>
      </c>
      <c r="B646" s="3" t="s">
        <v>3749</v>
      </c>
      <c r="C646" s="3" t="s">
        <v>3750</v>
      </c>
      <c r="D646" s="3" t="s">
        <v>3751</v>
      </c>
      <c r="E646" s="3" t="s">
        <v>3752</v>
      </c>
      <c r="F646" s="3" t="s">
        <v>3753</v>
      </c>
      <c r="G646" s="3" t="s">
        <v>229</v>
      </c>
      <c r="H646" s="4" t="str">
        <f>HYPERLINK("https://schools.org.in/balod/22220905114/govt-boys-higher-secondary-school-gurur.html", "https://schools.org.in/balod/22220905114/govt-boys-higher-secondary-school-gurur.html")</f>
        <v>https://schools.org.in/balod/22220905114/govt-boys-higher-secondary-school-gurur.html</v>
      </c>
      <c r="I646" s="3" t="s">
        <v>3754</v>
      </c>
      <c r="J646" s="3" t="str">
        <f>HYPERLINK("tel:+917714002694", "+917714002694")</f>
        <v>+917714002694</v>
      </c>
      <c r="K646" s="5" t="str">
        <f>HYPERLINK("mailto:eduportal.cg@nic.in", "eduportal.cg@nic.in")</f>
        <v>eduportal.cg@nic.in</v>
      </c>
      <c r="L646" s="6" t="s">
        <v>3755</v>
      </c>
    </row>
    <row r="647" ht="15.75" customHeight="1">
      <c r="A647" s="3">
        <v>655.0</v>
      </c>
      <c r="B647" s="3" t="s">
        <v>3756</v>
      </c>
      <c r="C647" s="3" t="s">
        <v>3757</v>
      </c>
      <c r="D647" s="3" t="s">
        <v>3758</v>
      </c>
      <c r="E647" s="3" t="s">
        <v>3759</v>
      </c>
      <c r="F647" s="3" t="s">
        <v>3760</v>
      </c>
      <c r="G647" s="3" t="s">
        <v>229</v>
      </c>
      <c r="H647" s="4" t="str">
        <f>HYPERLINK("https://cgschool.in/saems/SchoolofExcellence.aspx", "https://cgschool.in/saems/SchoolofExcellence.aspx")</f>
        <v>https://cgschool.in/saems/SchoolofExcellence.aspx</v>
      </c>
      <c r="I647" s="3" t="s">
        <v>1483</v>
      </c>
      <c r="J647" s="3" t="str">
        <f>HYPERLINK("tel:+917712331385", "+917712331385")</f>
        <v>+917712331385</v>
      </c>
      <c r="K647" s="5" t="str">
        <f>HYPERLINK("mailto:cg.dpi.dir@gmail.com", "cg.dpi.dir@gmail.com")</f>
        <v>cg.dpi.dir@gmail.com</v>
      </c>
      <c r="L647" s="6" t="s">
        <v>3761</v>
      </c>
    </row>
    <row r="648" ht="15.75" customHeight="1">
      <c r="A648" s="3">
        <v>656.0</v>
      </c>
      <c r="B648" s="3" t="s">
        <v>3762</v>
      </c>
      <c r="C648" s="3" t="s">
        <v>1313</v>
      </c>
      <c r="D648" s="3" t="s">
        <v>3763</v>
      </c>
      <c r="E648" s="3" t="s">
        <v>3764</v>
      </c>
      <c r="F648" s="3" t="s">
        <v>1316</v>
      </c>
      <c r="G648" s="3" t="s">
        <v>175</v>
      </c>
      <c r="H648" s="4" t="str">
        <f>HYPERLINK("https://danteshwareng.barodahighschool.com/", "https://danteshwareng.barodahighschool.com/")</f>
        <v>https://danteshwareng.barodahighschool.com/</v>
      </c>
      <c r="J648" s="3" t="str">
        <f>HYPERLINK("tel:+919016962440", "+919016962440")</f>
        <v>+919016962440</v>
      </c>
      <c r="K648" s="5" t="str">
        <f>HYPERLINK("mailto:office.bhsde@bhs.edu.in", "office.bhsde@bhs.edu.in")</f>
        <v>office.bhsde@bhs.edu.in</v>
      </c>
      <c r="L648" s="6" t="s">
        <v>3765</v>
      </c>
    </row>
    <row r="649" ht="15.75" customHeight="1">
      <c r="A649" s="3">
        <v>657.0</v>
      </c>
      <c r="B649" s="3" t="s">
        <v>3766</v>
      </c>
      <c r="C649" s="3" t="s">
        <v>3767</v>
      </c>
      <c r="D649" s="3" t="s">
        <v>3768</v>
      </c>
      <c r="E649" s="3" t="s">
        <v>3769</v>
      </c>
      <c r="F649" s="3" t="s">
        <v>3770</v>
      </c>
      <c r="G649" s="3" t="s">
        <v>554</v>
      </c>
      <c r="H649" s="4" t="str">
        <f>HYPERLINK("https://bokarothermal.kvs.ac.in/en/", "https://bokarothermal.kvs.ac.in/en/")</f>
        <v>https://bokarothermal.kvs.ac.in/en/</v>
      </c>
      <c r="I649" s="3" t="s">
        <v>3771</v>
      </c>
      <c r="J649" s="3" t="str">
        <f>HYPERLINK("tel:+916549299927", "+916549299927")</f>
        <v>+916549299927</v>
      </c>
      <c r="K649" s="5" t="str">
        <f>HYPERLINK("mailto:nan", "nan")</f>
        <v>nan</v>
      </c>
      <c r="L649" s="6" t="s">
        <v>3772</v>
      </c>
    </row>
    <row r="650" ht="15.75" customHeight="1">
      <c r="A650" s="3">
        <v>658.0</v>
      </c>
      <c r="B650" s="3" t="s">
        <v>3773</v>
      </c>
      <c r="C650" s="3" t="s">
        <v>3774</v>
      </c>
      <c r="D650" s="3" t="s">
        <v>3775</v>
      </c>
      <c r="E650" s="3" t="s">
        <v>3776</v>
      </c>
      <c r="F650" s="3" t="s">
        <v>3777</v>
      </c>
      <c r="G650" s="3" t="s">
        <v>58</v>
      </c>
      <c r="H650" s="4" t="str">
        <f>HYPERLINK("https://schools.org.in/ernakulam/32080100209/st-george-hs-puthenpally.html", "https://schools.org.in/ernakulam/32080100209/st-george-hs-puthenpally.html")</f>
        <v>https://schools.org.in/ernakulam/32080100209/st-george-hs-puthenpally.html</v>
      </c>
      <c r="I650" s="3" t="s">
        <v>3778</v>
      </c>
      <c r="J650" s="3" t="str">
        <f>HYPERLINK("tel:+914862222804", "+914862222804")</f>
        <v>+914862222804</v>
      </c>
      <c r="K650" s="5" t="str">
        <f>HYPERLINK("mailto:sghss6017@gmail.com", "sghss6017@gmail.com")</f>
        <v>sghss6017@gmail.com</v>
      </c>
      <c r="L650" s="6" t="s">
        <v>3779</v>
      </c>
    </row>
    <row r="651" ht="15.75" customHeight="1">
      <c r="A651" s="3">
        <v>659.0</v>
      </c>
      <c r="B651" s="3" t="s">
        <v>3780</v>
      </c>
      <c r="C651" s="3" t="s">
        <v>3781</v>
      </c>
      <c r="D651" s="3" t="s">
        <v>3782</v>
      </c>
      <c r="E651" s="3" t="s">
        <v>3783</v>
      </c>
      <c r="F651" s="3" t="s">
        <v>3784</v>
      </c>
      <c r="G651" s="3" t="s">
        <v>58</v>
      </c>
      <c r="H651" s="4" t="str">
        <f>HYPERLINK("https://schools.org.in/kozhikode/32041100228/kurunthodi-ups.html", "https://schools.org.in/kozhikode/32041100228/kurunthodi-ups.html")</f>
        <v>https://schools.org.in/kozhikode/32041100228/kurunthodi-ups.html</v>
      </c>
      <c r="I651" s="3" t="s">
        <v>3785</v>
      </c>
      <c r="J651" s="3" t="str">
        <f>HYPERLINK("tel:+914712300121", "+914712300121")</f>
        <v>+914712300121</v>
      </c>
      <c r="K651" s="5" t="str">
        <f>HYPERLINK("mailto:ceo_kerala@eci.gov.in", "ceo_kerala@eci.gov.in")</f>
        <v>ceo_kerala@eci.gov.in</v>
      </c>
      <c r="L651" s="6" t="s">
        <v>3786</v>
      </c>
    </row>
    <row r="652" ht="15.75" customHeight="1">
      <c r="A652" s="3">
        <v>660.0</v>
      </c>
      <c r="B652" s="3" t="s">
        <v>3787</v>
      </c>
      <c r="C652" s="3" t="s">
        <v>3788</v>
      </c>
      <c r="D652" s="3" t="s">
        <v>3789</v>
      </c>
      <c r="E652" s="3" t="s">
        <v>3790</v>
      </c>
      <c r="F652" s="3" t="s">
        <v>3791</v>
      </c>
      <c r="G652" s="3" t="s">
        <v>17</v>
      </c>
      <c r="H652" s="4" t="str">
        <f>HYPERLINK("https://stackschools.com/schools/33030903223/mpl-hss-hasthinapuram", "https://stackschools.com/schools/33030903223/mpl-hss-hasthinapuram")</f>
        <v>https://stackschools.com/schools/33030903223/mpl-hss-hasthinapuram</v>
      </c>
      <c r="I652" s="3" t="s">
        <v>3792</v>
      </c>
      <c r="J652" s="3" t="str">
        <f>HYPERLINK("tel:nan", "nan")</f>
        <v>nan</v>
      </c>
      <c r="K652" s="5" t="str">
        <f>HYPERLINK("mailto:U@M.ab", "U@M.ab")</f>
        <v>U@M.ab</v>
      </c>
      <c r="L652" s="6" t="s">
        <v>3793</v>
      </c>
    </row>
    <row r="653" ht="15.75" customHeight="1">
      <c r="A653" s="3">
        <v>661.0</v>
      </c>
      <c r="B653" s="3" t="s">
        <v>3794</v>
      </c>
      <c r="C653" s="3" t="s">
        <v>3795</v>
      </c>
      <c r="D653" s="3" t="s">
        <v>3796</v>
      </c>
      <c r="E653" s="3" t="s">
        <v>3797</v>
      </c>
      <c r="F653" s="3" t="s">
        <v>3798</v>
      </c>
      <c r="G653" s="3" t="s">
        <v>17</v>
      </c>
      <c r="H653" s="4" t="str">
        <f>HYPERLINK("http://www.rskschool.com/", "http://www.rskschool.com/")</f>
        <v>http://www.rskschool.com/</v>
      </c>
      <c r="I653" s="3" t="s">
        <v>3799</v>
      </c>
      <c r="J653" s="3" t="str">
        <f>HYPERLINK("tel:+914422266688", "+914422266688")</f>
        <v>+914422266688</v>
      </c>
      <c r="K653" s="5" t="str">
        <f>HYPERLINK("mailto:rskschooltrichy@yahoo.in", "rskschooltrichy@yahoo.in")</f>
        <v>rskschooltrichy@yahoo.in</v>
      </c>
      <c r="L653" s="6" t="s">
        <v>3800</v>
      </c>
    </row>
    <row r="654" ht="15.75" customHeight="1">
      <c r="A654" s="3">
        <v>662.0</v>
      </c>
      <c r="B654" s="3" t="s">
        <v>3801</v>
      </c>
      <c r="C654" s="3" t="s">
        <v>2828</v>
      </c>
      <c r="D654" s="3" t="s">
        <v>3802</v>
      </c>
      <c r="E654" s="3" t="s">
        <v>3803</v>
      </c>
      <c r="F654" s="3" t="s">
        <v>2831</v>
      </c>
      <c r="G654" s="3" t="s">
        <v>272</v>
      </c>
      <c r="H654" s="4" t="str">
        <f>HYPERLINK("https://schools.org.in/srikakulam/28111902905/zphs-ippili.html", "https://schools.org.in/srikakulam/28111902905/zphs-ippili.html")</f>
        <v>https://schools.org.in/srikakulam/28111902905/zphs-ippili.html</v>
      </c>
      <c r="I654" s="3" t="s">
        <v>2832</v>
      </c>
      <c r="J654" s="3" t="str">
        <f>HYPERLINK("tel:+5954483736", "+5954483736")</f>
        <v>+5954483736</v>
      </c>
      <c r="K654" s="5" t="str">
        <f>HYPERLINK("mailto:nan", "nan")</f>
        <v>nan</v>
      </c>
      <c r="L654" s="6" t="s">
        <v>2833</v>
      </c>
    </row>
    <row r="655" ht="15.75" customHeight="1">
      <c r="A655" s="3">
        <v>663.0</v>
      </c>
      <c r="B655" s="3" t="s">
        <v>3804</v>
      </c>
      <c r="C655" s="3" t="s">
        <v>3805</v>
      </c>
      <c r="D655" s="3" t="s">
        <v>3806</v>
      </c>
      <c r="E655" s="3" t="s">
        <v>3807</v>
      </c>
      <c r="F655" s="3" t="s">
        <v>3808</v>
      </c>
      <c r="G655" s="3" t="s">
        <v>100</v>
      </c>
      <c r="H655" s="4" t="str">
        <f>HYPERLINK("https://vvdav.org/", "https://vvdav.org/")</f>
        <v>https://vvdav.org/</v>
      </c>
      <c r="I655" s="3" t="s">
        <v>286</v>
      </c>
      <c r="J655" s="3" t="str">
        <f>HYPERLINK("tel:+911145515804", "+911145515804")</f>
        <v>+911145515804</v>
      </c>
      <c r="K655" s="5" t="str">
        <f>HYPERLINK("mailto:info@vvdav.com", "info@vvdav.com")</f>
        <v>info@vvdav.com</v>
      </c>
      <c r="L655" s="6" t="s">
        <v>3809</v>
      </c>
    </row>
    <row r="656" ht="15.75" customHeight="1">
      <c r="A656" s="3">
        <v>664.0</v>
      </c>
      <c r="B656" s="3" t="s">
        <v>3810</v>
      </c>
      <c r="C656" s="3" t="s">
        <v>2547</v>
      </c>
      <c r="D656" s="3" t="s">
        <v>3811</v>
      </c>
      <c r="E656" s="3" t="s">
        <v>3812</v>
      </c>
      <c r="F656" s="3" t="s">
        <v>2550</v>
      </c>
      <c r="G656" s="3" t="s">
        <v>51</v>
      </c>
      <c r="H656" s="4" t="str">
        <f>HYPERLINK("https://vipschool.in/", "https://vipschool.in/")</f>
        <v>https://vipschool.in/</v>
      </c>
      <c r="I656" s="3" t="s">
        <v>2551</v>
      </c>
      <c r="J656" s="3" t="str">
        <f>HYPERLINK("tel:+911795247766", "+911795247766")</f>
        <v>+911795247766</v>
      </c>
      <c r="K656" s="5" t="str">
        <f>HYPERLINK("mailto:info@vipschool.in", "info@vipschool.in")</f>
        <v>info@vipschool.in</v>
      </c>
      <c r="L656" s="6" t="s">
        <v>2552</v>
      </c>
    </row>
    <row r="657" ht="15.75" customHeight="1">
      <c r="A657" s="3">
        <v>665.0</v>
      </c>
      <c r="B657" s="3" t="s">
        <v>3813</v>
      </c>
      <c r="C657" s="3" t="s">
        <v>749</v>
      </c>
      <c r="D657" s="3" t="s">
        <v>3814</v>
      </c>
      <c r="E657" s="3" t="s">
        <v>3815</v>
      </c>
      <c r="F657" s="3" t="s">
        <v>752</v>
      </c>
      <c r="G657" s="3" t="s">
        <v>31</v>
      </c>
      <c r="H657" s="4" t="str">
        <f>HYPERLINK("https://soundaryacentralschool.com/", "https://soundaryacentralschool.com/")</f>
        <v>https://soundaryacentralschool.com/</v>
      </c>
      <c r="J657" s="3" t="str">
        <f>HYPERLINK("tel:nan", "nan")</f>
        <v>nan</v>
      </c>
      <c r="K657" s="5" t="str">
        <f>HYPERLINK("mailto:nan", "nan")</f>
        <v>nan</v>
      </c>
      <c r="L657" s="6"/>
    </row>
    <row r="658" ht="15.75" customHeight="1">
      <c r="A658" s="3">
        <v>666.0</v>
      </c>
      <c r="B658" s="3" t="s">
        <v>3816</v>
      </c>
      <c r="C658" s="3" t="s">
        <v>3817</v>
      </c>
      <c r="D658" s="3" t="s">
        <v>3818</v>
      </c>
      <c r="E658" s="3" t="s">
        <v>3819</v>
      </c>
      <c r="F658" s="3" t="s">
        <v>3820</v>
      </c>
      <c r="G658" s="3" t="s">
        <v>31</v>
      </c>
      <c r="H658" s="4" t="str">
        <f>HYPERLINK("https://dpsmysore.co.in/", "https://dpsmysore.co.in/")</f>
        <v>https://dpsmysore.co.in/</v>
      </c>
      <c r="I658" s="3" t="s">
        <v>349</v>
      </c>
      <c r="J658" s="3" t="str">
        <f>HYPERLINK("tel:+919972995767", "+919972995767")</f>
        <v>+919972995767</v>
      </c>
      <c r="K658" s="5" t="str">
        <f>HYPERLINK("mailto:principal@dpsmysore.com", "principal@dpsmysore.com")</f>
        <v>principal@dpsmysore.com</v>
      </c>
      <c r="L658" s="6" t="s">
        <v>3821</v>
      </c>
    </row>
    <row r="659" ht="15.75" customHeight="1">
      <c r="A659" s="3">
        <v>667.0</v>
      </c>
      <c r="B659" s="3" t="s">
        <v>3822</v>
      </c>
      <c r="C659" s="3" t="s">
        <v>3823</v>
      </c>
      <c r="D659" s="3" t="s">
        <v>3824</v>
      </c>
      <c r="E659" s="3" t="s">
        <v>3825</v>
      </c>
      <c r="F659" s="3" t="s">
        <v>3826</v>
      </c>
      <c r="G659" s="3" t="s">
        <v>58</v>
      </c>
      <c r="H659" s="4" t="str">
        <f>HYPERLINK("https://akmhsskottoor.webnode.in/", "https://akmhsskottoor.webnode.in/")</f>
        <v>https://akmhsskottoor.webnode.in/</v>
      </c>
      <c r="I659" s="3" t="s">
        <v>3827</v>
      </c>
      <c r="J659" s="3" t="str">
        <f>HYPERLINK("tel:+914832744381", "+914832744381")</f>
        <v>+914832744381</v>
      </c>
      <c r="K659" s="5" t="str">
        <f>HYPERLINK("mailto:akmhskottoor@gmail.com", "akmhskottoor@gmail.com")</f>
        <v>akmhskottoor@gmail.com</v>
      </c>
      <c r="L659" s="6" t="s">
        <v>3828</v>
      </c>
    </row>
    <row r="660" ht="15.75" customHeight="1">
      <c r="A660" s="3">
        <v>668.0</v>
      </c>
      <c r="B660" s="3" t="s">
        <v>3829</v>
      </c>
      <c r="C660" s="3" t="s">
        <v>3830</v>
      </c>
      <c r="D660" s="3" t="s">
        <v>3831</v>
      </c>
      <c r="E660" s="3" t="s">
        <v>3832</v>
      </c>
      <c r="F660" s="3" t="s">
        <v>3833</v>
      </c>
      <c r="G660" s="3" t="s">
        <v>130</v>
      </c>
      <c r="H660" s="4" t="str">
        <f>HYPERLINK("https://schools.org.in/ranga-reddy/36060801906/zphs-gowdavelly.html", "https://schools.org.in/ranga-reddy/36060801906/zphs-gowdavelly.html")</f>
        <v>https://schools.org.in/ranga-reddy/36060801906/zphs-gowdavelly.html</v>
      </c>
      <c r="I660" s="3" t="s">
        <v>3834</v>
      </c>
      <c r="J660" s="3" t="str">
        <f>HYPERLINK("tel:+919849630765", "+919849630765")</f>
        <v>+919849630765</v>
      </c>
      <c r="K660" s="5" t="str">
        <f>HYPERLINK("mailto:siddipetdro@gmail.com", "siddipetdro@gmail.com")</f>
        <v>siddipetdro@gmail.com</v>
      </c>
      <c r="L660" s="6" t="s">
        <v>3835</v>
      </c>
    </row>
    <row r="661" ht="15.75" customHeight="1">
      <c r="A661" s="3">
        <v>669.0</v>
      </c>
      <c r="B661" s="3" t="s">
        <v>3836</v>
      </c>
      <c r="C661" s="3" t="s">
        <v>1038</v>
      </c>
      <c r="D661" s="3" t="s">
        <v>3837</v>
      </c>
      <c r="E661" s="3" t="s">
        <v>3838</v>
      </c>
      <c r="F661" s="3" t="s">
        <v>1041</v>
      </c>
      <c r="G661" s="3" t="s">
        <v>138</v>
      </c>
      <c r="H661" s="4" t="str">
        <f>HYPERLINK("https://sunbeamschools.com/default.aspx", "https://sunbeamschools.com/default.aspx")</f>
        <v>https://sunbeamschools.com/default.aspx</v>
      </c>
      <c r="J661" s="3" t="str">
        <f>HYPERLINK("tel:+919838075637", "+919838075637")</f>
        <v>+919838075637</v>
      </c>
      <c r="K661" s="5" t="str">
        <f>HYPERLINK("mailto:info@sunbeammughalsarai.com", "info@sunbeammughalsarai.com")</f>
        <v>info@sunbeammughalsarai.com</v>
      </c>
      <c r="L661" s="6"/>
    </row>
    <row r="662" ht="15.75" customHeight="1">
      <c r="A662" s="3">
        <v>670.0</v>
      </c>
      <c r="B662" s="3" t="s">
        <v>3839</v>
      </c>
      <c r="C662" s="3" t="s">
        <v>1552</v>
      </c>
      <c r="D662" s="3" t="s">
        <v>3840</v>
      </c>
      <c r="E662" s="3" t="s">
        <v>3841</v>
      </c>
      <c r="F662" s="3" t="s">
        <v>1555</v>
      </c>
      <c r="G662" s="3" t="s">
        <v>272</v>
      </c>
      <c r="H662" s="4" t="str">
        <f>HYPERLINK("https://vignanschools.org/our-campuses/schools-in-vizag/duvvada/", "https://vignanschools.org/our-campuses/schools-in-vizag/duvvada/")</f>
        <v>https://vignanschools.org/our-campuses/schools-in-vizag/duvvada/</v>
      </c>
      <c r="I662" s="3" t="s">
        <v>1556</v>
      </c>
      <c r="J662" s="3" t="str">
        <f>HYPERLINK("tel:+919908850009", "+919908850009")</f>
        <v>+919908850009</v>
      </c>
      <c r="K662" s="5" t="str">
        <f>HYPERLINK("mailto:kranthikiran@vignan.edu.in", "kranthikiran@vignan.edu.in")</f>
        <v>kranthikiran@vignan.edu.in</v>
      </c>
      <c r="L662" s="6" t="s">
        <v>1557</v>
      </c>
    </row>
    <row r="663" ht="15.75" customHeight="1">
      <c r="A663" s="3">
        <v>671.0</v>
      </c>
      <c r="B663" s="3" t="s">
        <v>3842</v>
      </c>
      <c r="C663" s="3" t="s">
        <v>3843</v>
      </c>
      <c r="D663" s="3" t="s">
        <v>3844</v>
      </c>
      <c r="E663" s="3" t="s">
        <v>3845</v>
      </c>
      <c r="F663" s="3" t="s">
        <v>3846</v>
      </c>
      <c r="G663" s="3" t="s">
        <v>100</v>
      </c>
      <c r="H663" s="4" t="str">
        <f>HYPERLINK("https://agrasenschool.com/", "https://agrasenschool.com/")</f>
        <v>https://agrasenschool.com/</v>
      </c>
      <c r="J663" s="3" t="str">
        <f>HYPERLINK("tel:+911140453808", "+911140453808")</f>
        <v>+911140453808</v>
      </c>
      <c r="K663" s="5" t="str">
        <f>HYPERLINK("mailto:agrasenschool1985@gmail.com", "agrasenschool1985@gmail.com")</f>
        <v>agrasenschool1985@gmail.com</v>
      </c>
      <c r="L663" s="6" t="s">
        <v>3847</v>
      </c>
    </row>
    <row r="664" ht="15.75" customHeight="1">
      <c r="A664" s="3">
        <v>672.0</v>
      </c>
      <c r="B664" s="3" t="s">
        <v>3848</v>
      </c>
      <c r="C664" s="3" t="s">
        <v>1420</v>
      </c>
      <c r="D664" s="3" t="s">
        <v>3849</v>
      </c>
      <c r="E664" s="3" t="s">
        <v>3850</v>
      </c>
      <c r="F664" s="3" t="s">
        <v>1423</v>
      </c>
      <c r="G664" s="3" t="s">
        <v>182</v>
      </c>
      <c r="H664" s="4" t="str">
        <f>HYPERLINK("https://radiantanantnag.com/", "https://radiantanantnag.com/")</f>
        <v>https://radiantanantnag.com/</v>
      </c>
      <c r="I664" s="3" t="s">
        <v>1424</v>
      </c>
      <c r="J664" s="3" t="str">
        <f>HYPERLINK("tel:nan", "nan")</f>
        <v>nan</v>
      </c>
      <c r="K664" s="5" t="str">
        <f t="shared" ref="K664:K665" si="57">HYPERLINK("mailto:nan", "nan")</f>
        <v>nan</v>
      </c>
      <c r="L664" s="6" t="s">
        <v>1425</v>
      </c>
    </row>
    <row r="665" ht="15.75" customHeight="1">
      <c r="A665" s="3">
        <v>673.0</v>
      </c>
      <c r="B665" s="3" t="s">
        <v>3851</v>
      </c>
      <c r="C665" s="3" t="s">
        <v>3852</v>
      </c>
      <c r="D665" s="3" t="s">
        <v>3853</v>
      </c>
      <c r="E665" s="3" t="s">
        <v>3854</v>
      </c>
      <c r="F665" s="3" t="s">
        <v>3855</v>
      </c>
      <c r="G665" s="3" t="s">
        <v>31</v>
      </c>
      <c r="H665" s="4" t="str">
        <f>HYPERLINK("https://schools.org.in/belagavi-chikkodi/29300900909/new-secondary-school-bhoj.html", "https://schools.org.in/belagavi-chikkodi/29300900909/new-secondary-school-bhoj.html")</f>
        <v>https://schools.org.in/belagavi-chikkodi/29300900909/new-secondary-school-bhoj.html</v>
      </c>
      <c r="I665" s="3" t="s">
        <v>3856</v>
      </c>
      <c r="J665" s="3" t="str">
        <f>HYPERLINK("tel:+919393939393", "+919393939393")</f>
        <v>+919393939393</v>
      </c>
      <c r="K665" s="5" t="str">
        <f t="shared" si="57"/>
        <v>nan</v>
      </c>
      <c r="L665" s="6" t="s">
        <v>3857</v>
      </c>
    </row>
    <row r="666" ht="15.75" customHeight="1">
      <c r="A666" s="3">
        <v>674.0</v>
      </c>
      <c r="B666" s="3" t="s">
        <v>3858</v>
      </c>
      <c r="C666" s="3" t="s">
        <v>27</v>
      </c>
      <c r="D666" s="3" t="s">
        <v>3859</v>
      </c>
      <c r="E666" s="3" t="s">
        <v>3859</v>
      </c>
      <c r="F666" s="3" t="s">
        <v>30</v>
      </c>
      <c r="G666" s="3" t="s">
        <v>31</v>
      </c>
      <c r="H666" s="4" t="str">
        <f>HYPERLINK("https://excelpublicschool.com/", "https://excelpublicschool.com/")</f>
        <v>https://excelpublicschool.com/</v>
      </c>
      <c r="J666" s="3" t="str">
        <f>HYPERLINK("tel:+918212971004", "+918212971004")</f>
        <v>+918212971004</v>
      </c>
      <c r="K666" s="5" t="str">
        <f>HYPERLINK("mailto:eps@excelpublicschool.com", "eps@excelpublicschool.com")</f>
        <v>eps@excelpublicschool.com</v>
      </c>
      <c r="L666" s="6" t="s">
        <v>32</v>
      </c>
    </row>
    <row r="667" ht="15.75" customHeight="1">
      <c r="A667" s="3">
        <v>675.0</v>
      </c>
      <c r="B667" s="3" t="s">
        <v>3860</v>
      </c>
      <c r="C667" s="3" t="s">
        <v>3861</v>
      </c>
      <c r="D667" s="3" t="s">
        <v>3862</v>
      </c>
      <c r="E667" s="3" t="s">
        <v>3863</v>
      </c>
      <c r="F667" s="3" t="s">
        <v>3864</v>
      </c>
      <c r="G667" s="3" t="s">
        <v>58</v>
      </c>
      <c r="H667" s="4" t="str">
        <f>HYPERLINK("https://schools.org.in/palakkad/32061300206/sbs-thaneercode.html", "https://schools.org.in/palakkad/32061300206/sbs-thaneercode.html")</f>
        <v>https://schools.org.in/palakkad/32061300206/sbs-thaneercode.html</v>
      </c>
      <c r="I667" s="3" t="s">
        <v>3865</v>
      </c>
      <c r="J667" s="3" t="str">
        <f>HYPERLINK("tel:+911304709131", "+911304709131")</f>
        <v>+911304709131</v>
      </c>
      <c r="K667" s="5" t="str">
        <f>HYPERLINK("mailto:nan", "nan")</f>
        <v>nan</v>
      </c>
      <c r="L667" s="6" t="s">
        <v>3866</v>
      </c>
    </row>
    <row r="668" ht="15.75" customHeight="1">
      <c r="A668" s="3">
        <v>676.0</v>
      </c>
      <c r="B668" s="3" t="s">
        <v>3867</v>
      </c>
      <c r="C668" s="3" t="s">
        <v>3868</v>
      </c>
      <c r="D668" s="3" t="s">
        <v>3869</v>
      </c>
      <c r="E668" s="3" t="s">
        <v>3870</v>
      </c>
      <c r="F668" s="3" t="s">
        <v>3871</v>
      </c>
      <c r="G668" s="3" t="s">
        <v>115</v>
      </c>
      <c r="H668" s="4" t="str">
        <f>HYPERLINK("https://www.iconicschool.com/", "https://www.iconicschool.com/")</f>
        <v>https://www.iconicschool.com/</v>
      </c>
      <c r="J668" s="3" t="str">
        <f>HYPERLINK("tel:+919111411130", "+919111411130")</f>
        <v>+919111411130</v>
      </c>
      <c r="K668" s="5" t="str">
        <f>HYPERLINK("mailto:admissions@iconicschool.in", "admissions@iconicschool.in")</f>
        <v>admissions@iconicschool.in</v>
      </c>
      <c r="L668" s="6"/>
    </row>
    <row r="669" ht="15.75" customHeight="1">
      <c r="A669" s="3">
        <v>677.0</v>
      </c>
      <c r="B669" s="3" t="s">
        <v>3872</v>
      </c>
      <c r="C669" s="3" t="s">
        <v>3873</v>
      </c>
      <c r="D669" s="3" t="s">
        <v>3874</v>
      </c>
      <c r="E669" s="3" t="s">
        <v>3875</v>
      </c>
      <c r="F669" s="3" t="s">
        <v>3876</v>
      </c>
      <c r="G669" s="3" t="s">
        <v>115</v>
      </c>
      <c r="H669" s="4" t="str">
        <f>HYPERLINK("https://schools.org.in/indore/23260101350/govt-hss-girls-nehru-nagar.html", "https://schools.org.in/indore/23260101350/govt-hss-girls-nehru-nagar.html")</f>
        <v>https://schools.org.in/indore/23260101350/govt-hss-girls-nehru-nagar.html</v>
      </c>
      <c r="I669" s="3" t="s">
        <v>3877</v>
      </c>
      <c r="J669" s="3" t="str">
        <f t="shared" ref="J669:J670" si="58">HYPERLINK("tel:+919999333223", "+919999333223")</f>
        <v>+919999333223</v>
      </c>
      <c r="K669" s="5" t="str">
        <f t="shared" ref="K669:K670" si="59">HYPERLINK("mailto:contact@mappls.com", "contact@mappls.com")</f>
        <v>contact@mappls.com</v>
      </c>
      <c r="L669" s="6" t="s">
        <v>3878</v>
      </c>
    </row>
    <row r="670" ht="15.75" customHeight="1">
      <c r="A670" s="3">
        <v>678.0</v>
      </c>
      <c r="B670" s="3" t="s">
        <v>3879</v>
      </c>
      <c r="C670" s="3" t="s">
        <v>3880</v>
      </c>
      <c r="D670" s="3" t="s">
        <v>3881</v>
      </c>
      <c r="E670" s="3" t="s">
        <v>2012</v>
      </c>
      <c r="F670" s="3" t="s">
        <v>3882</v>
      </c>
      <c r="G670" s="3" t="s">
        <v>17</v>
      </c>
      <c r="H670" s="4" t="str">
        <f>HYPERLINK("https://schools.org.in/sivaganga/33230604601/n-s-m-v-p-s-b-hr-sec-school.html", "https://schools.org.in/sivaganga/33230604601/n-s-m-v-p-s-b-hr-sec-school.html")</f>
        <v>https://schools.org.in/sivaganga/33230604601/n-s-m-v-p-s-b-hr-sec-school.html</v>
      </c>
      <c r="I670" s="3" t="s">
        <v>3883</v>
      </c>
      <c r="J670" s="3" t="str">
        <f t="shared" si="58"/>
        <v>+919999333223</v>
      </c>
      <c r="K670" s="5" t="str">
        <f t="shared" si="59"/>
        <v>contact@mappls.com</v>
      </c>
      <c r="L670" s="6" t="s">
        <v>3884</v>
      </c>
    </row>
    <row r="671" ht="15.75" customHeight="1">
      <c r="A671" s="3">
        <v>679.0</v>
      </c>
      <c r="B671" s="3" t="s">
        <v>3885</v>
      </c>
      <c r="C671" s="3" t="s">
        <v>3886</v>
      </c>
      <c r="D671" s="3" t="s">
        <v>3887</v>
      </c>
      <c r="E671" s="3" t="s">
        <v>3888</v>
      </c>
      <c r="F671" s="3" t="s">
        <v>3889</v>
      </c>
      <c r="G671" s="3" t="s">
        <v>209</v>
      </c>
      <c r="H671" s="4" t="str">
        <f>HYPERLINK("https://masimpur.kvs.ac.in/en/", "https://masimpur.kvs.ac.in/en/")</f>
        <v>https://masimpur.kvs.ac.in/en/</v>
      </c>
      <c r="I671" s="3" t="s">
        <v>3890</v>
      </c>
      <c r="J671" s="3" t="str">
        <f>HYPERLINK("tel:+913842278521", "+913842278521")</f>
        <v>+913842278521</v>
      </c>
      <c r="K671" s="5" t="str">
        <f>HYPERLINK("mailto:info@careers360.com", "info@careers360.com")</f>
        <v>info@careers360.com</v>
      </c>
      <c r="L671" s="6" t="s">
        <v>3891</v>
      </c>
    </row>
    <row r="672" ht="15.75" customHeight="1">
      <c r="A672" s="3">
        <v>680.0</v>
      </c>
      <c r="B672" s="3" t="s">
        <v>3892</v>
      </c>
      <c r="C672" s="3" t="s">
        <v>2373</v>
      </c>
      <c r="D672" s="3" t="s">
        <v>3893</v>
      </c>
      <c r="E672" s="3" t="s">
        <v>3894</v>
      </c>
      <c r="F672" s="3" t="s">
        <v>2376</v>
      </c>
      <c r="G672" s="3" t="s">
        <v>175</v>
      </c>
      <c r="H672" s="4" t="str">
        <f>HYPERLINK("https://ongc.barodahighschool.com/", "https://ongc.barodahighschool.com/")</f>
        <v>https://ongc.barodahighschool.com/</v>
      </c>
      <c r="J672" s="3" t="str">
        <f>HYPERLINK("tel:+912652314742", "+912652314742")</f>
        <v>+912652314742</v>
      </c>
      <c r="K672" s="5" t="str">
        <f>HYPERLINK("mailto:bhsongcsec@gmail.com", "bhsongcsec@gmail.com")</f>
        <v>bhsongcsec@gmail.com</v>
      </c>
      <c r="L672" s="6" t="s">
        <v>2377</v>
      </c>
    </row>
    <row r="673" ht="15.75" customHeight="1">
      <c r="A673" s="3">
        <v>681.0</v>
      </c>
      <c r="B673" s="3" t="s">
        <v>3895</v>
      </c>
      <c r="C673" s="3" t="s">
        <v>3896</v>
      </c>
      <c r="D673" s="3" t="s">
        <v>3897</v>
      </c>
      <c r="E673" s="3" t="s">
        <v>3898</v>
      </c>
      <c r="F673" s="3" t="s">
        <v>3899</v>
      </c>
      <c r="G673" s="3" t="s">
        <v>31</v>
      </c>
      <c r="H673" s="4" t="str">
        <f>HYPERLINK("https://ems.nitk.ac.in/", "https://ems.nitk.ac.in/")</f>
        <v>https://ems.nitk.ac.in/</v>
      </c>
      <c r="I673" s="3" t="s">
        <v>3900</v>
      </c>
      <c r="J673" s="3" t="str">
        <f>HYPERLINK("tel:+918242474850", "+918242474850")</f>
        <v>+918242474850</v>
      </c>
      <c r="K673" s="5" t="str">
        <f>HYPERLINK("mailto:nitkschool45296@gmail.com", "nitkschool45296@gmail.com")</f>
        <v>nitkschool45296@gmail.com</v>
      </c>
      <c r="L673" s="6" t="s">
        <v>3901</v>
      </c>
    </row>
    <row r="674" ht="15.75" customHeight="1">
      <c r="A674" s="3">
        <v>682.0</v>
      </c>
      <c r="B674" s="3" t="s">
        <v>3902</v>
      </c>
      <c r="C674" s="3" t="s">
        <v>1668</v>
      </c>
      <c r="D674" s="3" t="s">
        <v>3903</v>
      </c>
      <c r="E674" s="3" t="s">
        <v>3904</v>
      </c>
      <c r="F674" s="3" t="s">
        <v>1671</v>
      </c>
      <c r="G674" s="3" t="s">
        <v>31</v>
      </c>
      <c r="H674" s="4" t="str">
        <f>HYPERLINK("https://www.blossomsschool.in/programs", "https://www.blossomsschool.in/programs")</f>
        <v>https://www.blossomsschool.in/programs</v>
      </c>
      <c r="I674" s="3" t="s">
        <v>3905</v>
      </c>
      <c r="J674" s="3" t="str">
        <f>HYPERLINK("tel:+919937478699", "+919937478699")</f>
        <v>+919937478699</v>
      </c>
      <c r="K674" s="5" t="str">
        <f>HYPERLINK("mailto:blossoms@blossomsschool.in", "blossoms@blossomsschool.in")</f>
        <v>blossoms@blossomsschool.in</v>
      </c>
      <c r="L674" s="6" t="s">
        <v>3906</v>
      </c>
    </row>
    <row r="675" ht="15.75" customHeight="1">
      <c r="A675" s="3">
        <v>683.0</v>
      </c>
      <c r="B675" s="3" t="s">
        <v>3907</v>
      </c>
      <c r="C675" s="3" t="s">
        <v>3908</v>
      </c>
      <c r="D675" s="3" t="s">
        <v>3909</v>
      </c>
      <c r="E675" s="3" t="s">
        <v>3910</v>
      </c>
      <c r="F675" s="3" t="s">
        <v>3911</v>
      </c>
      <c r="G675" s="3" t="s">
        <v>58</v>
      </c>
      <c r="H675" s="4" t="str">
        <f>HYPERLINK("https://schools.org.in/kollam/32130900611/snsmhss-elampalloor.html", "https://schools.org.in/kollam/32130900611/snsmhss-elampalloor.html")</f>
        <v>https://schools.org.in/kollam/32130900611/snsmhss-elampalloor.html</v>
      </c>
      <c r="I675" s="3" t="s">
        <v>3912</v>
      </c>
      <c r="J675" s="3" t="str">
        <f>HYPERLINK("tel:+914712325106", "+914712325106")</f>
        <v>+914712325106</v>
      </c>
      <c r="K675" s="5" t="str">
        <f t="shared" ref="K675:K676" si="60">HYPERLINK("mailto:dirdhse.dge@kerala.gov.in", "dirdhse.dge@kerala.gov.in")</f>
        <v>dirdhse.dge@kerala.gov.in</v>
      </c>
      <c r="L675" s="6" t="s">
        <v>3913</v>
      </c>
    </row>
    <row r="676" ht="15.75" customHeight="1">
      <c r="A676" s="3">
        <v>684.0</v>
      </c>
      <c r="B676" s="3" t="s">
        <v>3914</v>
      </c>
      <c r="C676" s="3" t="s">
        <v>3915</v>
      </c>
      <c r="D676" s="3" t="s">
        <v>3916</v>
      </c>
      <c r="E676" s="3" t="s">
        <v>3917</v>
      </c>
      <c r="F676" s="3" t="s">
        <v>3918</v>
      </c>
      <c r="G676" s="3" t="s">
        <v>58</v>
      </c>
      <c r="H676" s="4" t="str">
        <f>HYPERLINK("https://ernakulam.nic.in/en/public-utility/ghss-puthenthode/", "https://ernakulam.nic.in/en/public-utility/ghss-puthenthode/")</f>
        <v>https://ernakulam.nic.in/en/public-utility/ghss-puthenthode/</v>
      </c>
      <c r="I676" s="3" t="s">
        <v>3919</v>
      </c>
      <c r="J676" s="3" t="str">
        <f>HYPERLINK("tel:+914842247499", "+914842247499")</f>
        <v>+914842247499</v>
      </c>
      <c r="K676" s="5" t="str">
        <f t="shared" si="60"/>
        <v>dirdhse.dge@kerala.gov.in</v>
      </c>
      <c r="L676" s="6" t="s">
        <v>3920</v>
      </c>
    </row>
    <row r="677" ht="15.75" customHeight="1">
      <c r="A677" s="3">
        <v>685.0</v>
      </c>
      <c r="B677" s="3" t="s">
        <v>3921</v>
      </c>
      <c r="C677" s="3" t="s">
        <v>3922</v>
      </c>
      <c r="D677" s="3" t="s">
        <v>3923</v>
      </c>
      <c r="E677" s="3" t="s">
        <v>3924</v>
      </c>
      <c r="F677" s="3" t="s">
        <v>3925</v>
      </c>
      <c r="G677" s="3" t="s">
        <v>58</v>
      </c>
      <c r="H677" s="4" t="str">
        <f>HYPERLINK("http://www.dhsekerala.gov.in/schoolist.aspx?dcode=09", "http://www.dhsekerala.gov.in/schoolist.aspx?dcode=09")</f>
        <v>http://www.dhsekerala.gov.in/schoolist.aspx?dcode=09</v>
      </c>
      <c r="J677" s="3" t="str">
        <f>HYPERLINK("tel:nan", "nan")</f>
        <v>nan</v>
      </c>
      <c r="K677" s="5" t="str">
        <f>HYPERLINK("mailto:nan", "nan")</f>
        <v>nan</v>
      </c>
      <c r="L677" s="6"/>
    </row>
    <row r="678" ht="15.75" customHeight="1">
      <c r="A678" s="3">
        <v>686.0</v>
      </c>
      <c r="B678" s="3" t="s">
        <v>3926</v>
      </c>
      <c r="C678" s="3" t="s">
        <v>3927</v>
      </c>
      <c r="D678" s="3" t="s">
        <v>3928</v>
      </c>
      <c r="E678" s="3" t="s">
        <v>3929</v>
      </c>
      <c r="F678" s="3" t="s">
        <v>3930</v>
      </c>
      <c r="G678" s="3" t="s">
        <v>38</v>
      </c>
      <c r="H678" s="4" t="str">
        <f>HYPERLINK("https://www.rfs.edu.in/mouda", "https://www.rfs.edu.in/mouda")</f>
        <v>https://www.rfs.edu.in/mouda</v>
      </c>
      <c r="J678" s="3" t="str">
        <f>HYPERLINK("tel:+917115357001", "+917115357001")</f>
        <v>+917115357001</v>
      </c>
      <c r="K678" s="5" t="str">
        <f>HYPERLINK("mailto:info.rfsmouda@rfs.edu.in", "info.rfsmouda@rfs.edu.in")</f>
        <v>info.rfsmouda@rfs.edu.in</v>
      </c>
      <c r="L678" s="6" t="s">
        <v>3931</v>
      </c>
    </row>
    <row r="679" ht="15.75" customHeight="1">
      <c r="A679" s="3">
        <v>687.0</v>
      </c>
      <c r="B679" s="3" t="s">
        <v>3932</v>
      </c>
      <c r="C679" s="3" t="s">
        <v>3933</v>
      </c>
      <c r="D679" s="3" t="s">
        <v>3934</v>
      </c>
      <c r="E679" s="3" t="s">
        <v>3935</v>
      </c>
      <c r="F679" s="3" t="s">
        <v>3936</v>
      </c>
      <c r="G679" s="3" t="s">
        <v>17</v>
      </c>
      <c r="H679" s="4" t="str">
        <f>HYPERLINK("https://cuddalore.nic.in/public-utility-category/schools/", "https://cuddalore.nic.in/public-utility-category/schools/")</f>
        <v>https://cuddalore.nic.in/public-utility-category/schools/</v>
      </c>
      <c r="I679" s="3" t="s">
        <v>3937</v>
      </c>
      <c r="J679" s="3" t="str">
        <f>HYPERLINK("tel:+917598779172", "+917598779172")</f>
        <v>+917598779172</v>
      </c>
      <c r="K679" s="5" t="str">
        <f>HYPERLINK("mailto:contact@mappls.com", "contact@mappls.com")</f>
        <v>contact@mappls.com</v>
      </c>
      <c r="L679" s="6" t="s">
        <v>1924</v>
      </c>
    </row>
    <row r="680" ht="15.75" customHeight="1">
      <c r="A680" s="3">
        <v>688.0</v>
      </c>
      <c r="B680" s="3" t="s">
        <v>3938</v>
      </c>
      <c r="C680" s="3" t="s">
        <v>3939</v>
      </c>
      <c r="D680" s="3" t="s">
        <v>3940</v>
      </c>
      <c r="E680" s="3" t="s">
        <v>3941</v>
      </c>
      <c r="F680" s="3" t="s">
        <v>3942</v>
      </c>
      <c r="G680" s="3" t="s">
        <v>17</v>
      </c>
      <c r="H680" s="4" t="str">
        <f>HYPERLINK("https://www.auxiliumcollege.edu.in/", "https://www.auxiliumcollege.edu.in/")</f>
        <v>https://www.auxiliumcollege.edu.in/</v>
      </c>
      <c r="I680" s="3" t="s">
        <v>3943</v>
      </c>
      <c r="J680" s="3" t="str">
        <f>HYPERLINK("tel:+917598598809", "+917598598809")</f>
        <v>+917598598809</v>
      </c>
      <c r="K680" s="5" t="str">
        <f>HYPERLINK("mailto:office@auxiliumcollege.edu.in", "office@auxiliumcollege.edu.in")</f>
        <v>office@auxiliumcollege.edu.in</v>
      </c>
      <c r="L680" s="6" t="s">
        <v>3944</v>
      </c>
    </row>
    <row r="681" ht="15.75" customHeight="1">
      <c r="A681" s="3">
        <v>689.0</v>
      </c>
      <c r="B681" s="3" t="s">
        <v>3945</v>
      </c>
      <c r="C681" s="3" t="s">
        <v>3946</v>
      </c>
      <c r="D681" s="3" t="s">
        <v>3947</v>
      </c>
      <c r="E681" s="3" t="s">
        <v>3948</v>
      </c>
      <c r="F681" s="3" t="s">
        <v>3949</v>
      </c>
      <c r="G681" s="3" t="s">
        <v>138</v>
      </c>
      <c r="H681" s="4" t="str">
        <f>HYPERLINK("https://www.lotusvalley.com/", "https://www.lotusvalley.com/")</f>
        <v>https://www.lotusvalley.com/</v>
      </c>
      <c r="J681" s="3" t="str">
        <f>HYPERLINK("tel:+911206954440", "+911206954440")</f>
        <v>+911206954440</v>
      </c>
      <c r="K681" s="5" t="str">
        <f>HYPERLINK("mailto:info@lotusvalley.com", "info@lotusvalley.com")</f>
        <v>info@lotusvalley.com</v>
      </c>
      <c r="L681" s="6"/>
    </row>
    <row r="682" ht="15.75" customHeight="1">
      <c r="A682" s="3">
        <v>690.0</v>
      </c>
      <c r="B682" s="3" t="s">
        <v>3950</v>
      </c>
      <c r="C682" s="3" t="s">
        <v>3951</v>
      </c>
      <c r="D682" s="3" t="s">
        <v>3952</v>
      </c>
      <c r="E682" s="3" t="s">
        <v>3953</v>
      </c>
      <c r="F682" s="3" t="s">
        <v>3954</v>
      </c>
      <c r="G682" s="3" t="s">
        <v>272</v>
      </c>
      <c r="H682" s="4" t="str">
        <f>HYPERLINK("https://schools.org.in/visakhapatnam/28134000602/zphs-dh-aghraharam.html", "https://schools.org.in/visakhapatnam/28134000602/zphs-dh-aghraharam.html")</f>
        <v>https://schools.org.in/visakhapatnam/28134000602/zphs-dh-aghraharam.html</v>
      </c>
      <c r="I682" s="3" t="s">
        <v>3955</v>
      </c>
      <c r="J682" s="3" t="str">
        <f>HYPERLINK("tel:nan", "nan")</f>
        <v>nan</v>
      </c>
      <c r="K682" s="5" t="str">
        <f>HYPERLINK("mailto:nan", "nan")</f>
        <v>nan</v>
      </c>
      <c r="L682" s="6" t="s">
        <v>3956</v>
      </c>
    </row>
    <row r="683" ht="15.75" customHeight="1">
      <c r="A683" s="3">
        <v>691.0</v>
      </c>
      <c r="B683" s="3" t="s">
        <v>3957</v>
      </c>
      <c r="C683" s="3" t="s">
        <v>1951</v>
      </c>
      <c r="D683" s="3" t="s">
        <v>3958</v>
      </c>
      <c r="E683" s="3" t="s">
        <v>3959</v>
      </c>
      <c r="F683" s="3" t="s">
        <v>1954</v>
      </c>
      <c r="G683" s="3" t="s">
        <v>229</v>
      </c>
      <c r="H683" s="4" t="str">
        <f>HYPERLINK("https://bvbraipur.org/", "https://bvbraipur.org/")</f>
        <v>https://bvbraipur.org/</v>
      </c>
      <c r="I683" s="3" t="s">
        <v>534</v>
      </c>
      <c r="J683" s="3" t="str">
        <f>HYPERLINK("tel:+917713500941", "+917713500941")</f>
        <v>+917713500941</v>
      </c>
      <c r="K683" s="5" t="str">
        <f>HYPERLINK("mailto:principal@bvbraipur.org", "principal@bvbraipur.org")</f>
        <v>principal@bvbraipur.org</v>
      </c>
      <c r="L683" s="6" t="s">
        <v>1955</v>
      </c>
    </row>
    <row r="684" ht="15.75" customHeight="1">
      <c r="A684" s="3">
        <v>692.0</v>
      </c>
      <c r="B684" s="3" t="s">
        <v>3960</v>
      </c>
      <c r="C684" s="3" t="s">
        <v>3961</v>
      </c>
      <c r="D684" s="3" t="s">
        <v>3962</v>
      </c>
      <c r="E684" s="3" t="s">
        <v>3963</v>
      </c>
      <c r="F684" s="3" t="s">
        <v>3964</v>
      </c>
      <c r="G684" s="3" t="s">
        <v>229</v>
      </c>
      <c r="H684" s="4" t="str">
        <f>HYPERLINK("http://www.aasthavidyamandir.in/", "http://www.aasthavidyamandir.in/")</f>
        <v>http://www.aasthavidyamandir.in/</v>
      </c>
      <c r="I684" s="3" t="s">
        <v>3965</v>
      </c>
      <c r="J684" s="3" t="str">
        <f>HYPERLINK("tel:+919479191322", "+919479191322")</f>
        <v>+919479191322</v>
      </c>
      <c r="K684" s="5" t="str">
        <f>HYPERLINK("mailto:admin@aasthavidyamandir.in", "admin@aasthavidyamandir.in")</f>
        <v>admin@aasthavidyamandir.in</v>
      </c>
      <c r="L684" s="6" t="s">
        <v>3966</v>
      </c>
    </row>
    <row r="685" ht="15.75" customHeight="1">
      <c r="A685" s="3">
        <v>693.0</v>
      </c>
      <c r="B685" s="3" t="s">
        <v>3967</v>
      </c>
      <c r="C685" s="3" t="s">
        <v>3843</v>
      </c>
      <c r="D685" s="3" t="s">
        <v>3968</v>
      </c>
      <c r="E685" s="3" t="s">
        <v>3969</v>
      </c>
      <c r="F685" s="3" t="s">
        <v>3846</v>
      </c>
      <c r="G685" s="3" t="s">
        <v>100</v>
      </c>
      <c r="H685" s="4" t="str">
        <f>HYPERLINK("https://agrasenschool.com/", "https://agrasenschool.com/")</f>
        <v>https://agrasenschool.com/</v>
      </c>
      <c r="J685" s="3" t="str">
        <f>HYPERLINK("tel:+911140453808", "+911140453808")</f>
        <v>+911140453808</v>
      </c>
      <c r="K685" s="5" t="str">
        <f>HYPERLINK("mailto:agrasenschool1985@gmail.com", "agrasenschool1985@gmail.com")</f>
        <v>agrasenschool1985@gmail.com</v>
      </c>
      <c r="L685" s="6" t="s">
        <v>3847</v>
      </c>
    </row>
    <row r="686" ht="15.75" customHeight="1">
      <c r="A686" s="3">
        <v>694.0</v>
      </c>
      <c r="B686" s="3" t="s">
        <v>3970</v>
      </c>
      <c r="C686" s="3" t="s">
        <v>3971</v>
      </c>
      <c r="D686" s="3" t="s">
        <v>3972</v>
      </c>
      <c r="E686" s="3" t="s">
        <v>3973</v>
      </c>
      <c r="F686" s="3" t="s">
        <v>3974</v>
      </c>
      <c r="G686" s="3" t="s">
        <v>24</v>
      </c>
      <c r="H686" s="4" t="str">
        <f>HYPERLINK("https://balvikasschoolpanipat.edu.in/", "https://balvikasschoolpanipat.edu.in/")</f>
        <v>https://balvikasschoolpanipat.edu.in/</v>
      </c>
      <c r="I686" s="3" t="s">
        <v>3975</v>
      </c>
      <c r="J686" s="3" t="str">
        <f>HYPERLINK("tel:+916070104705", "+916070104705")</f>
        <v>+916070104705</v>
      </c>
      <c r="K686" s="5" t="str">
        <f t="shared" ref="K686:K687" si="61">HYPERLINK("mailto:nan", "nan")</f>
        <v>nan</v>
      </c>
      <c r="L686" s="6" t="s">
        <v>3976</v>
      </c>
    </row>
    <row r="687" ht="15.75" customHeight="1">
      <c r="A687" s="3">
        <v>695.0</v>
      </c>
      <c r="B687" s="3" t="s">
        <v>3977</v>
      </c>
      <c r="C687" s="3" t="s">
        <v>3978</v>
      </c>
      <c r="D687" s="3" t="s">
        <v>3979</v>
      </c>
      <c r="E687" s="3" t="s">
        <v>3980</v>
      </c>
      <c r="F687" s="3" t="s">
        <v>3981</v>
      </c>
      <c r="G687" s="3" t="s">
        <v>182</v>
      </c>
      <c r="H687" s="4" t="str">
        <f>HYPERLINK("https://schools.org.in/kulgam/01200902601/bms-hariveth.html", "https://schools.org.in/kulgam/01200902601/bms-hariveth.html")</f>
        <v>https://schools.org.in/kulgam/01200902601/bms-hariveth.html</v>
      </c>
      <c r="I687" s="3" t="s">
        <v>3982</v>
      </c>
      <c r="J687" s="3" t="str">
        <f>HYPERLINK("tel:nan", "nan")</f>
        <v>nan</v>
      </c>
      <c r="K687" s="5" t="str">
        <f t="shared" si="61"/>
        <v>nan</v>
      </c>
      <c r="L687" s="6" t="s">
        <v>3983</v>
      </c>
    </row>
    <row r="688" ht="15.75" customHeight="1">
      <c r="A688" s="3">
        <v>696.0</v>
      </c>
      <c r="B688" s="3" t="s">
        <v>3984</v>
      </c>
      <c r="C688" s="3" t="s">
        <v>3985</v>
      </c>
      <c r="D688" s="3" t="s">
        <v>3986</v>
      </c>
      <c r="E688" s="3" t="s">
        <v>3987</v>
      </c>
      <c r="F688" s="3" t="s">
        <v>3988</v>
      </c>
      <c r="G688" s="3" t="s">
        <v>58</v>
      </c>
      <c r="H688" s="4" t="str">
        <f>HYPERLINK("https://amritaschool.edu.in/puthiyakavu", "https://amritaschool.edu.in/puthiyakavu")</f>
        <v>https://amritaschool.edu.in/puthiyakavu</v>
      </c>
      <c r="I688" s="3" t="s">
        <v>5</v>
      </c>
      <c r="J688" s="3" t="str">
        <f>HYPERLINK("tel:+914762620035", "+914762620035")</f>
        <v>+914762620035</v>
      </c>
      <c r="K688" s="5" t="str">
        <f>HYPERLINK("mailto:avpkvu@pkvu.amritavidyalayam.edu.in", "avpkvu@pkvu.amritavidyalayam.edu.in")</f>
        <v>avpkvu@pkvu.amritavidyalayam.edu.in</v>
      </c>
      <c r="L688" s="6" t="s">
        <v>3989</v>
      </c>
    </row>
    <row r="689" ht="15.75" customHeight="1">
      <c r="A689" s="3">
        <v>697.0</v>
      </c>
      <c r="B689" s="3" t="s">
        <v>3990</v>
      </c>
      <c r="C689" s="3" t="s">
        <v>3991</v>
      </c>
      <c r="D689" s="3" t="s">
        <v>3992</v>
      </c>
      <c r="E689" s="3" t="s">
        <v>3993</v>
      </c>
      <c r="F689" s="3" t="s">
        <v>3994</v>
      </c>
      <c r="G689" s="3" t="s">
        <v>58</v>
      </c>
      <c r="H689" s="4" t="str">
        <f>HYPERLINK("https://schools.org.in/kannur/32020600317/kkv-memorial-hss-panoor.html", "https://schools.org.in/kannur/32020600317/kkv-memorial-hss-panoor.html")</f>
        <v>https://schools.org.in/kannur/32020600317/kkv-memorial-hss-panoor.html</v>
      </c>
      <c r="I689" s="3" t="s">
        <v>3995</v>
      </c>
      <c r="J689" s="3" t="str">
        <f>HYPERLINK("tel:+914712325106", "+914712325106")</f>
        <v>+914712325106</v>
      </c>
      <c r="K689" s="5" t="str">
        <f>HYPERLINK("mailto:dirdhse.dge@kerala.gov.in", "dirdhse.dge@kerala.gov.in")</f>
        <v>dirdhse.dge@kerala.gov.in</v>
      </c>
      <c r="L689" s="6" t="s">
        <v>3996</v>
      </c>
    </row>
    <row r="690" ht="15.75" customHeight="1">
      <c r="A690" s="3">
        <v>698.0</v>
      </c>
      <c r="B690" s="3" t="s">
        <v>3997</v>
      </c>
      <c r="C690" s="3" t="s">
        <v>3998</v>
      </c>
      <c r="D690" s="3" t="s">
        <v>3999</v>
      </c>
      <c r="E690" s="3" t="s">
        <v>4000</v>
      </c>
      <c r="F690" s="3" t="s">
        <v>4001</v>
      </c>
      <c r="G690" s="3" t="s">
        <v>70</v>
      </c>
      <c r="H690" s="4" t="str">
        <f>HYPERLINK("https://no1jaipur.kvs.ac.in/en/", "https://no1jaipur.kvs.ac.in/en/")</f>
        <v>https://no1jaipur.kvs.ac.in/en/</v>
      </c>
      <c r="I690" s="3" t="s">
        <v>86</v>
      </c>
      <c r="J690" s="3" t="str">
        <f>HYPERLINK("tel:+911412706742", "+911412706742")</f>
        <v>+911412706742</v>
      </c>
      <c r="K690" s="5" t="str">
        <f>HYPERLINK("mailto:kv1jpr@rediffmail.com", "kv1jpr@rediffmail.com")</f>
        <v>kv1jpr@rediffmail.com</v>
      </c>
      <c r="L690" s="6" t="s">
        <v>4002</v>
      </c>
    </row>
    <row r="691" ht="15.75" customHeight="1">
      <c r="A691" s="3">
        <v>699.0</v>
      </c>
      <c r="B691" s="3" t="s">
        <v>4003</v>
      </c>
      <c r="C691" s="3" t="s">
        <v>4004</v>
      </c>
      <c r="D691" s="3" t="s">
        <v>4005</v>
      </c>
      <c r="E691" s="3" t="s">
        <v>4006</v>
      </c>
      <c r="F691" s="3" t="s">
        <v>4007</v>
      </c>
      <c r="G691" s="3" t="s">
        <v>17</v>
      </c>
      <c r="H691" s="4" t="str">
        <f>HYPERLINK("https://thecoronationgirlshighersecondaryschool.in/", "https://thecoronationgirlshighersecondaryschool.in/")</f>
        <v>https://thecoronationgirlshighersecondaryschool.in/</v>
      </c>
      <c r="I691" s="3" t="s">
        <v>4008</v>
      </c>
      <c r="J691" s="3" t="str">
        <f>HYPERLINK("tel:+914562221664", "+914562221664")</f>
        <v>+914562221664</v>
      </c>
      <c r="K691" s="5" t="str">
        <f>HYPERLINK("mailto:coronationhss@gmail.com", "coronationhss@gmail.com")</f>
        <v>coronationhss@gmail.com</v>
      </c>
      <c r="L691" s="6" t="s">
        <v>4009</v>
      </c>
    </row>
    <row r="692" ht="15.75" customHeight="1">
      <c r="A692" s="3">
        <v>700.0</v>
      </c>
      <c r="B692" s="3" t="s">
        <v>4010</v>
      </c>
      <c r="C692" s="3" t="s">
        <v>4011</v>
      </c>
      <c r="D692" s="3" t="s">
        <v>4012</v>
      </c>
      <c r="E692" s="3" t="s">
        <v>4013</v>
      </c>
      <c r="F692" s="3" t="s">
        <v>4014</v>
      </c>
      <c r="G692" s="3" t="s">
        <v>17</v>
      </c>
      <c r="H692" s="4" t="str">
        <f>HYPERLINK("https://schools.org.in/perambalur/33160402802/ghs-vadakkumadevi.html", "https://schools.org.in/perambalur/33160402802/ghs-vadakkumadevi.html")</f>
        <v>https://schools.org.in/perambalur/33160402802/ghs-vadakkumadevi.html</v>
      </c>
      <c r="I692" s="3" t="s">
        <v>4015</v>
      </c>
      <c r="J692" s="3" t="str">
        <f>HYPERLINK("tel:nan", "nan")</f>
        <v>nan</v>
      </c>
      <c r="K692" s="5" t="str">
        <f>HYPERLINK("mailto:nan", "nan")</f>
        <v>nan</v>
      </c>
      <c r="L692" s="6" t="s">
        <v>4016</v>
      </c>
    </row>
    <row r="693" ht="15.75" customHeight="1">
      <c r="A693" s="3">
        <v>701.0</v>
      </c>
      <c r="B693" s="3" t="s">
        <v>4017</v>
      </c>
      <c r="C693" s="3" t="s">
        <v>4018</v>
      </c>
      <c r="D693" s="3" t="s">
        <v>4019</v>
      </c>
      <c r="E693" s="3" t="s">
        <v>4020</v>
      </c>
      <c r="F693" s="3" t="s">
        <v>4021</v>
      </c>
      <c r="G693" s="3" t="s">
        <v>130</v>
      </c>
      <c r="H693" s="4" t="str">
        <f>HYPERLINK("https://www.masterjischools.in/", "https://www.masterjischools.in/")</f>
        <v>https://www.masterjischools.in/</v>
      </c>
      <c r="J693" s="3" t="str">
        <f>HYPERLINK("tel:+919876543210", "+919876543210")</f>
        <v>+919876543210</v>
      </c>
      <c r="K693" s="5" t="str">
        <f>HYPERLINK("mailto:contact@masterjischool.com", "contact@masterjischool.com")</f>
        <v>contact@masterjischool.com</v>
      </c>
      <c r="L693" s="6"/>
    </row>
    <row r="694" ht="15.75" customHeight="1">
      <c r="A694" s="3">
        <v>702.0</v>
      </c>
      <c r="B694" s="3" t="s">
        <v>4022</v>
      </c>
      <c r="C694" s="3" t="s">
        <v>4023</v>
      </c>
      <c r="D694" s="3" t="s">
        <v>4024</v>
      </c>
      <c r="E694" s="3" t="s">
        <v>4025</v>
      </c>
      <c r="F694" s="3" t="s">
        <v>4026</v>
      </c>
      <c r="G694" s="3" t="s">
        <v>138</v>
      </c>
      <c r="H694" s="4" t="str">
        <f>HYPERLINK("https://www.kdbps.edu.in/", "https://www.kdbps.edu.in/")</f>
        <v>https://www.kdbps.edu.in/</v>
      </c>
      <c r="I694" s="3" t="s">
        <v>4027</v>
      </c>
      <c r="J694" s="3" t="str">
        <f>HYPERLINK("tel:+911204110940", "+911204110940")</f>
        <v>+911204110940</v>
      </c>
      <c r="K694" s="5" t="str">
        <f>HYPERLINK("mailto:kdb_school@rediffmail.com", "kdb_school@rediffmail.com")</f>
        <v>kdb_school@rediffmail.com</v>
      </c>
      <c r="L694" s="6" t="s">
        <v>4028</v>
      </c>
    </row>
    <row r="695" ht="15.75" customHeight="1">
      <c r="A695" s="3">
        <v>703.0</v>
      </c>
      <c r="B695" s="3" t="s">
        <v>4029</v>
      </c>
      <c r="C695" s="3" t="s">
        <v>4030</v>
      </c>
      <c r="D695" s="3" t="s">
        <v>4031</v>
      </c>
      <c r="E695" s="3" t="s">
        <v>4032</v>
      </c>
      <c r="F695" s="3" t="s">
        <v>3461</v>
      </c>
      <c r="G695" s="3" t="s">
        <v>272</v>
      </c>
      <c r="H695" s="4" t="str">
        <f>HYPERLINK("https://apms.apcfss.in/", "https://apms.apcfss.in/")</f>
        <v>https://apms.apcfss.in/</v>
      </c>
      <c r="J695" s="3" t="str">
        <f>HYPERLINK("tel:+911230413241", "+911230413241")</f>
        <v>+911230413241</v>
      </c>
      <c r="K695" s="5" t="str">
        <f t="shared" ref="K695:K696" si="62">HYPERLINK("mailto:nan", "nan")</f>
        <v>nan</v>
      </c>
      <c r="L695" s="6" t="s">
        <v>3462</v>
      </c>
    </row>
    <row r="696" ht="15.75" customHeight="1">
      <c r="A696" s="3">
        <v>704.0</v>
      </c>
      <c r="B696" s="3" t="s">
        <v>4033</v>
      </c>
      <c r="C696" s="3" t="s">
        <v>2188</v>
      </c>
      <c r="D696" s="3" t="s">
        <v>4034</v>
      </c>
      <c r="E696" s="3" t="s">
        <v>4035</v>
      </c>
      <c r="F696" s="3" t="s">
        <v>2191</v>
      </c>
      <c r="G696" s="3" t="s">
        <v>272</v>
      </c>
      <c r="H696" s="4" t="str">
        <f>HYPERLINK("https://krishna.ap.gov.in/public-utility/smk-zphs-movva-28163001409/", "https://krishna.ap.gov.in/public-utility/smk-zphs-movva-28163001409/")</f>
        <v>https://krishna.ap.gov.in/public-utility/smk-zphs-movva-28163001409/</v>
      </c>
      <c r="I696" s="3" t="s">
        <v>2192</v>
      </c>
      <c r="J696" s="3" t="str">
        <f>HYPERLINK("tel:+918672252668", "+918672252668")</f>
        <v>+918672252668</v>
      </c>
      <c r="K696" s="5" t="str">
        <f t="shared" si="62"/>
        <v>nan</v>
      </c>
      <c r="L696" s="6" t="s">
        <v>2193</v>
      </c>
    </row>
    <row r="697" ht="15.75" customHeight="1">
      <c r="A697" s="3">
        <v>705.0</v>
      </c>
      <c r="B697" s="3" t="s">
        <v>4036</v>
      </c>
      <c r="C697" s="3" t="s">
        <v>2847</v>
      </c>
      <c r="D697" s="3" t="s">
        <v>4037</v>
      </c>
      <c r="E697" s="3" t="s">
        <v>4038</v>
      </c>
      <c r="F697" s="3" t="s">
        <v>2850</v>
      </c>
      <c r="G697" s="3" t="s">
        <v>100</v>
      </c>
      <c r="H697" s="4" t="str">
        <f>HYPERLINK("https://dwarkasec5.kvs.ac.in/en/", "https://dwarkasec5.kvs.ac.in/en/")</f>
        <v>https://dwarkasec5.kvs.ac.in/en/</v>
      </c>
      <c r="I697" s="3" t="s">
        <v>625</v>
      </c>
      <c r="J697" s="3" t="str">
        <f>HYPERLINK("tel:+911120892070", "+911120892070")</f>
        <v>+911120892070</v>
      </c>
      <c r="K697" s="5" t="str">
        <f>HYPERLINK("mailto:dc@kvsrodelhi.in", "dc@kvsrodelhi.in")</f>
        <v>dc@kvsrodelhi.in</v>
      </c>
      <c r="L697" s="6" t="s">
        <v>2851</v>
      </c>
    </row>
    <row r="698" ht="15.75" customHeight="1">
      <c r="A698" s="3">
        <v>706.0</v>
      </c>
      <c r="B698" s="3" t="s">
        <v>4039</v>
      </c>
      <c r="C698" s="3" t="s">
        <v>4040</v>
      </c>
      <c r="D698" s="3" t="s">
        <v>4041</v>
      </c>
      <c r="E698" s="3" t="s">
        <v>4042</v>
      </c>
      <c r="F698" s="3" t="s">
        <v>4043</v>
      </c>
      <c r="G698" s="3" t="s">
        <v>175</v>
      </c>
      <c r="H698" s="4" t="str">
        <f>HYPERLINK("https://no1baroda.kvs.ac.in/en/", "https://no1baroda.kvs.ac.in/en/")</f>
        <v>https://no1baroda.kvs.ac.in/en/</v>
      </c>
      <c r="I698" s="3" t="s">
        <v>93</v>
      </c>
      <c r="J698" s="3" t="str">
        <f>HYPERLINK("tel:+912652482021", "+912652482021")</f>
        <v>+912652482021</v>
      </c>
      <c r="K698" s="5" t="str">
        <f>HYPERLINK("mailto:nan", "nan")</f>
        <v>nan</v>
      </c>
      <c r="L698" s="6" t="s">
        <v>4044</v>
      </c>
    </row>
    <row r="699" ht="15.75" customHeight="1">
      <c r="A699" s="3">
        <v>707.0</v>
      </c>
      <c r="B699" s="3" t="s">
        <v>4045</v>
      </c>
      <c r="C699" s="3" t="s">
        <v>506</v>
      </c>
      <c r="D699" s="3" t="s">
        <v>4046</v>
      </c>
      <c r="E699" s="3" t="s">
        <v>4046</v>
      </c>
      <c r="F699" s="3" t="s">
        <v>509</v>
      </c>
      <c r="G699" s="3" t="s">
        <v>24</v>
      </c>
      <c r="H699" s="4" t="str">
        <f>HYPERLINK("https://www.dpsgurgaon.org/", "https://www.dpsgurgaon.org/")</f>
        <v>https://www.dpsgurgaon.org/</v>
      </c>
      <c r="I699" s="3" t="s">
        <v>510</v>
      </c>
      <c r="J699" s="3" t="str">
        <f>HYPERLINK("tel:+918130314455", "+918130314455")</f>
        <v>+918130314455</v>
      </c>
      <c r="K699" s="5" t="str">
        <f>HYPERLINK("mailto:principal@dpsgurgaon.org", "principal@dpsgurgaon.org")</f>
        <v>principal@dpsgurgaon.org</v>
      </c>
      <c r="L699" s="6" t="s">
        <v>511</v>
      </c>
    </row>
    <row r="700" ht="15.75" customHeight="1">
      <c r="A700" s="3">
        <v>708.0</v>
      </c>
      <c r="B700" s="3" t="s">
        <v>4047</v>
      </c>
      <c r="C700" s="3" t="s">
        <v>4048</v>
      </c>
      <c r="D700" s="3" t="s">
        <v>4049</v>
      </c>
      <c r="E700" s="3" t="s">
        <v>4050</v>
      </c>
      <c r="F700" s="3" t="s">
        <v>4051</v>
      </c>
      <c r="G700" s="3" t="s">
        <v>31</v>
      </c>
      <c r="H700" s="4" t="str">
        <f>HYPERLINK("https://www.facebook.com/p/Govt-P-U-College-Bettampady-100064143517328/", "https://www.facebook.com/p/Govt-P-U-College-Bettampady-100064143517328/")</f>
        <v>https://www.facebook.com/p/Govt-P-U-College-Bettampady-100064143517328/</v>
      </c>
      <c r="I700" s="3" t="s">
        <v>4052</v>
      </c>
      <c r="J700" s="3" t="str">
        <f>HYPERLINK("tel:+918251288035", "+918251288035")</f>
        <v>+918251288035</v>
      </c>
      <c r="K700" s="5" t="str">
        <f>HYPERLINK("mailto:principalss141@gmail.com", "principalss141@gmail.com")</f>
        <v>principalss141@gmail.com</v>
      </c>
      <c r="L700" s="6" t="s">
        <v>4053</v>
      </c>
    </row>
    <row r="701" ht="15.75" customHeight="1">
      <c r="A701" s="3">
        <v>709.0</v>
      </c>
      <c r="B701" s="3" t="s">
        <v>4054</v>
      </c>
      <c r="C701" s="3" t="s">
        <v>402</v>
      </c>
      <c r="D701" s="3" t="s">
        <v>4055</v>
      </c>
      <c r="E701" s="3" t="s">
        <v>4056</v>
      </c>
      <c r="F701" s="3" t="s">
        <v>405</v>
      </c>
      <c r="G701" s="3" t="s">
        <v>31</v>
      </c>
      <c r="H701" s="4" t="str">
        <f>HYPERLINK("https://rvkcbse.in/", "https://rvkcbse.in/")</f>
        <v>https://rvkcbse.in/</v>
      </c>
      <c r="J701" s="3" t="str">
        <f>HYPERLINK("tel:+916364460807", "+916364460807")</f>
        <v>+916364460807</v>
      </c>
      <c r="K701" s="5" t="str">
        <f>HYPERLINK("mailto:info@rvkcbse.in", "info@rvkcbse.in")</f>
        <v>info@rvkcbse.in</v>
      </c>
      <c r="L701" s="6" t="s">
        <v>406</v>
      </c>
    </row>
    <row r="702" ht="15.75" customHeight="1">
      <c r="A702" s="3">
        <v>710.0</v>
      </c>
      <c r="B702" s="3" t="s">
        <v>4057</v>
      </c>
      <c r="C702" s="3" t="s">
        <v>4058</v>
      </c>
      <c r="D702" s="3" t="s">
        <v>4059</v>
      </c>
      <c r="E702" s="3" t="s">
        <v>4060</v>
      </c>
      <c r="F702" s="3" t="s">
        <v>4061</v>
      </c>
      <c r="G702" s="3" t="s">
        <v>58</v>
      </c>
      <c r="H702" s="4" t="str">
        <f>HYPERLINK("https://schools.org.in/thiruvananthapuram/32140501107/s-k-v-h-s-kadampattukonam.html", "https://schools.org.in/thiruvananthapuram/32140501107/s-k-v-h-s-kadampattukonam.html")</f>
        <v>https://schools.org.in/thiruvananthapuram/32140501107/s-k-v-h-s-kadampattukonam.html</v>
      </c>
      <c r="I702" s="3" t="s">
        <v>4062</v>
      </c>
      <c r="J702" s="3" t="str">
        <f>HYPERLINK("tel:+912334688573", "+912334688573")</f>
        <v>+912334688573</v>
      </c>
      <c r="K702" s="5" t="str">
        <f>HYPERLINK("mailto:kalolsavam@kite.kerala.gov.in", "kalolsavam@kite.kerala.gov.in")</f>
        <v>kalolsavam@kite.kerala.gov.in</v>
      </c>
      <c r="L702" s="6" t="s">
        <v>4063</v>
      </c>
    </row>
    <row r="703" ht="15.75" customHeight="1">
      <c r="A703" s="3">
        <v>711.0</v>
      </c>
      <c r="B703" s="3" t="s">
        <v>4064</v>
      </c>
      <c r="C703" s="3" t="s">
        <v>4065</v>
      </c>
      <c r="D703" s="3" t="s">
        <v>4066</v>
      </c>
      <c r="E703" s="3" t="s">
        <v>4067</v>
      </c>
      <c r="F703" s="3" t="s">
        <v>4068</v>
      </c>
      <c r="G703" s="3" t="s">
        <v>58</v>
      </c>
      <c r="H703" s="4" t="str">
        <f>HYPERLINK("https://www.jairanisabspublicschool.in/", "https://www.jairanisabspublicschool.in/")</f>
        <v>https://www.jairanisabspublicschool.in/</v>
      </c>
      <c r="J703" s="3" t="str">
        <f>HYPERLINK("tel:+914862221011", "+914862221011")</f>
        <v>+914862221011</v>
      </c>
      <c r="K703" s="5" t="str">
        <f>HYPERLINK("mailto:jairanips@yahoo.com", "jairanips@yahoo.com")</f>
        <v>jairanips@yahoo.com</v>
      </c>
      <c r="L703" s="6"/>
    </row>
    <row r="704" ht="15.75" customHeight="1">
      <c r="A704" s="3">
        <v>712.0</v>
      </c>
      <c r="B704" s="3" t="s">
        <v>4069</v>
      </c>
      <c r="C704" s="3" t="s">
        <v>4070</v>
      </c>
      <c r="D704" s="3" t="s">
        <v>4071</v>
      </c>
      <c r="E704" s="3" t="s">
        <v>4072</v>
      </c>
      <c r="F704" s="3" t="s">
        <v>4073</v>
      </c>
      <c r="G704" s="3" t="s">
        <v>58</v>
      </c>
      <c r="H704" s="4" t="str">
        <f>HYPERLINK("https://www.justdial.com/Kannur/Vayathur-Up-School-Ullikkal/9999PX497-X497-230523180615-M6A8_BZDET", "https://www.justdial.com/Kannur/Vayathur-Up-School-Ullikkal/9999PX497-X497-230523180615-M6A8_BZDET")</f>
        <v>https://www.justdial.com/Kannur/Vayathur-Up-School-Ullikkal/9999PX497-X497-230523180615-M6A8_BZDET</v>
      </c>
      <c r="I704" s="3" t="s">
        <v>4074</v>
      </c>
      <c r="J704" s="3" t="str">
        <f>HYPERLINK("tel:nan", "nan")</f>
        <v>nan</v>
      </c>
      <c r="K704" s="5" t="str">
        <f>HYPERLINK("mailto:nan", "nan")</f>
        <v>nan</v>
      </c>
      <c r="L704" s="6" t="s">
        <v>4075</v>
      </c>
    </row>
    <row r="705" ht="15.75" customHeight="1">
      <c r="A705" s="3">
        <v>713.0</v>
      </c>
      <c r="B705" s="3" t="s">
        <v>4076</v>
      </c>
      <c r="C705" s="3" t="s">
        <v>4077</v>
      </c>
      <c r="D705" s="3" t="s">
        <v>4078</v>
      </c>
      <c r="E705" s="3" t="s">
        <v>3643</v>
      </c>
      <c r="F705" s="3" t="s">
        <v>4079</v>
      </c>
      <c r="G705" s="3" t="s">
        <v>58</v>
      </c>
      <c r="H705" s="4" t="str">
        <f>HYPERLINK("https://www.hseportal.kerala.gov.in/public/sl/554/1", "https://www.hseportal.kerala.gov.in/public/sl/554/1")</f>
        <v>https://www.hseportal.kerala.gov.in/public/sl/554/1</v>
      </c>
      <c r="I705" s="3" t="s">
        <v>4080</v>
      </c>
      <c r="J705" s="3" t="str">
        <f>HYPERLINK("tel:+914712325106", "+914712325106")</f>
        <v>+914712325106</v>
      </c>
      <c r="K705" s="5" t="str">
        <f>HYPERLINK("mailto:dirdhse.dge@kerala.gov.in", "dirdhse.dge@kerala.gov.in")</f>
        <v>dirdhse.dge@kerala.gov.in</v>
      </c>
      <c r="L705" s="6" t="s">
        <v>4081</v>
      </c>
    </row>
    <row r="706" ht="15.75" customHeight="1">
      <c r="A706" s="3">
        <v>714.0</v>
      </c>
      <c r="B706" s="3" t="s">
        <v>4082</v>
      </c>
      <c r="C706" s="3" t="s">
        <v>4083</v>
      </c>
      <c r="D706" s="3" t="s">
        <v>4084</v>
      </c>
      <c r="E706" s="3" t="s">
        <v>4085</v>
      </c>
      <c r="F706" s="3" t="s">
        <v>4086</v>
      </c>
      <c r="G706" s="3" t="s">
        <v>58</v>
      </c>
      <c r="H706" s="4" t="str">
        <f>HYPERLINK("https://mananthavadydiocese.com/foranes/Mullenkolly", "https://mananthavadydiocese.com/foranes/Mullenkolly")</f>
        <v>https://mananthavadydiocese.com/foranes/Mullenkolly</v>
      </c>
      <c r="I706" s="3" t="s">
        <v>4087</v>
      </c>
      <c r="J706" s="3" t="str">
        <f>HYPERLINK("tel:+916238661842", "+916238661842")</f>
        <v>+916238661842</v>
      </c>
      <c r="K706" s="5" t="str">
        <f>HYPERLINK("mailto:catholicchurchmullankolly@gmail.com", "catholicchurchmullankolly@gmail.com")</f>
        <v>catholicchurchmullankolly@gmail.com</v>
      </c>
      <c r="L706" s="6" t="s">
        <v>4088</v>
      </c>
    </row>
    <row r="707" ht="15.75" customHeight="1">
      <c r="A707" s="3">
        <v>715.0</v>
      </c>
      <c r="B707" s="3" t="s">
        <v>4089</v>
      </c>
      <c r="C707" s="3" t="s">
        <v>4090</v>
      </c>
      <c r="D707" s="3" t="s">
        <v>4091</v>
      </c>
      <c r="E707" s="3" t="s">
        <v>4092</v>
      </c>
      <c r="F707" s="3" t="s">
        <v>4093</v>
      </c>
      <c r="G707" s="3" t="s">
        <v>58</v>
      </c>
      <c r="H707" s="4" t="str">
        <f>HYPERLINK("https://www.vhseportal.kerala.gov.in/public/portal/sl/565", "https://www.vhseportal.kerala.gov.in/public/portal/sl/565")</f>
        <v>https://www.vhseportal.kerala.gov.in/public/portal/sl/565</v>
      </c>
      <c r="I707" s="3" t="s">
        <v>4094</v>
      </c>
      <c r="J707" s="3" t="str">
        <f>HYPERLINK("tel:+914712210660", "+914712210660")</f>
        <v>+914712210660</v>
      </c>
      <c r="K707" s="5" t="str">
        <f>HYPERLINK("mailto:dirvhse.dge@kerala.gov.in", "dirvhse.dge@kerala.gov.in")</f>
        <v>dirvhse.dge@kerala.gov.in</v>
      </c>
      <c r="L707" s="6" t="s">
        <v>4095</v>
      </c>
    </row>
    <row r="708" ht="15.75" customHeight="1">
      <c r="A708" s="3">
        <v>716.0</v>
      </c>
      <c r="B708" s="3" t="s">
        <v>4096</v>
      </c>
      <c r="C708" s="3" t="s">
        <v>4097</v>
      </c>
      <c r="D708" s="3" t="s">
        <v>4098</v>
      </c>
      <c r="E708" s="3" t="s">
        <v>4099</v>
      </c>
      <c r="F708" s="3" t="s">
        <v>4100</v>
      </c>
      <c r="G708" s="3" t="s">
        <v>4101</v>
      </c>
      <c r="H708" s="4" t="str">
        <f>HYPERLINK("https://starpublicschool.co.in/", "https://starpublicschool.co.in/")</f>
        <v>https://starpublicschool.co.in/</v>
      </c>
      <c r="J708" s="3" t="str">
        <f>HYPERLINK("tel:+913655278215", "+913655278215")</f>
        <v>+913655278215</v>
      </c>
      <c r="K708" s="5" t="str">
        <f>HYPERLINK("mailto:info@careers360.com", "info@careers360.com")</f>
        <v>info@careers360.com</v>
      </c>
      <c r="L708" s="6" t="s">
        <v>4102</v>
      </c>
    </row>
    <row r="709" ht="15.75" customHeight="1">
      <c r="A709" s="3">
        <v>717.0</v>
      </c>
      <c r="B709" s="3" t="s">
        <v>4103</v>
      </c>
      <c r="C709" s="3" t="s">
        <v>4104</v>
      </c>
      <c r="D709" s="3" t="s">
        <v>4105</v>
      </c>
      <c r="E709" s="3" t="s">
        <v>4106</v>
      </c>
      <c r="F709" s="3" t="s">
        <v>4107</v>
      </c>
      <c r="G709" s="3" t="s">
        <v>17</v>
      </c>
      <c r="H709" s="4" t="str">
        <f>HYPERLINK("https://www.ssvmmatric.in/", "https://www.ssvmmatric.in/")</f>
        <v>https://www.ssvmmatric.in/</v>
      </c>
      <c r="J709" s="3" t="str">
        <f>HYPERLINK("tel:+919578751888", "+919578751888")</f>
        <v>+919578751888</v>
      </c>
      <c r="K709" s="5" t="str">
        <f>HYPERLINK("mailto:ssvmmatric.2014@gmail.com", "ssvmmatric.2014@gmail.com")</f>
        <v>ssvmmatric.2014@gmail.com</v>
      </c>
      <c r="L709" s="6" t="s">
        <v>4108</v>
      </c>
    </row>
    <row r="710" ht="15.75" customHeight="1">
      <c r="A710" s="3">
        <v>718.0</v>
      </c>
      <c r="B710" s="3" t="s">
        <v>4109</v>
      </c>
      <c r="C710" s="3" t="s">
        <v>4110</v>
      </c>
      <c r="D710" s="3" t="s">
        <v>4111</v>
      </c>
      <c r="E710" s="3" t="s">
        <v>4112</v>
      </c>
      <c r="F710" s="3" t="s">
        <v>4113</v>
      </c>
      <c r="G710" s="3" t="s">
        <v>138</v>
      </c>
      <c r="H710" s="4" t="str">
        <f>HYPERLINK("https://www.thakurdwaraschool.com/", "https://www.thakurdwaraschool.com/")</f>
        <v>https://www.thakurdwaraschool.com/</v>
      </c>
      <c r="J710" s="3" t="str">
        <f>HYPERLINK("tel:+911202851654", "+911202851654")</f>
        <v>+911202851654</v>
      </c>
      <c r="K710" s="5" t="str">
        <f>HYPERLINK("mailto:shreethakurdwara@yahoo.com", "shreethakurdwara@yahoo.com")</f>
        <v>shreethakurdwara@yahoo.com</v>
      </c>
      <c r="L710" s="6" t="s">
        <v>4114</v>
      </c>
    </row>
    <row r="711" ht="15.75" customHeight="1">
      <c r="A711" s="3">
        <v>719.0</v>
      </c>
      <c r="B711" s="3" t="s">
        <v>4115</v>
      </c>
      <c r="C711" s="3" t="s">
        <v>4116</v>
      </c>
      <c r="D711" s="3" t="s">
        <v>4117</v>
      </c>
      <c r="E711" s="3" t="s">
        <v>4118</v>
      </c>
      <c r="F711" s="3" t="s">
        <v>4119</v>
      </c>
      <c r="G711" s="3" t="s">
        <v>597</v>
      </c>
      <c r="H711" s="4" t="str">
        <f>HYPERLINK("https://lohaghat.kvs.ac.in/en/", "https://lohaghat.kvs.ac.in/en/")</f>
        <v>https://lohaghat.kvs.ac.in/en/</v>
      </c>
      <c r="I711" s="3" t="s">
        <v>1458</v>
      </c>
      <c r="J711" s="3" t="str">
        <f>HYPERLINK("tel:+915965235420", "+915965235420")</f>
        <v>+915965235420</v>
      </c>
      <c r="K711" s="5" t="str">
        <f>HYPERLINK("mailto:lohaghatkv@gmail.com", "lohaghatkv@gmail.com")</f>
        <v>lohaghatkv@gmail.com</v>
      </c>
      <c r="L711" s="6" t="s">
        <v>4120</v>
      </c>
    </row>
    <row r="712" ht="15.75" customHeight="1">
      <c r="A712" s="3">
        <v>720.0</v>
      </c>
      <c r="B712" s="3" t="s">
        <v>4121</v>
      </c>
      <c r="C712" s="3" t="s">
        <v>1142</v>
      </c>
      <c r="D712" s="3" t="s">
        <v>4122</v>
      </c>
      <c r="E712" s="3" t="s">
        <v>4123</v>
      </c>
      <c r="F712" s="3" t="s">
        <v>1145</v>
      </c>
      <c r="G712" s="3" t="s">
        <v>100</v>
      </c>
      <c r="H712" s="4" t="str">
        <f>HYPERLINK("https://bbpsrohini.balbharati.org/", "https://bbpsrohini.balbharati.org/")</f>
        <v>https://bbpsrohini.balbharati.org/</v>
      </c>
      <c r="J712" s="3" t="str">
        <f>HYPERLINK("tel:nan", "nan")</f>
        <v>nan</v>
      </c>
      <c r="K712" s="5" t="str">
        <f t="shared" ref="K712:K713" si="63">HYPERLINK("mailto:nan", "nan")</f>
        <v>nan</v>
      </c>
      <c r="L712" s="6"/>
    </row>
    <row r="713" ht="15.75" customHeight="1">
      <c r="A713" s="3">
        <v>721.0</v>
      </c>
      <c r="B713" s="3" t="s">
        <v>4124</v>
      </c>
      <c r="C713" s="3" t="s">
        <v>3703</v>
      </c>
      <c r="D713" s="3" t="s">
        <v>4125</v>
      </c>
      <c r="E713" s="3" t="s">
        <v>4126</v>
      </c>
      <c r="F713" s="3" t="s">
        <v>3705</v>
      </c>
      <c r="G713" s="3" t="s">
        <v>182</v>
      </c>
      <c r="H713" s="4" t="str">
        <f>HYPERLINK("https://www.facebook.com/ghsskeller/", "https://www.facebook.com/ghsskeller/")</f>
        <v>https://www.facebook.com/ghsskeller/</v>
      </c>
      <c r="I713" s="3" t="s">
        <v>3706</v>
      </c>
      <c r="J713" s="3" t="str">
        <f>HYPERLINK("tel:+911150402553", "+911150402553")</f>
        <v>+911150402553</v>
      </c>
      <c r="K713" s="5" t="str">
        <f t="shared" si="63"/>
        <v>nan</v>
      </c>
      <c r="L713" s="6" t="s">
        <v>3707</v>
      </c>
    </row>
    <row r="714" ht="15.75" customHeight="1">
      <c r="A714" s="3">
        <v>722.0</v>
      </c>
      <c r="B714" s="3" t="s">
        <v>4127</v>
      </c>
      <c r="C714" s="3" t="s">
        <v>402</v>
      </c>
      <c r="D714" s="3" t="s">
        <v>4128</v>
      </c>
      <c r="E714" s="3" t="s">
        <v>4129</v>
      </c>
      <c r="F714" s="3" t="s">
        <v>405</v>
      </c>
      <c r="G714" s="3" t="s">
        <v>31</v>
      </c>
      <c r="H714" s="4" t="str">
        <f>HYPERLINK("https://rvkcbse.in/", "https://rvkcbse.in/")</f>
        <v>https://rvkcbse.in/</v>
      </c>
      <c r="J714" s="3" t="str">
        <f>HYPERLINK("tel:+916364460807", "+916364460807")</f>
        <v>+916364460807</v>
      </c>
      <c r="K714" s="5" t="str">
        <f>HYPERLINK("mailto:info@rvkcbse.in", "info@rvkcbse.in")</f>
        <v>info@rvkcbse.in</v>
      </c>
      <c r="L714" s="6" t="s">
        <v>406</v>
      </c>
    </row>
    <row r="715" ht="15.75" customHeight="1">
      <c r="A715" s="3">
        <v>723.0</v>
      </c>
      <c r="B715" s="3" t="s">
        <v>4130</v>
      </c>
      <c r="C715" s="3" t="s">
        <v>4131</v>
      </c>
      <c r="D715" s="3" t="s">
        <v>4132</v>
      </c>
      <c r="E715" s="3" t="s">
        <v>4133</v>
      </c>
      <c r="F715" s="3" t="s">
        <v>4134</v>
      </c>
      <c r="G715" s="3" t="s">
        <v>31</v>
      </c>
      <c r="H715" s="4" t="str">
        <f>HYPERLINK("https://smscbse.org/", "https://smscbse.org/")</f>
        <v>https://smscbse.org/</v>
      </c>
      <c r="I715" s="3" t="s">
        <v>4135</v>
      </c>
      <c r="J715" s="3" t="str">
        <f>HYPERLINK("tel:+918202561293", "+918202561293")</f>
        <v>+918202561293</v>
      </c>
      <c r="K715" s="5" t="str">
        <f>HYPERLINK("mailto:snoronha@smspu.com", "snoronha@smspu.com")</f>
        <v>snoronha@smspu.com</v>
      </c>
      <c r="L715" s="6" t="s">
        <v>4136</v>
      </c>
    </row>
    <row r="716" ht="15.75" customHeight="1">
      <c r="A716" s="3">
        <v>724.0</v>
      </c>
      <c r="B716" s="3" t="s">
        <v>4137</v>
      </c>
      <c r="C716" s="3" t="s">
        <v>4138</v>
      </c>
      <c r="D716" s="3" t="s">
        <v>4139</v>
      </c>
      <c r="E716" s="3" t="s">
        <v>4140</v>
      </c>
      <c r="F716" s="3" t="s">
        <v>4141</v>
      </c>
      <c r="G716" s="3" t="s">
        <v>31</v>
      </c>
      <c r="H716" s="4" t="str">
        <f>HYPERLINK("https://www.nurtureinternational.in/nisbbk/", "https://www.nurtureinternational.in/nisbbk/")</f>
        <v>https://www.nurtureinternational.in/nisbbk/</v>
      </c>
      <c r="J716" s="3" t="str">
        <f>HYPERLINK("tel:+919632549595", "+919632549595")</f>
        <v>+919632549595</v>
      </c>
      <c r="K716" s="5" t="str">
        <f>HYPERLINK("mailto:nisbbkdesk@nurtureinternational.in", "nisbbkdesk@nurtureinternational.in")</f>
        <v>nisbbkdesk@nurtureinternational.in</v>
      </c>
      <c r="L716" s="6" t="s">
        <v>4142</v>
      </c>
    </row>
    <row r="717" ht="15.75" customHeight="1">
      <c r="A717" s="3">
        <v>725.0</v>
      </c>
      <c r="B717" s="3" t="s">
        <v>4143</v>
      </c>
      <c r="C717" s="3" t="s">
        <v>4144</v>
      </c>
      <c r="D717" s="3" t="s">
        <v>4145</v>
      </c>
      <c r="E717" s="3" t="s">
        <v>4146</v>
      </c>
      <c r="F717" s="3" t="s">
        <v>4147</v>
      </c>
      <c r="G717" s="3" t="s">
        <v>31</v>
      </c>
      <c r="H717" s="4" t="str">
        <f>HYPERLINK("https://jssonline.org/our-institutions/general-education/high-schools/jss-high-school-saraswathipuram-mysuru/", "https://jssonline.org/our-institutions/general-education/high-schools/jss-high-school-saraswathipuram-mysuru/")</f>
        <v>https://jssonline.org/our-institutions/general-education/high-schools/jss-high-school-saraswathipuram-mysuru/</v>
      </c>
      <c r="I717" s="3" t="s">
        <v>4148</v>
      </c>
      <c r="J717" s="3" t="str">
        <f>HYPERLINK("tel:+918212548259", "+918212548259")</f>
        <v>+918212548259</v>
      </c>
      <c r="K717" s="5" t="str">
        <f>HYPERLINK("mailto:jssghsspuram@gmail.com", "jssghsspuram@gmail.com")</f>
        <v>jssghsspuram@gmail.com</v>
      </c>
      <c r="L717" s="6" t="s">
        <v>4149</v>
      </c>
    </row>
    <row r="718" ht="15.75" customHeight="1">
      <c r="A718" s="3">
        <v>726.0</v>
      </c>
      <c r="B718" s="3" t="s">
        <v>4150</v>
      </c>
      <c r="C718" s="3" t="s">
        <v>4151</v>
      </c>
      <c r="D718" s="3" t="s">
        <v>4152</v>
      </c>
      <c r="E718" s="3" t="s">
        <v>4153</v>
      </c>
      <c r="F718" s="3" t="s">
        <v>4154</v>
      </c>
      <c r="G718" s="3" t="s">
        <v>58</v>
      </c>
      <c r="H718" s="4" t="str">
        <f>HYPERLINK("https://www.vhseportal.kerala.gov.in/public/idwl/561/15/15/Y", "https://www.vhseportal.kerala.gov.in/public/idwl/561/15/15/Y")</f>
        <v>https://www.vhseportal.kerala.gov.in/public/idwl/561/15/15/Y</v>
      </c>
      <c r="I718" s="3" t="s">
        <v>4155</v>
      </c>
      <c r="J718" s="3" t="str">
        <f>HYPERLINK("tel:+914952485290", "+914952485290")</f>
        <v>+914952485290</v>
      </c>
      <c r="K718" s="5" t="str">
        <f>HYPERLINK("mailto:dirvhse.dge@kerala.gov.in", "dirvhse.dge@kerala.gov.in")</f>
        <v>dirvhse.dge@kerala.gov.in</v>
      </c>
      <c r="L718" s="6" t="s">
        <v>4156</v>
      </c>
    </row>
    <row r="719" ht="15.75" customHeight="1">
      <c r="A719" s="3">
        <v>727.0</v>
      </c>
      <c r="B719" s="3" t="s">
        <v>4157</v>
      </c>
      <c r="C719" s="3" t="s">
        <v>4158</v>
      </c>
      <c r="D719" s="3" t="s">
        <v>4159</v>
      </c>
      <c r="E719" s="3" t="s">
        <v>4160</v>
      </c>
      <c r="F719" s="3" t="s">
        <v>4161</v>
      </c>
      <c r="G719" s="3" t="s">
        <v>58</v>
      </c>
      <c r="H719" s="4" t="str">
        <f>HYPERLINK("https://schools.org.in/kannur/32020902004/st-joseph-hss-peravoor.html", "https://schools.org.in/kannur/32020902004/st-joseph-hss-peravoor.html")</f>
        <v>https://schools.org.in/kannur/32020902004/st-joseph-hss-peravoor.html</v>
      </c>
      <c r="I719" s="3" t="s">
        <v>4162</v>
      </c>
      <c r="J719" s="3" t="str">
        <f>HYPERLINK("tel:+914712325106", "+914712325106")</f>
        <v>+914712325106</v>
      </c>
      <c r="K719" s="5" t="str">
        <f>HYPERLINK("mailto:dirdhse.dge@kerala.gov.in", "dirdhse.dge@kerala.gov.in")</f>
        <v>dirdhse.dge@kerala.gov.in</v>
      </c>
      <c r="L719" s="6" t="s">
        <v>4163</v>
      </c>
    </row>
    <row r="720" ht="15.75" customHeight="1">
      <c r="A720" s="3">
        <v>728.0</v>
      </c>
      <c r="B720" s="3" t="s">
        <v>4164</v>
      </c>
      <c r="C720" s="3" t="s">
        <v>4165</v>
      </c>
      <c r="D720" s="3" t="s">
        <v>4166</v>
      </c>
      <c r="E720" s="3" t="s">
        <v>4167</v>
      </c>
      <c r="F720" s="3" t="s">
        <v>4168</v>
      </c>
      <c r="G720" s="3" t="s">
        <v>58</v>
      </c>
      <c r="H720" s="4" t="str">
        <f>HYPERLINK("https://schools.org.in/palakkad/32060200804/lmhs-mangalam-dam.html", "https://schools.org.in/palakkad/32060200804/lmhs-mangalam-dam.html")</f>
        <v>https://schools.org.in/palakkad/32060200804/lmhs-mangalam-dam.html</v>
      </c>
      <c r="I720" s="3" t="s">
        <v>4169</v>
      </c>
      <c r="J720" s="3" t="str">
        <f>HYPERLINK("tel:+914922263454", "+914922263454")</f>
        <v>+914922263454</v>
      </c>
      <c r="K720" s="5" t="str">
        <f>HYPERLINK("mailto:contact@federalbank.co.in", "contact@federalbank.co.in")</f>
        <v>contact@federalbank.co.in</v>
      </c>
      <c r="L720" s="6" t="s">
        <v>4170</v>
      </c>
    </row>
    <row r="721" ht="15.75" customHeight="1">
      <c r="A721" s="3">
        <v>729.0</v>
      </c>
      <c r="B721" s="3" t="s">
        <v>4171</v>
      </c>
      <c r="C721" s="3" t="s">
        <v>4172</v>
      </c>
      <c r="D721" s="3" t="s">
        <v>4173</v>
      </c>
      <c r="E721" s="3" t="s">
        <v>4174</v>
      </c>
      <c r="F721" s="3" t="s">
        <v>4175</v>
      </c>
      <c r="G721" s="3" t="s">
        <v>58</v>
      </c>
      <c r="H721" s="4" t="str">
        <f>HYPERLINK("https://schools.org.in/alappuzha/32110100306/st-joseph-s-hss-for-girls-alpy.html", "https://schools.org.in/alappuzha/32110100306/st-joseph-s-hss-for-girls-alpy.html")</f>
        <v>https://schools.org.in/alappuzha/32110100306/st-joseph-s-hss-for-girls-alpy.html</v>
      </c>
      <c r="I721" s="3" t="s">
        <v>4176</v>
      </c>
      <c r="J721" s="3" t="str">
        <f>HYPERLINK("tel:+914712325106", "+914712325106")</f>
        <v>+914712325106</v>
      </c>
      <c r="K721" s="5" t="str">
        <f>HYPERLINK("mailto:dirdhse.dge@kerala.gov.in", "dirdhse.dge@kerala.gov.in")</f>
        <v>dirdhse.dge@kerala.gov.in</v>
      </c>
      <c r="L721" s="6" t="s">
        <v>4177</v>
      </c>
    </row>
    <row r="722" ht="15.75" customHeight="1">
      <c r="A722" s="3">
        <v>730.0</v>
      </c>
      <c r="B722" s="3" t="s">
        <v>4178</v>
      </c>
      <c r="C722" s="3" t="s">
        <v>4179</v>
      </c>
      <c r="D722" s="3" t="s">
        <v>4180</v>
      </c>
      <c r="E722" s="3" t="s">
        <v>819</v>
      </c>
      <c r="F722" s="3" t="s">
        <v>4181</v>
      </c>
      <c r="G722" s="3" t="s">
        <v>115</v>
      </c>
      <c r="H722" s="4" t="str">
        <f>HYPERLINK("https://www.sathyasaiindore.com/", "https://www.sathyasaiindore.com/")</f>
        <v>https://www.sathyasaiindore.com/</v>
      </c>
      <c r="J722" s="3" t="str">
        <f>HYPERLINK("tel:+917312553023", "+917312553023")</f>
        <v>+917312553023</v>
      </c>
      <c r="K722" s="5" t="str">
        <f>HYPERLINK("mailto:sai@sathyasaiindore.com", "sai@sathyasaiindore.com")</f>
        <v>sai@sathyasaiindore.com</v>
      </c>
      <c r="L722" s="6"/>
    </row>
    <row r="723" ht="15.75" customHeight="1">
      <c r="A723" s="3">
        <v>731.0</v>
      </c>
      <c r="B723" s="3" t="s">
        <v>4182</v>
      </c>
      <c r="C723" s="3" t="s">
        <v>4183</v>
      </c>
      <c r="D723" s="3" t="s">
        <v>4184</v>
      </c>
      <c r="E723" s="3" t="s">
        <v>4185</v>
      </c>
      <c r="F723" s="3" t="s">
        <v>4186</v>
      </c>
      <c r="G723" s="3" t="s">
        <v>17</v>
      </c>
      <c r="H723" s="4" t="str">
        <f>HYPERLINK("https://www.justdial.com/Tirunelveli/Municipal-Girls-School/0462PX462-X462-221021051438-L3B8_BZDET", "https://www.justdial.com/Tirunelveli/Municipal-Girls-School/0462PX462-X462-221021051438-L3B8_BZDET")</f>
        <v>https://www.justdial.com/Tirunelveli/Municipal-Girls-School/0462PX462-X462-221021051438-L3B8_BZDET</v>
      </c>
      <c r="I723" s="3" t="s">
        <v>4187</v>
      </c>
      <c r="J723" s="3" t="str">
        <f>HYPERLINK("tel:+918200532362", "+918200532362")</f>
        <v>+918200532362</v>
      </c>
      <c r="K723" s="5" t="str">
        <f>HYPERLINK("mailto:info@tinkering.in", "info@tinkering.in")</f>
        <v>info@tinkering.in</v>
      </c>
      <c r="L723" s="6" t="s">
        <v>4188</v>
      </c>
    </row>
    <row r="724" ht="15.75" customHeight="1">
      <c r="A724" s="3">
        <v>732.0</v>
      </c>
      <c r="B724" s="3" t="s">
        <v>4189</v>
      </c>
      <c r="C724" s="3" t="s">
        <v>4190</v>
      </c>
      <c r="D724" s="3" t="s">
        <v>4191</v>
      </c>
      <c r="E724" s="3" t="s">
        <v>4192</v>
      </c>
      <c r="F724" s="3" t="s">
        <v>4193</v>
      </c>
      <c r="G724" s="3" t="s">
        <v>130</v>
      </c>
      <c r="H724" s="4" t="str">
        <f>HYPERLINK("https://kamareddy.telangana.gov.in/public-utility/zphs-uppalwai/", "https://kamareddy.telangana.gov.in/public-utility/zphs-uppalwai/")</f>
        <v>https://kamareddy.telangana.gov.in/public-utility/zphs-uppalwai/</v>
      </c>
      <c r="I724" s="3" t="s">
        <v>4194</v>
      </c>
      <c r="J724" s="3" t="str">
        <f>HYPERLINK("tel:+919440104159", "+919440104159")</f>
        <v>+919440104159</v>
      </c>
      <c r="K724" s="5" t="str">
        <f>HYPERLINK("mailto:drokamareddy@gmail.com", "drokamareddy@gmail.com")</f>
        <v>drokamareddy@gmail.com</v>
      </c>
      <c r="L724" s="6" t="s">
        <v>4195</v>
      </c>
    </row>
    <row r="725" ht="15.75" customHeight="1">
      <c r="A725" s="3">
        <v>733.0</v>
      </c>
      <c r="B725" s="3" t="s">
        <v>4196</v>
      </c>
      <c r="C725" s="3" t="s">
        <v>1884</v>
      </c>
      <c r="D725" s="3" t="s">
        <v>4197</v>
      </c>
      <c r="E725" s="3" t="s">
        <v>4198</v>
      </c>
      <c r="F725" s="3" t="s">
        <v>1887</v>
      </c>
      <c r="G725" s="3" t="s">
        <v>975</v>
      </c>
      <c r="H725" s="4" t="str">
        <f>HYPERLINK("https://www.facebook.com/p/Government-High-School-Dadu-Majra-Chandigarh-100064104994172/", "https://www.facebook.com/p/Government-High-School-Dadu-Majra-Chandigarh-100064104994172/")</f>
        <v>https://www.facebook.com/p/Government-High-School-Dadu-Majra-Chandigarh-100064104994172/</v>
      </c>
      <c r="I725" s="3" t="s">
        <v>1888</v>
      </c>
      <c r="J725" s="3" t="str">
        <f>HYPERLINK("tel:+911722700274", "+911722700274")</f>
        <v>+911722700274</v>
      </c>
      <c r="K725" s="5" t="str">
        <f>HYPERLINK("mailto:info@careers360.com", "info@careers360.com")</f>
        <v>info@careers360.com</v>
      </c>
      <c r="L725" s="6" t="s">
        <v>4199</v>
      </c>
    </row>
    <row r="726" ht="15.75" customHeight="1">
      <c r="A726" s="3">
        <v>734.0</v>
      </c>
      <c r="B726" s="3" t="s">
        <v>4200</v>
      </c>
      <c r="C726" s="3" t="s">
        <v>4201</v>
      </c>
      <c r="D726" s="3" t="s">
        <v>4202</v>
      </c>
      <c r="E726" s="3" t="s">
        <v>4203</v>
      </c>
      <c r="F726" s="3" t="s">
        <v>4204</v>
      </c>
      <c r="G726" s="3" t="s">
        <v>175</v>
      </c>
      <c r="H726" s="4" t="str">
        <f>HYPERLINK("https://www.hillshigh.com/", "https://www.hillshigh.com/")</f>
        <v>https://www.hillshigh.com/</v>
      </c>
      <c r="I726" s="3" t="s">
        <v>4205</v>
      </c>
      <c r="J726" s="3" t="str">
        <f>HYPERLINK("tel:+919497705447", "+919497705447")</f>
        <v>+919497705447</v>
      </c>
      <c r="K726" s="5" t="str">
        <f>HYPERLINK("mailto:LHHSAttendance@svusd.org", "LHHSAttendance@svusd.org")</f>
        <v>LHHSAttendance@svusd.org</v>
      </c>
      <c r="L726" s="6"/>
    </row>
    <row r="727" ht="15.75" customHeight="1">
      <c r="A727" s="3">
        <v>735.0</v>
      </c>
      <c r="B727" s="3" t="s">
        <v>4206</v>
      </c>
      <c r="C727" s="3" t="s">
        <v>4207</v>
      </c>
      <c r="D727" s="3" t="s">
        <v>4208</v>
      </c>
      <c r="E727" s="3" t="s">
        <v>4209</v>
      </c>
      <c r="F727" s="3" t="s">
        <v>862</v>
      </c>
      <c r="G727" s="3" t="s">
        <v>24</v>
      </c>
      <c r="H727" s="4" t="str">
        <f>HYPERLINK("http://dav14gurgaon.com/", "http://dav14gurgaon.com/")</f>
        <v>http://dav14gurgaon.com/</v>
      </c>
      <c r="I727" s="3" t="s">
        <v>4210</v>
      </c>
      <c r="J727" s="3" t="str">
        <f>HYPERLINK("tel:+911244255976", "+911244255976")</f>
        <v>+911244255976</v>
      </c>
      <c r="K727" s="5" t="str">
        <f>HYPERLINK("mailto:davsector14gurgaon@yahoo.com", "davsector14gurgaon@yahoo.com")</f>
        <v>davsector14gurgaon@yahoo.com</v>
      </c>
      <c r="L727" s="6" t="s">
        <v>4211</v>
      </c>
    </row>
    <row r="728" ht="15.75" customHeight="1">
      <c r="A728" s="3">
        <v>736.0</v>
      </c>
      <c r="B728" s="3" t="s">
        <v>4212</v>
      </c>
      <c r="C728" s="3" t="s">
        <v>4213</v>
      </c>
      <c r="D728" s="3" t="s">
        <v>4214</v>
      </c>
      <c r="E728" s="3" t="s">
        <v>4215</v>
      </c>
      <c r="F728" s="3" t="s">
        <v>4216</v>
      </c>
      <c r="G728" s="3" t="s">
        <v>51</v>
      </c>
      <c r="H728" s="4" t="str">
        <f>HYPERLINK("https://pmshridharampur.com/about/", "https://pmshridharampur.com/about/")</f>
        <v>https://pmshridharampur.com/about/</v>
      </c>
      <c r="I728" s="3" t="s">
        <v>4217</v>
      </c>
      <c r="J728" s="3" t="str">
        <f>HYPERLINK("tel:+912051301102", "+912051301102")</f>
        <v>+912051301102</v>
      </c>
      <c r="K728" s="5" t="str">
        <f>HYPERLINK("mailto:pmshridharampur@gmail.com", "pmshridharampur@gmail.com")</f>
        <v>pmshridharampur@gmail.com</v>
      </c>
      <c r="L728" s="6" t="s">
        <v>4218</v>
      </c>
    </row>
    <row r="729" ht="15.75" customHeight="1">
      <c r="A729" s="3">
        <v>737.0</v>
      </c>
      <c r="B729" s="3" t="s">
        <v>4219</v>
      </c>
      <c r="C729" s="3" t="s">
        <v>4220</v>
      </c>
      <c r="D729" s="3" t="s">
        <v>4221</v>
      </c>
      <c r="E729" s="3" t="s">
        <v>4222</v>
      </c>
      <c r="F729" s="3" t="s">
        <v>4223</v>
      </c>
      <c r="G729" s="3" t="s">
        <v>31</v>
      </c>
      <c r="H729" s="4" t="str">
        <f>HYPERLINK("https://sjres.edu.in/sjrps/", "https://sjres.edu.in/sjrps/")</f>
        <v>https://sjres.edu.in/sjrps/</v>
      </c>
      <c r="I729" s="3" t="s">
        <v>4224</v>
      </c>
      <c r="J729" s="3" t="str">
        <f>HYPERLINK("tel:nan", "nan")</f>
        <v>nan</v>
      </c>
      <c r="K729" s="5" t="str">
        <f t="shared" ref="K729:K730" si="64">HYPERLINK("mailto:nan", "nan")</f>
        <v>nan</v>
      </c>
      <c r="L729" s="6" t="s">
        <v>4225</v>
      </c>
    </row>
    <row r="730" ht="15.75" customHeight="1">
      <c r="A730" s="3">
        <v>738.0</v>
      </c>
      <c r="B730" s="3" t="s">
        <v>4226</v>
      </c>
      <c r="C730" s="3" t="s">
        <v>2091</v>
      </c>
      <c r="D730" s="3" t="s">
        <v>4227</v>
      </c>
      <c r="E730" s="3" t="s">
        <v>4228</v>
      </c>
      <c r="F730" s="3" t="s">
        <v>2094</v>
      </c>
      <c r="G730" s="3" t="s">
        <v>31</v>
      </c>
      <c r="H730" s="4" t="str">
        <f>HYPERLINK("https://amrathabharathitrust.com/", "https://amrathabharathitrust.com/")</f>
        <v>https://amrathabharathitrust.com/</v>
      </c>
      <c r="I730" s="3" t="s">
        <v>4229</v>
      </c>
      <c r="J730" s="3" t="str">
        <f>HYPERLINK("tel:+917259003867", "+917259003867")</f>
        <v>+917259003867</v>
      </c>
      <c r="K730" s="5" t="str">
        <f t="shared" si="64"/>
        <v>nan</v>
      </c>
      <c r="L730" s="6" t="s">
        <v>2096</v>
      </c>
    </row>
    <row r="731" ht="15.75" customHeight="1">
      <c r="A731" s="3">
        <v>739.0</v>
      </c>
      <c r="B731" s="3" t="s">
        <v>4230</v>
      </c>
      <c r="C731" s="3" t="s">
        <v>4231</v>
      </c>
      <c r="D731" s="3" t="s">
        <v>4232</v>
      </c>
      <c r="E731" s="3" t="s">
        <v>4233</v>
      </c>
      <c r="F731" s="3" t="s">
        <v>4234</v>
      </c>
      <c r="G731" s="3" t="s">
        <v>58</v>
      </c>
      <c r="H731" s="4" t="str">
        <f>HYPERLINK("https://schools.org.in/wayanad/32030300101/gvhss-kalpetta.html", "https://schools.org.in/wayanad/32030300101/gvhss-kalpetta.html")</f>
        <v>https://schools.org.in/wayanad/32030300101/gvhss-kalpetta.html</v>
      </c>
      <c r="I731" s="3" t="s">
        <v>4235</v>
      </c>
      <c r="J731" s="3" t="str">
        <f>HYPERLINK("tel:+914936260730", "+914936260730")</f>
        <v>+914936260730</v>
      </c>
      <c r="K731" s="5" t="str">
        <f>HYPERLINK("mailto:dirvhse.dge@kerala.gov.in", "dirvhse.dge@kerala.gov.in")</f>
        <v>dirvhse.dge@kerala.gov.in</v>
      </c>
      <c r="L731" s="6" t="s">
        <v>4236</v>
      </c>
    </row>
    <row r="732" ht="15.75" customHeight="1">
      <c r="A732" s="3">
        <v>740.0</v>
      </c>
      <c r="B732" s="3" t="s">
        <v>4237</v>
      </c>
      <c r="C732" s="3" t="s">
        <v>428</v>
      </c>
      <c r="D732" s="3" t="s">
        <v>4238</v>
      </c>
      <c r="E732" s="3" t="s">
        <v>4239</v>
      </c>
      <c r="F732" s="3" t="s">
        <v>431</v>
      </c>
      <c r="G732" s="3" t="s">
        <v>58</v>
      </c>
      <c r="H732" s="4" t="str">
        <f>HYPERLINK("https://ghsskply.weebly.com/", "https://ghsskply.weebly.com/")</f>
        <v>https://ghsskply.weebly.com/</v>
      </c>
      <c r="I732" s="3" t="s">
        <v>432</v>
      </c>
      <c r="J732" s="3" t="str">
        <f t="shared" ref="J732:J733" si="65">HYPERLINK("tel:+914712325106", "+914712325106")</f>
        <v>+914712325106</v>
      </c>
      <c r="K732" s="5" t="str">
        <f t="shared" ref="K732:K733" si="66">HYPERLINK("mailto:dirdhse.dge@kerala.gov.in", "dirdhse.dge@kerala.gov.in")</f>
        <v>dirdhse.dge@kerala.gov.in</v>
      </c>
      <c r="L732" s="6" t="s">
        <v>433</v>
      </c>
    </row>
    <row r="733" ht="15.75" customHeight="1">
      <c r="A733" s="3">
        <v>741.0</v>
      </c>
      <c r="B733" s="3" t="s">
        <v>4240</v>
      </c>
      <c r="C733" s="3" t="s">
        <v>4241</v>
      </c>
      <c r="D733" s="3" t="s">
        <v>4242</v>
      </c>
      <c r="E733" s="3" t="s">
        <v>4243</v>
      </c>
      <c r="F733" s="3" t="s">
        <v>4244</v>
      </c>
      <c r="G733" s="3" t="s">
        <v>58</v>
      </c>
      <c r="H733" s="4" t="str">
        <f>HYPERLINK("https://schools.org.in/thiruvananthapuram/32140900505/govt-hss-anavoor.html", "https://schools.org.in/thiruvananthapuram/32140900505/govt-hss-anavoor.html")</f>
        <v>https://schools.org.in/thiruvananthapuram/32140900505/govt-hss-anavoor.html</v>
      </c>
      <c r="I733" s="3" t="s">
        <v>4245</v>
      </c>
      <c r="J733" s="3" t="str">
        <f t="shared" si="65"/>
        <v>+914712325106</v>
      </c>
      <c r="K733" s="5" t="str">
        <f t="shared" si="66"/>
        <v>dirdhse.dge@kerala.gov.in</v>
      </c>
      <c r="L733" s="6" t="s">
        <v>4246</v>
      </c>
    </row>
    <row r="734" ht="15.75" customHeight="1">
      <c r="A734" s="3">
        <v>742.0</v>
      </c>
      <c r="B734" s="3" t="s">
        <v>4247</v>
      </c>
      <c r="C734" s="3" t="s">
        <v>4248</v>
      </c>
      <c r="D734" s="3" t="s">
        <v>4249</v>
      </c>
      <c r="E734" s="3" t="s">
        <v>4250</v>
      </c>
      <c r="F734" s="3" t="s">
        <v>4251</v>
      </c>
      <c r="G734" s="3" t="s">
        <v>115</v>
      </c>
      <c r="H734" s="4" t="str">
        <f>HYPERLINK("https://sanmatischool.org/", "https://sanmatischool.org/")</f>
        <v>https://sanmatischool.org/</v>
      </c>
      <c r="I734" s="3" t="s">
        <v>4252</v>
      </c>
      <c r="J734" s="3" t="str">
        <f>HYPERLINK("tel:+917313540000", "+917313540000")</f>
        <v>+917313540000</v>
      </c>
      <c r="K734" s="5" t="str">
        <f>HYPERLINK("mailto:mail.sanmatischool@gmail.com", "mail.sanmatischool@gmail.com")</f>
        <v>mail.sanmatischool@gmail.com</v>
      </c>
      <c r="L734" s="6" t="s">
        <v>4253</v>
      </c>
    </row>
    <row r="735" ht="15.75" customHeight="1">
      <c r="A735" s="3">
        <v>743.0</v>
      </c>
      <c r="B735" s="3" t="s">
        <v>4254</v>
      </c>
      <c r="C735" s="3" t="s">
        <v>4255</v>
      </c>
      <c r="D735" s="3" t="s">
        <v>4256</v>
      </c>
      <c r="E735" s="3" t="s">
        <v>4257</v>
      </c>
      <c r="F735" s="3" t="s">
        <v>4258</v>
      </c>
      <c r="G735" s="3" t="s">
        <v>38</v>
      </c>
      <c r="H735" s="4" t="str">
        <f>HYPERLINK("https://arpcbseschool.org/", "https://arpcbseschool.org/")</f>
        <v>https://arpcbseschool.org/</v>
      </c>
      <c r="J735" s="3" t="str">
        <f>HYPERLINK("tel:+912563255900", "+912563255900")</f>
        <v>+912563255900</v>
      </c>
      <c r="K735" s="5" t="str">
        <f>HYPERLINK("mailto:arpatelschoolcbse@gmail.com", "arpatelschoolcbse@gmail.com")</f>
        <v>arpatelschoolcbse@gmail.com</v>
      </c>
      <c r="L735" s="6"/>
    </row>
    <row r="736" ht="15.75" customHeight="1">
      <c r="A736" s="3">
        <v>744.0</v>
      </c>
      <c r="B736" s="3" t="s">
        <v>4259</v>
      </c>
      <c r="C736" s="3" t="s">
        <v>4260</v>
      </c>
      <c r="D736" s="3" t="s">
        <v>4261</v>
      </c>
      <c r="E736" s="3" t="s">
        <v>4262</v>
      </c>
      <c r="F736" s="3" t="s">
        <v>4263</v>
      </c>
      <c r="G736" s="3" t="s">
        <v>237</v>
      </c>
      <c r="H736" s="4" t="str">
        <f>HYPERLINK("https://www.st-patricksschool.com/", "https://www.st-patricksschool.com/")</f>
        <v>https://www.st-patricksschool.com/</v>
      </c>
      <c r="J736" s="3" t="str">
        <f>HYPERLINK("tel:+914027701915", "+914027701915")</f>
        <v>+914027701915</v>
      </c>
      <c r="K736" s="5" t="str">
        <f>HYPERLINK("mailto:sphs1911@gmail.com", "sphs1911@gmail.com")</f>
        <v>sphs1911@gmail.com</v>
      </c>
      <c r="L736" s="6"/>
    </row>
    <row r="737" ht="15.75" customHeight="1">
      <c r="A737" s="3">
        <v>745.0</v>
      </c>
      <c r="B737" s="3" t="s">
        <v>4264</v>
      </c>
      <c r="C737" s="3" t="s">
        <v>4265</v>
      </c>
      <c r="D737" s="3" t="s">
        <v>4266</v>
      </c>
      <c r="E737" s="3" t="s">
        <v>4267</v>
      </c>
      <c r="F737" s="3" t="s">
        <v>4268</v>
      </c>
      <c r="G737" s="3" t="s">
        <v>265</v>
      </c>
      <c r="H737" s="4" t="str">
        <f>HYPERLINK("https://bvmkn.com/", "https://bvmkn.com/")</f>
        <v>https://bvmkn.com/</v>
      </c>
      <c r="I737" s="3" t="s">
        <v>4269</v>
      </c>
      <c r="J737" s="3" t="str">
        <f>HYPERLINK("tel:+911612301523", "+911612301523")</f>
        <v>+911612301523</v>
      </c>
      <c r="K737" s="5" t="str">
        <f>HYPERLINK("mailto:bvmkn@bvmschools.com", "bvmkn@bvmschools.com")</f>
        <v>bvmkn@bvmschools.com</v>
      </c>
      <c r="L737" s="6" t="s">
        <v>4270</v>
      </c>
    </row>
    <row r="738" ht="15.75" customHeight="1">
      <c r="A738" s="3">
        <v>746.0</v>
      </c>
      <c r="B738" s="3" t="s">
        <v>4271</v>
      </c>
      <c r="C738" s="3" t="s">
        <v>296</v>
      </c>
      <c r="D738" s="3" t="s">
        <v>4272</v>
      </c>
      <c r="E738" s="3" t="s">
        <v>4273</v>
      </c>
      <c r="F738" s="3" t="s">
        <v>299</v>
      </c>
      <c r="G738" s="3" t="s">
        <v>265</v>
      </c>
      <c r="H738" s="4" t="str">
        <f>HYPERLINK("https://www.learningpaths.in/", "https://www.learningpaths.in/")</f>
        <v>https://www.learningpaths.in/</v>
      </c>
      <c r="J738" s="3" t="str">
        <f>HYPERLINK("tel:+911725134300", "+911725134300")</f>
        <v>+911725134300</v>
      </c>
      <c r="K738" s="5" t="str">
        <f>HYPERLINK("mailto:contact@learningpaths.in", "contact@learningpaths.in")</f>
        <v>contact@learningpaths.in</v>
      </c>
      <c r="L738" s="6" t="s">
        <v>300</v>
      </c>
    </row>
    <row r="739" ht="15.75" customHeight="1">
      <c r="A739" s="3">
        <v>747.0</v>
      </c>
      <c r="B739" s="3" t="s">
        <v>4274</v>
      </c>
      <c r="C739" s="3" t="s">
        <v>4275</v>
      </c>
      <c r="D739" s="3" t="s">
        <v>4276</v>
      </c>
      <c r="E739" s="3" t="s">
        <v>4277</v>
      </c>
      <c r="F739" s="3" t="s">
        <v>4278</v>
      </c>
      <c r="G739" s="3" t="s">
        <v>130</v>
      </c>
      <c r="H739" s="4" t="str">
        <f>HYPERLINK("https://kamareddy.telangana.gov.in/public-utility/zphs-palvancha/", "https://kamareddy.telangana.gov.in/public-utility/zphs-palvancha/")</f>
        <v>https://kamareddy.telangana.gov.in/public-utility/zphs-palvancha/</v>
      </c>
      <c r="I739" s="3" t="s">
        <v>4279</v>
      </c>
      <c r="J739" s="3" t="str">
        <f>HYPERLINK("tel:+919441233435", "+919441233435")</f>
        <v>+919441233435</v>
      </c>
      <c r="K739" s="5" t="str">
        <f>HYPERLINK("mailto:drokamareddy@gmail.com", "drokamareddy@gmail.com")</f>
        <v>drokamareddy@gmail.com</v>
      </c>
      <c r="L739" s="6" t="s">
        <v>4280</v>
      </c>
    </row>
    <row r="740" ht="15.75" customHeight="1">
      <c r="A740" s="3">
        <v>748.0</v>
      </c>
      <c r="B740" s="3" t="s">
        <v>4281</v>
      </c>
      <c r="C740" s="3" t="s">
        <v>4282</v>
      </c>
      <c r="D740" s="3" t="s">
        <v>4283</v>
      </c>
      <c r="E740" s="3" t="s">
        <v>4284</v>
      </c>
      <c r="F740" s="3" t="s">
        <v>4285</v>
      </c>
      <c r="G740" s="3" t="s">
        <v>130</v>
      </c>
      <c r="H740" s="4" t="str">
        <f>HYPERLINK("https://stmichaels-school.com/", "https://stmichaels-school.com/")</f>
        <v>https://stmichaels-school.com/</v>
      </c>
      <c r="I740" s="3" t="s">
        <v>4286</v>
      </c>
      <c r="J740" s="3" t="str">
        <f>HYPERLINK("tel:+919100450404", "+919100450404")</f>
        <v>+919100450404</v>
      </c>
      <c r="K740" s="5" t="str">
        <f>HYPERLINK("mailto:stmichaelsalwal@gmail.com", "stmichaelsalwal@gmail.com")</f>
        <v>stmichaelsalwal@gmail.com</v>
      </c>
      <c r="L740" s="6" t="s">
        <v>4287</v>
      </c>
    </row>
    <row r="741" ht="15.75" customHeight="1">
      <c r="A741" s="3">
        <v>749.0</v>
      </c>
      <c r="B741" s="3" t="s">
        <v>4288</v>
      </c>
      <c r="C741" s="3" t="s">
        <v>4289</v>
      </c>
      <c r="D741" s="3" t="s">
        <v>4290</v>
      </c>
      <c r="E741" s="3" t="s">
        <v>4291</v>
      </c>
      <c r="F741" s="3" t="s">
        <v>4292</v>
      </c>
      <c r="G741" s="3" t="s">
        <v>130</v>
      </c>
      <c r="H741" s="4" t="str">
        <f>HYPERLINK("https://www.trivenitalentschools.com/", "https://www.trivenitalentschools.com/")</f>
        <v>https://www.trivenitalentschools.com/</v>
      </c>
      <c r="I741" s="3" t="s">
        <v>4293</v>
      </c>
      <c r="J741" s="3" t="str">
        <f>HYPERLINK("tel:+919246174223", "+919246174223")</f>
        <v>+919246174223</v>
      </c>
      <c r="K741" s="5" t="str">
        <f>HYPERLINK("mailto:drokamareddy@gmail.com", "drokamareddy@gmail.com")</f>
        <v>drokamareddy@gmail.com</v>
      </c>
      <c r="L741" s="6"/>
    </row>
    <row r="742" ht="15.75" customHeight="1">
      <c r="A742" s="3">
        <v>750.0</v>
      </c>
      <c r="B742" s="3" t="s">
        <v>4294</v>
      </c>
      <c r="C742" s="3" t="s">
        <v>4048</v>
      </c>
      <c r="D742" s="3" t="s">
        <v>4295</v>
      </c>
      <c r="E742" s="3" t="s">
        <v>4296</v>
      </c>
      <c r="F742" s="3" t="s">
        <v>4051</v>
      </c>
      <c r="G742" s="3" t="s">
        <v>31</v>
      </c>
      <c r="H742" s="4" t="str">
        <f>HYPERLINK("https://www.facebook.com/p/Govt-P-U-College-Bettampady-100064143517328/", "https://www.facebook.com/p/Govt-P-U-College-Bettampady-100064143517328/")</f>
        <v>https://www.facebook.com/p/Govt-P-U-College-Bettampady-100064143517328/</v>
      </c>
      <c r="I742" s="3" t="s">
        <v>4297</v>
      </c>
      <c r="J742" s="3" t="str">
        <f>HYPERLINK("tel:+918251288035", "+918251288035")</f>
        <v>+918251288035</v>
      </c>
      <c r="K742" s="5" t="str">
        <f>HYPERLINK("mailto:principalss141@gmail.com", "principalss141@gmail.com")</f>
        <v>principalss141@gmail.com</v>
      </c>
      <c r="L742" s="6" t="s">
        <v>4053</v>
      </c>
    </row>
    <row r="743" ht="15.75" customHeight="1">
      <c r="A743" s="3">
        <v>751.0</v>
      </c>
      <c r="B743" s="3" t="s">
        <v>4298</v>
      </c>
      <c r="C743" s="3" t="s">
        <v>2446</v>
      </c>
      <c r="D743" s="3" t="s">
        <v>4299</v>
      </c>
      <c r="E743" s="3" t="s">
        <v>4300</v>
      </c>
      <c r="F743" s="3" t="s">
        <v>2449</v>
      </c>
      <c r="G743" s="3" t="s">
        <v>31</v>
      </c>
      <c r="H743" s="4" t="str">
        <f>HYPERLINK("https://schools.org.in/bengaluru-u-south/29200312168/ghs-jeevanabhimanagara.html", "https://schools.org.in/bengaluru-u-south/29200312168/ghs-jeevanabhimanagara.html")</f>
        <v>https://schools.org.in/bengaluru-u-south/29200312168/ghs-jeevanabhimanagara.html</v>
      </c>
      <c r="I743" s="3" t="s">
        <v>2450</v>
      </c>
      <c r="J743" s="3" t="str">
        <f>HYPERLINK("tel:+912025211610", "+912025211610")</f>
        <v>+912025211610</v>
      </c>
      <c r="K743" s="5" t="str">
        <f>HYPERLINK("mailto:nan", "nan")</f>
        <v>nan</v>
      </c>
      <c r="L743" s="6" t="s">
        <v>2451</v>
      </c>
    </row>
    <row r="744" ht="15.75" customHeight="1">
      <c r="A744" s="3">
        <v>752.0</v>
      </c>
      <c r="B744" s="3" t="s">
        <v>4301</v>
      </c>
      <c r="C744" s="3" t="s">
        <v>4302</v>
      </c>
      <c r="D744" s="3" t="s">
        <v>4303</v>
      </c>
      <c r="E744" s="3" t="s">
        <v>4304</v>
      </c>
      <c r="F744" s="3" t="s">
        <v>4305</v>
      </c>
      <c r="G744" s="3" t="s">
        <v>58</v>
      </c>
      <c r="H744" s="4" t="str">
        <f>HYPERLINK("https://ernakulam.nic.in/en/public-utility/h-s-s-of-jesus-kothad/", "https://ernakulam.nic.in/en/public-utility/h-s-s-of-jesus-kothad/")</f>
        <v>https://ernakulam.nic.in/en/public-utility/h-s-s-of-jesus-kothad/</v>
      </c>
      <c r="I744" s="3" t="s">
        <v>4306</v>
      </c>
      <c r="J744" s="3" t="str">
        <f>HYPERLINK("tel:+914842431590", "+914842431590")</f>
        <v>+914842431590</v>
      </c>
      <c r="K744" s="5" t="str">
        <f>HYPERLINK("mailto:dirdhse.dge@kerala.gov.in", "dirdhse.dge@kerala.gov.in")</f>
        <v>dirdhse.dge@kerala.gov.in</v>
      </c>
      <c r="L744" s="6" t="s">
        <v>4307</v>
      </c>
    </row>
    <row r="745" ht="15.75" customHeight="1">
      <c r="A745" s="3">
        <v>753.0</v>
      </c>
      <c r="B745" s="3" t="s">
        <v>4308</v>
      </c>
      <c r="C745" s="3" t="s">
        <v>4309</v>
      </c>
      <c r="D745" s="3" t="s">
        <v>4310</v>
      </c>
      <c r="E745" s="3" t="s">
        <v>4311</v>
      </c>
      <c r="F745" s="3" t="s">
        <v>4312</v>
      </c>
      <c r="G745" s="3" t="s">
        <v>58</v>
      </c>
      <c r="H745" s="4" t="str">
        <f>HYPERLINK("http://11018ghsspaivalikenagar.blogspot.com/p/blog-page.html", "http://11018ghsspaivalikenagar.blogspot.com/p/blog-page.html")</f>
        <v>http://11018ghsspaivalikenagar.blogspot.com/p/blog-page.html</v>
      </c>
      <c r="I745" s="3" t="s">
        <v>4313</v>
      </c>
      <c r="J745" s="3" t="str">
        <f>HYPERLINK("tel:+914998206130", "+914998206130")</f>
        <v>+914998206130</v>
      </c>
      <c r="K745" s="5" t="str">
        <f>HYPERLINK("mailto:11018paivalikenagar@gmail.com", "11018paivalikenagar@gmail.com")</f>
        <v>11018paivalikenagar@gmail.com</v>
      </c>
      <c r="L745" s="6" t="s">
        <v>4314</v>
      </c>
    </row>
    <row r="746" ht="15.75" customHeight="1">
      <c r="A746" s="3">
        <v>754.0</v>
      </c>
      <c r="B746" s="3" t="s">
        <v>4315</v>
      </c>
      <c r="C746" s="3" t="s">
        <v>213</v>
      </c>
      <c r="D746" s="3" t="s">
        <v>4316</v>
      </c>
      <c r="E746" s="3" t="s">
        <v>4317</v>
      </c>
      <c r="F746" s="3" t="s">
        <v>216</v>
      </c>
      <c r="G746" s="3" t="s">
        <v>17</v>
      </c>
      <c r="H746" s="4" t="str">
        <f>HYPERLINK("https://www.hinduvidyalaya.org/smt-r-p-rajalakshmi-hindu-vidyalaya-mat-hr-sec-school/", "https://www.hinduvidyalaya.org/smt-r-p-rajalakshmi-hindu-vidyalaya-mat-hr-sec-school/")</f>
        <v>https://www.hinduvidyalaya.org/smt-r-p-rajalakshmi-hindu-vidyalaya-mat-hr-sec-school/</v>
      </c>
      <c r="J746" s="3" t="str">
        <f>HYPERLINK("tel:+914651250475", "+914651250475")</f>
        <v>+914651250475</v>
      </c>
      <c r="K746" s="5" t="str">
        <f>HYPERLINK("mailto:service@cretaclass.com", "service@cretaclass.com")</f>
        <v>service@cretaclass.com</v>
      </c>
      <c r="L746" s="6" t="s">
        <v>217</v>
      </c>
    </row>
    <row r="747" ht="15.75" customHeight="1">
      <c r="A747" s="3">
        <v>755.0</v>
      </c>
      <c r="B747" s="3" t="s">
        <v>4318</v>
      </c>
      <c r="C747" s="3" t="s">
        <v>4319</v>
      </c>
      <c r="D747" s="3" t="s">
        <v>4320</v>
      </c>
      <c r="E747" s="3" t="s">
        <v>4321</v>
      </c>
      <c r="F747" s="3" t="s">
        <v>4322</v>
      </c>
      <c r="G747" s="3" t="s">
        <v>17</v>
      </c>
      <c r="H747" s="4" t="str">
        <f>HYPERLINK("https://schools.org.in/kancheepuram/33030903024/st-dominic-anglo-indian-hss-mount.html", "https://schools.org.in/kancheepuram/33030903024/st-dominic-anglo-indian-hss-mount.html")</f>
        <v>https://schools.org.in/kancheepuram/33030903024/st-dominic-anglo-indian-hss-mount.html</v>
      </c>
      <c r="I747" s="3" t="s">
        <v>4323</v>
      </c>
      <c r="J747" s="3" t="str">
        <f>HYPERLINK("tel:+919560764447", "+919560764447")</f>
        <v>+919560764447</v>
      </c>
      <c r="K747" s="5" t="str">
        <f>HYPERLINK("mailto:nan", "nan")</f>
        <v>nan</v>
      </c>
      <c r="L747" s="6" t="s">
        <v>4324</v>
      </c>
    </row>
    <row r="748" ht="15.75" customHeight="1">
      <c r="A748" s="3">
        <v>756.0</v>
      </c>
      <c r="B748" s="3" t="s">
        <v>4325</v>
      </c>
      <c r="C748" s="3" t="s">
        <v>4326</v>
      </c>
      <c r="D748" s="3" t="s">
        <v>4327</v>
      </c>
      <c r="E748" s="3" t="s">
        <v>4328</v>
      </c>
      <c r="F748" s="3" t="s">
        <v>4329</v>
      </c>
      <c r="G748" s="3" t="s">
        <v>17</v>
      </c>
      <c r="H748" s="4" t="str">
        <f>HYPERLINK("https://sulur.kvs.ac.in/en/", "https://sulur.kvs.ac.in/en/")</f>
        <v>https://sulur.kvs.ac.in/en/</v>
      </c>
      <c r="I748" s="3" t="s">
        <v>625</v>
      </c>
      <c r="J748" s="3" t="str">
        <f>HYPERLINK("tel:+914222683473", "+914222683473")</f>
        <v>+914222683473</v>
      </c>
      <c r="K748" s="5" t="str">
        <f>HYPERLINK("mailto:kvsrochennaiadmn@gmail.com", "kvsrochennaiadmn@gmail.com")</f>
        <v>kvsrochennaiadmn@gmail.com</v>
      </c>
      <c r="L748" s="6" t="s">
        <v>4330</v>
      </c>
    </row>
    <row r="749" ht="15.75" customHeight="1">
      <c r="A749" s="3">
        <v>757.0</v>
      </c>
      <c r="B749" s="3" t="s">
        <v>4331</v>
      </c>
      <c r="C749" s="3" t="s">
        <v>1791</v>
      </c>
      <c r="D749" s="3" t="s">
        <v>4332</v>
      </c>
      <c r="E749" s="3" t="s">
        <v>4333</v>
      </c>
      <c r="F749" s="3" t="s">
        <v>1794</v>
      </c>
      <c r="G749" s="3" t="s">
        <v>100</v>
      </c>
      <c r="H749" s="4" t="str">
        <f>HYPERLINK("https://www.bbpsmv.com/", "https://www.bbpsmv.com/")</f>
        <v>https://www.bbpsmv.com/</v>
      </c>
      <c r="J749" s="3" t="str">
        <f>HYPERLINK("tel:+911122774591", "+911122774591")</f>
        <v>+911122774591</v>
      </c>
      <c r="K749" s="5" t="str">
        <f>HYPERLINK("mailto:info@bbpsln.com", "info@bbpsln.com")</f>
        <v>info@bbpsln.com</v>
      </c>
      <c r="L749" s="6" t="s">
        <v>1795</v>
      </c>
    </row>
    <row r="750" ht="15.75" customHeight="1">
      <c r="A750" s="3">
        <v>758.0</v>
      </c>
      <c r="B750" s="3" t="s">
        <v>4334</v>
      </c>
      <c r="C750" s="3" t="s">
        <v>4335</v>
      </c>
      <c r="D750" s="3" t="s">
        <v>4336</v>
      </c>
      <c r="E750" s="3" t="s">
        <v>4337</v>
      </c>
      <c r="F750" s="3" t="s">
        <v>4338</v>
      </c>
      <c r="G750" s="3" t="s">
        <v>31</v>
      </c>
      <c r="H750" s="4" t="str">
        <f>HYPERLINK("https://www.sjcsyelwalmysuru.in/", "https://www.sjcsyelwalmysuru.in/")</f>
        <v>https://www.sjcsyelwalmysuru.in/</v>
      </c>
      <c r="J750" s="3" t="str">
        <f>HYPERLINK("tel:nan", "nan")</f>
        <v>nan</v>
      </c>
      <c r="K750" s="5" t="str">
        <f t="shared" ref="K750:K751" si="67">HYPERLINK("mailto:nan", "nan")</f>
        <v>nan</v>
      </c>
      <c r="L750" s="6"/>
    </row>
    <row r="751" ht="15.75" customHeight="1">
      <c r="A751" s="3">
        <v>759.0</v>
      </c>
      <c r="B751" s="3" t="s">
        <v>4339</v>
      </c>
      <c r="C751" s="3" t="s">
        <v>415</v>
      </c>
      <c r="D751" s="3" t="s">
        <v>4340</v>
      </c>
      <c r="E751" s="3" t="s">
        <v>4341</v>
      </c>
      <c r="F751" s="3" t="s">
        <v>418</v>
      </c>
      <c r="G751" s="3" t="s">
        <v>58</v>
      </c>
      <c r="H751" s="4" t="str">
        <f>HYPERLINK("https://trivendrampattom.kvs.ac.in/en/", "https://trivendrampattom.kvs.ac.in/en/")</f>
        <v>https://trivendrampattom.kvs.ac.in/en/</v>
      </c>
      <c r="I751" s="3" t="s">
        <v>5</v>
      </c>
      <c r="J751" s="3" t="str">
        <f>HYPERLINK("tel:+914712445854", "+914712445854")</f>
        <v>+914712445854</v>
      </c>
      <c r="K751" s="5" t="str">
        <f t="shared" si="67"/>
        <v>nan</v>
      </c>
      <c r="L751" s="6" t="s">
        <v>419</v>
      </c>
    </row>
    <row r="752" ht="15.75" customHeight="1">
      <c r="A752" s="3">
        <v>760.0</v>
      </c>
      <c r="B752" s="3" t="s">
        <v>4342</v>
      </c>
      <c r="C752" s="3" t="s">
        <v>4343</v>
      </c>
      <c r="D752" s="3" t="s">
        <v>4344</v>
      </c>
      <c r="E752" s="3" t="s">
        <v>4345</v>
      </c>
      <c r="F752" s="3" t="s">
        <v>4346</v>
      </c>
      <c r="G752" s="3" t="s">
        <v>58</v>
      </c>
      <c r="H752" s="4" t="str">
        <f>HYPERLINK("https://www.vhseportal.kerala.gov.in/public/portal/sl/560", "https://www.vhseportal.kerala.gov.in/public/portal/sl/560")</f>
        <v>https://www.vhseportal.kerala.gov.in/public/portal/sl/560</v>
      </c>
      <c r="I752" s="3" t="s">
        <v>4347</v>
      </c>
      <c r="J752" s="3" t="str">
        <f>HYPERLINK("tel:+914829234629", "+914829234629")</f>
        <v>+914829234629</v>
      </c>
      <c r="K752" s="5" t="str">
        <f>HYPERLINK("mailto:dirvhse.dge@kerala.gov.in", "dirvhse.dge@kerala.gov.in")</f>
        <v>dirvhse.dge@kerala.gov.in</v>
      </c>
      <c r="L752" s="6" t="s">
        <v>4348</v>
      </c>
    </row>
    <row r="753" ht="15.75" customHeight="1">
      <c r="A753" s="3">
        <v>761.0</v>
      </c>
      <c r="B753" s="3" t="s">
        <v>4349</v>
      </c>
      <c r="C753" s="3" t="s">
        <v>4350</v>
      </c>
      <c r="D753" s="3" t="s">
        <v>4351</v>
      </c>
      <c r="E753" s="3" t="s">
        <v>4352</v>
      </c>
      <c r="F753" s="3" t="s">
        <v>4353</v>
      </c>
      <c r="G753" s="3" t="s">
        <v>265</v>
      </c>
      <c r="H753" s="4" t="str">
        <f>HYPERLINK("https://no2patiala.kvs.ac.in/en/admission-details/", "https://no2patiala.kvs.ac.in/en/admission-details/")</f>
        <v>https://no2patiala.kvs.ac.in/en/admission-details/</v>
      </c>
      <c r="I753" s="3" t="s">
        <v>2406</v>
      </c>
      <c r="J753" s="3" t="str">
        <f>HYPERLINK("tel:+911752970406", "+911752970406")</f>
        <v>+911752970406</v>
      </c>
      <c r="K753" s="5" t="str">
        <f>HYPERLINK("mailto:shru.sha2408@gmail.com", "shru.sha2408@gmail.com")</f>
        <v>shru.sha2408@gmail.com</v>
      </c>
      <c r="L753" s="6" t="s">
        <v>4354</v>
      </c>
    </row>
    <row r="754" ht="15.75" customHeight="1">
      <c r="A754" s="3">
        <v>762.0</v>
      </c>
      <c r="B754" s="3" t="s">
        <v>4355</v>
      </c>
      <c r="C754" s="3" t="s">
        <v>4356</v>
      </c>
      <c r="D754" s="3" t="s">
        <v>4357</v>
      </c>
      <c r="E754" s="3" t="s">
        <v>4358</v>
      </c>
      <c r="F754" s="3" t="s">
        <v>4359</v>
      </c>
      <c r="G754" s="3" t="s">
        <v>70</v>
      </c>
      <c r="H754" s="4" t="str">
        <f>HYPERLINK("https://svgmskumbhalgarh.com/", "https://svgmskumbhalgarh.com/")</f>
        <v>https://svgmskumbhalgarh.com/</v>
      </c>
      <c r="I754" s="3" t="s">
        <v>4360</v>
      </c>
      <c r="J754" s="3" t="str">
        <f>HYPERLINK("tel:+918250404604", "+918250404604")</f>
        <v>+918250404604</v>
      </c>
      <c r="K754" s="5" t="str">
        <f>HYPERLINK("mailto:kumbhalgarhsvgms@gmail.com", "kumbhalgarhsvgms@gmail.com")</f>
        <v>kumbhalgarhsvgms@gmail.com</v>
      </c>
      <c r="L754" s="6" t="s">
        <v>4361</v>
      </c>
    </row>
    <row r="755" ht="15.75" customHeight="1">
      <c r="A755" s="3">
        <v>763.0</v>
      </c>
      <c r="B755" s="3" t="s">
        <v>4362</v>
      </c>
      <c r="C755" s="3" t="s">
        <v>4363</v>
      </c>
      <c r="D755" s="3" t="s">
        <v>4364</v>
      </c>
      <c r="E755" s="3" t="s">
        <v>4365</v>
      </c>
      <c r="F755" s="3" t="s">
        <v>4366</v>
      </c>
      <c r="G755" s="3" t="s">
        <v>17</v>
      </c>
      <c r="H755" s="4" t="str">
        <f>HYPERLINK("https://amritaschool.edu.in/", "https://amritaschool.edu.in/")</f>
        <v>https://amritaschool.edu.in/</v>
      </c>
      <c r="I755" s="3" t="s">
        <v>4367</v>
      </c>
      <c r="J755" s="3" t="str">
        <f>HYPERLINK("tel:+919710400044", "+919710400044")</f>
        <v>+919710400044</v>
      </c>
      <c r="K755" s="5" t="str">
        <f>HYPERLINK("mailto:mail@kovur.avchennai.edu.in", "mail@kovur.avchennai.edu.in")</f>
        <v>mail@kovur.avchennai.edu.in</v>
      </c>
      <c r="L755" s="6" t="s">
        <v>4368</v>
      </c>
    </row>
    <row r="756" ht="15.75" customHeight="1">
      <c r="A756" s="3">
        <v>764.0</v>
      </c>
      <c r="B756" s="3" t="s">
        <v>4369</v>
      </c>
      <c r="C756" s="3" t="s">
        <v>4370</v>
      </c>
      <c r="D756" s="3" t="s">
        <v>4371</v>
      </c>
      <c r="E756" s="3" t="s">
        <v>4372</v>
      </c>
      <c r="F756" s="3" t="s">
        <v>4373</v>
      </c>
      <c r="G756" s="3" t="s">
        <v>272</v>
      </c>
      <c r="H756" s="4" t="str">
        <f>HYPERLINK("https://www.narayanaschools.in/", "https://www.narayanaschools.in/")</f>
        <v>https://www.narayanaschools.in/</v>
      </c>
      <c r="I756" s="3" t="s">
        <v>4374</v>
      </c>
      <c r="J756" s="3" t="str">
        <f>HYPERLINK("tel:+9118001023344", "+9118001023344")</f>
        <v>+9118001023344</v>
      </c>
      <c r="K756" s="5" t="str">
        <f>HYPERLINK("mailto:info@narayanagroup.com", "info@narayanagroup.com")</f>
        <v>info@narayanagroup.com</v>
      </c>
      <c r="L756" s="6" t="s">
        <v>4375</v>
      </c>
    </row>
    <row r="757" ht="15.75" customHeight="1">
      <c r="A757" s="3">
        <v>765.0</v>
      </c>
      <c r="B757" s="3" t="s">
        <v>4376</v>
      </c>
      <c r="C757" s="3" t="s">
        <v>4377</v>
      </c>
      <c r="D757" s="3" t="s">
        <v>4378</v>
      </c>
      <c r="E757" s="3" t="s">
        <v>4379</v>
      </c>
      <c r="F757" s="3" t="s">
        <v>4380</v>
      </c>
      <c r="G757" s="3" t="s">
        <v>272</v>
      </c>
      <c r="H757" s="4" t="str">
        <f>HYPERLINK("https://no1tirupati.kvs.ac.in/en/", "https://no1tirupati.kvs.ac.in/en/")</f>
        <v>https://no1tirupati.kvs.ac.in/en/</v>
      </c>
      <c r="I757" s="3" t="s">
        <v>93</v>
      </c>
      <c r="J757" s="3" t="str">
        <f>HYPERLINK("tel:+918772232755", "+918772232755")</f>
        <v>+918772232755</v>
      </c>
      <c r="K757" s="5" t="str">
        <f>HYPERLINK("mailto:support-in@google.com", "support-in@google.com")</f>
        <v>support-in@google.com</v>
      </c>
      <c r="L757" s="6" t="s">
        <v>4381</v>
      </c>
    </row>
    <row r="758" ht="15.75" customHeight="1">
      <c r="A758" s="3">
        <v>766.0</v>
      </c>
      <c r="B758" s="3" t="s">
        <v>4382</v>
      </c>
      <c r="C758" s="3" t="s">
        <v>4383</v>
      </c>
      <c r="D758" s="3" t="s">
        <v>4384</v>
      </c>
      <c r="E758" s="3" t="s">
        <v>4384</v>
      </c>
      <c r="F758" s="3" t="s">
        <v>4385</v>
      </c>
      <c r="G758" s="3" t="s">
        <v>100</v>
      </c>
      <c r="H758" s="4" t="str">
        <f>HYPERLINK("https://andrewsganj.kvs.ac.in/en/", "https://andrewsganj.kvs.ac.in/en/")</f>
        <v>https://andrewsganj.kvs.ac.in/en/</v>
      </c>
      <c r="I758" s="3" t="s">
        <v>2088</v>
      </c>
      <c r="J758" s="3" t="str">
        <f>HYPERLINK("tel:+911126434112", "+911126434112")</f>
        <v>+911126434112</v>
      </c>
      <c r="K758" s="5" t="str">
        <f>HYPERLINK("mailto:pmshrikvandrewsganj@kvsrodelhi.in", "pmshrikvandrewsganj@kvsrodelhi.in")</f>
        <v>pmshrikvandrewsganj@kvsrodelhi.in</v>
      </c>
      <c r="L758" s="6" t="s">
        <v>4386</v>
      </c>
    </row>
    <row r="759" ht="15.75" customHeight="1">
      <c r="A759" s="3">
        <v>767.0</v>
      </c>
      <c r="B759" s="3" t="s">
        <v>4387</v>
      </c>
      <c r="C759" s="3" t="s">
        <v>323</v>
      </c>
      <c r="D759" s="3" t="s">
        <v>4388</v>
      </c>
      <c r="E759" s="3" t="s">
        <v>4389</v>
      </c>
      <c r="F759" s="3" t="s">
        <v>326</v>
      </c>
      <c r="G759" s="3" t="s">
        <v>100</v>
      </c>
      <c r="H759" s="4" t="str">
        <f>HYPERLINK("http://neoconventschool.com/", "http://neoconventschool.com/")</f>
        <v>http://neoconventschool.com/</v>
      </c>
      <c r="I759" s="3" t="s">
        <v>327</v>
      </c>
      <c r="J759" s="3" t="str">
        <f>HYPERLINK("tel:+911149097900", "+911149097900")</f>
        <v>+911149097900</v>
      </c>
      <c r="K759" s="5" t="str">
        <f>HYPERLINK("mailto:info@neoconventschool.com", "info@neoconventschool.com")</f>
        <v>info@neoconventschool.com</v>
      </c>
      <c r="L759" s="6" t="s">
        <v>328</v>
      </c>
    </row>
    <row r="760" ht="15.75" customHeight="1">
      <c r="A760" s="3">
        <v>768.0</v>
      </c>
      <c r="B760" s="3" t="s">
        <v>4390</v>
      </c>
      <c r="C760" s="3" t="s">
        <v>4391</v>
      </c>
      <c r="D760" s="3" t="s">
        <v>4392</v>
      </c>
      <c r="E760" s="3" t="s">
        <v>4393</v>
      </c>
      <c r="F760" s="3" t="s">
        <v>4394</v>
      </c>
      <c r="G760" s="3" t="s">
        <v>175</v>
      </c>
      <c r="H760" s="4" t="str">
        <f>HYPERLINK("https://schools.org.in/rajkot/24091304873/markaz-public-school.html", "https://schools.org.in/rajkot/24091304873/markaz-public-school.html")</f>
        <v>https://schools.org.in/rajkot/24091304873/markaz-public-school.html</v>
      </c>
      <c r="I760" s="3" t="s">
        <v>4395</v>
      </c>
      <c r="J760" s="3" t="str">
        <f>HYPERLINK("tel:nan", "nan")</f>
        <v>nan</v>
      </c>
      <c r="K760" s="5" t="str">
        <f>HYPERLINK("mailto:nan", "nan")</f>
        <v>nan</v>
      </c>
      <c r="L760" s="6" t="s">
        <v>4396</v>
      </c>
    </row>
    <row r="761" ht="15.75" customHeight="1">
      <c r="A761" s="3">
        <v>769.0</v>
      </c>
      <c r="B761" s="3" t="s">
        <v>4397</v>
      </c>
      <c r="C761" s="3" t="s">
        <v>4398</v>
      </c>
      <c r="D761" s="3" t="s">
        <v>4399</v>
      </c>
      <c r="E761" s="3" t="s">
        <v>4400</v>
      </c>
      <c r="F761" s="3" t="s">
        <v>4401</v>
      </c>
      <c r="G761" s="3" t="s">
        <v>182</v>
      </c>
      <c r="H761" s="4" t="str">
        <f>HYPERLINK("https://schools.org.in/badgam/01041100208/hss-arigam.html", "https://schools.org.in/badgam/01041100208/hss-arigam.html")</f>
        <v>https://schools.org.in/badgam/01041100208/hss-arigam.html</v>
      </c>
      <c r="I761" s="3" t="s">
        <v>4402</v>
      </c>
      <c r="J761" s="3" t="str">
        <f>HYPERLINK("tel:+911912546773", "+911912546773")</f>
        <v>+911912546773</v>
      </c>
      <c r="K761" s="5" t="str">
        <f>HYPERLINK("mailto:phqjk@jkpolice.gov.in", "phqjk@jkpolice.gov.in")</f>
        <v>phqjk@jkpolice.gov.in</v>
      </c>
      <c r="L761" s="6" t="s">
        <v>4403</v>
      </c>
    </row>
    <row r="762" ht="15.75" customHeight="1">
      <c r="A762" s="3">
        <v>770.0</v>
      </c>
      <c r="B762" s="3" t="s">
        <v>4404</v>
      </c>
      <c r="C762" s="3" t="s">
        <v>4405</v>
      </c>
      <c r="D762" s="3" t="s">
        <v>4406</v>
      </c>
      <c r="E762" s="3" t="s">
        <v>4407</v>
      </c>
      <c r="F762" s="3" t="s">
        <v>4408</v>
      </c>
      <c r="G762" s="3" t="s">
        <v>182</v>
      </c>
      <c r="H762" s="4" t="str">
        <f>HYPERLINK("https://schools.org.in/kathua/01140500101/govt-hr-sec-school-hatli.html", "https://schools.org.in/kathua/01140500101/govt-hr-sec-school-hatli.html")</f>
        <v>https://schools.org.in/kathua/01140500101/govt-hr-sec-school-hatli.html</v>
      </c>
      <c r="I762" s="3" t="s">
        <v>4409</v>
      </c>
      <c r="J762" s="3" t="str">
        <f>HYPERLINK("tel:+911140500101", "+911140500101")</f>
        <v>+911140500101</v>
      </c>
      <c r="K762" s="5" t="str">
        <f>HYPERLINK("mailto:Secyrdd11@gmail.com", "Secyrdd11@gmail.com")</f>
        <v>Secyrdd11@gmail.com</v>
      </c>
      <c r="L762" s="6" t="s">
        <v>4410</v>
      </c>
    </row>
    <row r="763" ht="15.75" customHeight="1">
      <c r="A763" s="3">
        <v>771.0</v>
      </c>
      <c r="B763" s="3" t="s">
        <v>4411</v>
      </c>
      <c r="C763" s="3" t="s">
        <v>1668</v>
      </c>
      <c r="D763" s="3" t="s">
        <v>4412</v>
      </c>
      <c r="E763" s="3" t="s">
        <v>4413</v>
      </c>
      <c r="F763" s="3" t="s">
        <v>1671</v>
      </c>
      <c r="G763" s="3" t="s">
        <v>31</v>
      </c>
      <c r="H763" s="4" t="str">
        <f>HYPERLINK("https://blossomsinternational.in/", "https://blossomsinternational.in/")</f>
        <v>https://blossomsinternational.in/</v>
      </c>
      <c r="I763" s="3" t="s">
        <v>3905</v>
      </c>
      <c r="J763" s="3" t="str">
        <f>HYPERLINK("tel:+919951642960", "+919951642960")</f>
        <v>+919951642960</v>
      </c>
      <c r="K763" s="5" t="str">
        <f>HYPERLINK("mailto:braincenter73@gmail.com", "braincenter73@gmail.com")</f>
        <v>braincenter73@gmail.com</v>
      </c>
      <c r="L763" s="6" t="s">
        <v>4414</v>
      </c>
    </row>
    <row r="764" ht="15.75" customHeight="1">
      <c r="A764" s="3">
        <v>772.0</v>
      </c>
      <c r="B764" s="3" t="s">
        <v>4415</v>
      </c>
      <c r="C764" s="3" t="s">
        <v>4416</v>
      </c>
      <c r="D764" s="3" t="s">
        <v>4417</v>
      </c>
      <c r="E764" s="3" t="s">
        <v>4418</v>
      </c>
      <c r="F764" s="3" t="s">
        <v>4419</v>
      </c>
      <c r="G764" s="3" t="s">
        <v>31</v>
      </c>
      <c r="H764" s="4" t="str">
        <f>HYPERLINK("https://schools.org.in/mysuru/29260909205/government-higher-primary-school-hadinaru-mole.html", "https://schools.org.in/mysuru/29260909205/government-higher-primary-school-hadinaru-mole.html")</f>
        <v>https://schools.org.in/mysuru/29260909205/government-higher-primary-school-hadinaru-mole.html</v>
      </c>
      <c r="I764" s="3" t="s">
        <v>4420</v>
      </c>
      <c r="J764" s="3" t="str">
        <f>HYPERLINK("tel:+918202005448", "+918202005448")</f>
        <v>+918202005448</v>
      </c>
      <c r="K764" s="5" t="str">
        <f>HYPERLINK("mailto:kstbf63@gmail.com", "kstbf63@gmail.com")</f>
        <v>kstbf63@gmail.com</v>
      </c>
      <c r="L764" s="6" t="s">
        <v>4421</v>
      </c>
    </row>
    <row r="765" ht="15.75" customHeight="1">
      <c r="A765" s="3">
        <v>773.0</v>
      </c>
      <c r="B765" s="3" t="s">
        <v>4422</v>
      </c>
      <c r="C765" s="3" t="s">
        <v>4423</v>
      </c>
      <c r="D765" s="3" t="s">
        <v>4424</v>
      </c>
      <c r="E765" s="3" t="s">
        <v>4425</v>
      </c>
      <c r="F765" s="3" t="s">
        <v>4426</v>
      </c>
      <c r="G765" s="3" t="s">
        <v>31</v>
      </c>
      <c r="H765" s="4" t="str">
        <f>HYPERLINK("https://schools.org.in/belagavi/29010305317/government-high-school-ramteerth-nagar.html", "https://schools.org.in/belagavi/29010305317/government-high-school-ramteerth-nagar.html")</f>
        <v>https://schools.org.in/belagavi/29010305317/government-high-school-ramteerth-nagar.html</v>
      </c>
      <c r="I765" s="3" t="s">
        <v>4427</v>
      </c>
      <c r="J765" s="3" t="str">
        <f>HYPERLINK("tel:+918312407011", "+918312407011")</f>
        <v>+918312407011</v>
      </c>
      <c r="K765" s="5" t="str">
        <f>HYPERLINK("mailto:cb10534@canarabank.com", "cb10534@canarabank.com")</f>
        <v>cb10534@canarabank.com</v>
      </c>
      <c r="L765" s="6" t="s">
        <v>4428</v>
      </c>
    </row>
    <row r="766" ht="15.75" customHeight="1">
      <c r="A766" s="3">
        <v>774.0</v>
      </c>
      <c r="B766" s="3" t="s">
        <v>4429</v>
      </c>
      <c r="C766" s="3" t="s">
        <v>2226</v>
      </c>
      <c r="D766" s="3" t="s">
        <v>4430</v>
      </c>
      <c r="E766" s="3" t="s">
        <v>4431</v>
      </c>
      <c r="F766" s="3" t="s">
        <v>2229</v>
      </c>
      <c r="G766" s="3" t="s">
        <v>58</v>
      </c>
      <c r="H766" s="4" t="str">
        <f>HYPERLINK("https://ernakulam.kvs.ac.in/en/", "https://ernakulam.kvs.ac.in/en/")</f>
        <v>https://ernakulam.kvs.ac.in/en/</v>
      </c>
      <c r="I766" s="3" t="s">
        <v>93</v>
      </c>
      <c r="J766" s="3" t="str">
        <f>HYPERLINK("tel:+914842204785", "+914842204785")</f>
        <v>+914842204785</v>
      </c>
      <c r="K766" s="5" t="str">
        <f>HYPERLINK("mailto:Ppl.kayamkulam@kvs.gov.in", "Ppl.kayamkulam@kvs.gov.in")</f>
        <v>Ppl.kayamkulam@kvs.gov.in</v>
      </c>
      <c r="L766" s="6" t="s">
        <v>4432</v>
      </c>
    </row>
    <row r="767" ht="15.75" customHeight="1">
      <c r="A767" s="3">
        <v>775.0</v>
      </c>
      <c r="B767" s="3" t="s">
        <v>4433</v>
      </c>
      <c r="C767" s="3" t="s">
        <v>4434</v>
      </c>
      <c r="D767" s="3" t="s">
        <v>4435</v>
      </c>
      <c r="E767" s="3" t="s">
        <v>4436</v>
      </c>
      <c r="F767" s="3" t="s">
        <v>4437</v>
      </c>
      <c r="G767" s="3" t="s">
        <v>58</v>
      </c>
      <c r="H767" s="4" t="str">
        <f>HYPERLINK("https://schools.org.in/pathanamthitta/32120500205/mghss-thumpamon.html", "https://schools.org.in/pathanamthitta/32120500205/mghss-thumpamon.html")</f>
        <v>https://schools.org.in/pathanamthitta/32120500205/mghss-thumpamon.html</v>
      </c>
      <c r="I767" s="3" t="s">
        <v>4438</v>
      </c>
      <c r="J767" s="3" t="str">
        <f>HYPERLINK("tel:+914812571485", "+914812571485")</f>
        <v>+914812571485</v>
      </c>
      <c r="K767" s="5" t="str">
        <f>HYPERLINK("mailto:cmdschools@gmail.com", "cmdschools@gmail.com")</f>
        <v>cmdschools@gmail.com</v>
      </c>
      <c r="L767" s="6" t="s">
        <v>4439</v>
      </c>
    </row>
    <row r="768" ht="15.75" customHeight="1">
      <c r="A768" s="3">
        <v>776.0</v>
      </c>
      <c r="B768" s="3" t="s">
        <v>4440</v>
      </c>
      <c r="C768" s="3" t="s">
        <v>4441</v>
      </c>
      <c r="D768" s="3" t="s">
        <v>4442</v>
      </c>
      <c r="E768" s="3" t="s">
        <v>4443</v>
      </c>
      <c r="F768" s="3" t="s">
        <v>4444</v>
      </c>
      <c r="G768" s="3" t="s">
        <v>58</v>
      </c>
      <c r="H768" s="4" t="str">
        <f>HYPERLINK("https://ernakulam.nic.in/en/public-utility/govt-hsssouth-ezhippuram/", "https://ernakulam.nic.in/en/public-utility/govt-hsssouth-ezhippuram/")</f>
        <v>https://ernakulam.nic.in/en/public-utility/govt-hsssouth-ezhippuram/</v>
      </c>
      <c r="I768" s="3" t="s">
        <v>4445</v>
      </c>
      <c r="J768" s="3" t="str">
        <f>HYPERLINK("tel:+914842677169", "+914842677169")</f>
        <v>+914842677169</v>
      </c>
      <c r="K768" s="5" t="str">
        <f>HYPERLINK("mailto:dirdhse.dge@kerala.gov.in", "dirdhse.dge@kerala.gov.in")</f>
        <v>dirdhse.dge@kerala.gov.in</v>
      </c>
      <c r="L768" s="6"/>
    </row>
    <row r="769" ht="15.75" customHeight="1">
      <c r="A769" s="3">
        <v>777.0</v>
      </c>
      <c r="B769" s="3" t="s">
        <v>4446</v>
      </c>
      <c r="C769" s="3" t="s">
        <v>4447</v>
      </c>
      <c r="D769" s="3" t="s">
        <v>4448</v>
      </c>
      <c r="E769" s="3" t="s">
        <v>4449</v>
      </c>
      <c r="F769" s="3" t="s">
        <v>4450</v>
      </c>
      <c r="G769" s="3" t="s">
        <v>115</v>
      </c>
      <c r="H769" s="4" t="str">
        <f>HYPERLINK("https://schools.org.in/narsimhapur/23400503107/govt-hss-tumda.html", "https://schools.org.in/narsimhapur/23400503107/govt-hss-tumda.html")</f>
        <v>https://schools.org.in/narsimhapur/23400503107/govt-hss-tumda.html</v>
      </c>
      <c r="I769" s="3" t="s">
        <v>4451</v>
      </c>
      <c r="J769" s="3" t="str">
        <f>HYPERLINK("tel:+912221373778", "+912221373778")</f>
        <v>+912221373778</v>
      </c>
      <c r="K769" s="5" t="str">
        <f t="shared" ref="K769:K770" si="68">HYPERLINK("mailto:nan", "nan")</f>
        <v>nan</v>
      </c>
      <c r="L769" s="6" t="s">
        <v>4452</v>
      </c>
    </row>
    <row r="770" ht="15.75" customHeight="1">
      <c r="A770" s="3">
        <v>778.0</v>
      </c>
      <c r="B770" s="3" t="s">
        <v>4453</v>
      </c>
      <c r="C770" s="3" t="s">
        <v>4454</v>
      </c>
      <c r="D770" s="3" t="s">
        <v>4455</v>
      </c>
      <c r="E770" s="3" t="s">
        <v>4456</v>
      </c>
      <c r="F770" s="3" t="s">
        <v>4457</v>
      </c>
      <c r="G770" s="3" t="s">
        <v>70</v>
      </c>
      <c r="H770" s="4" t="str">
        <f>HYPERLINK("https://schools.org.in/pali/08200209901/g-sec-s-ratadiya.html", "https://schools.org.in/pali/08200209901/g-sec-s-ratadiya.html")</f>
        <v>https://schools.org.in/pali/08200209901/g-sec-s-ratadiya.html</v>
      </c>
      <c r="I770" s="3" t="s">
        <v>4458</v>
      </c>
      <c r="J770" s="3" t="str">
        <f>HYPERLINK("tel:+918200209901", "+918200209901")</f>
        <v>+918200209901</v>
      </c>
      <c r="K770" s="5" t="str">
        <f t="shared" si="68"/>
        <v>nan</v>
      </c>
      <c r="L770" s="6" t="s">
        <v>4459</v>
      </c>
    </row>
    <row r="771" ht="15.75" customHeight="1">
      <c r="A771" s="3">
        <v>779.0</v>
      </c>
      <c r="B771" s="3" t="s">
        <v>4460</v>
      </c>
      <c r="C771" s="3" t="s">
        <v>4461</v>
      </c>
      <c r="D771" s="3" t="s">
        <v>4462</v>
      </c>
      <c r="E771" s="3" t="s">
        <v>4463</v>
      </c>
      <c r="F771" s="3" t="s">
        <v>4464</v>
      </c>
      <c r="G771" s="3" t="s">
        <v>70</v>
      </c>
      <c r="H771" s="4" t="str">
        <f>HYPERLINK("https://rajshaladarpan.rajasthan.gov.in/SD1/StudentAdmission/Home/SchoolSearch.aspx", "https://rajshaladarpan.rajasthan.gov.in/SD1/StudentAdmission/Home/SchoolSearch.aspx")</f>
        <v>https://rajshaladarpan.rajasthan.gov.in/SD1/StudentAdmission/Home/SchoolSearch.aspx</v>
      </c>
      <c r="I771" s="3" t="s">
        <v>4465</v>
      </c>
      <c r="J771" s="3" t="str">
        <f>HYPERLINK("tel:+918050603615", "+918050603615")</f>
        <v>+918050603615</v>
      </c>
      <c r="K771" s="5" t="str">
        <f>HYPERLINK("mailto:GGSSBABAI@GMAIL.COM", "GGSSBABAI@GMAIL.COM")</f>
        <v>GGSSBABAI@GMAIL.COM</v>
      </c>
      <c r="L771" s="6"/>
    </row>
    <row r="772" ht="15.75" customHeight="1">
      <c r="A772" s="3">
        <v>780.0</v>
      </c>
      <c r="B772" s="3" t="s">
        <v>4466</v>
      </c>
      <c r="C772" s="3" t="s">
        <v>586</v>
      </c>
      <c r="D772" s="3" t="s">
        <v>4467</v>
      </c>
      <c r="E772" s="3" t="s">
        <v>4468</v>
      </c>
      <c r="F772" s="3" t="s">
        <v>589</v>
      </c>
      <c r="G772" s="3" t="s">
        <v>130</v>
      </c>
      <c r="H772" s="4" t="str">
        <f>HYPERLINK("https://dpshyderabad.in/", "https://dpshyderabad.in/")</f>
        <v>https://dpshyderabad.in/</v>
      </c>
      <c r="I772" s="3" t="s">
        <v>590</v>
      </c>
      <c r="J772" s="3" t="str">
        <f>HYPERLINK("tel:+919346988050", "+919346988050")</f>
        <v>+919346988050</v>
      </c>
      <c r="K772" s="5" t="str">
        <f>HYPERLINK("mailto:admission@dpsnadergul.in", "admission@dpsnadergul.in")</f>
        <v>admission@dpsnadergul.in</v>
      </c>
      <c r="L772" s="6" t="s">
        <v>591</v>
      </c>
    </row>
    <row r="773" ht="15.75" customHeight="1">
      <c r="A773" s="3">
        <v>781.0</v>
      </c>
      <c r="B773" s="3" t="s">
        <v>4469</v>
      </c>
      <c r="C773" s="3" t="s">
        <v>4470</v>
      </c>
      <c r="D773" s="3" t="s">
        <v>4471</v>
      </c>
      <c r="E773" s="3" t="s">
        <v>4472</v>
      </c>
      <c r="F773" s="3" t="s">
        <v>4473</v>
      </c>
      <c r="G773" s="3" t="s">
        <v>138</v>
      </c>
      <c r="H773" s="4" t="str">
        <f>HYPERLINK("https://www.jaypeeschools-jpsnoida.edu.in/", "https://www.jaypeeschools-jpsnoida.edu.in/")</f>
        <v>https://www.jaypeeschools-jpsnoida.edu.in/</v>
      </c>
      <c r="J773" s="3" t="str">
        <f>HYPERLINK("tel:+918368890166", "+918368890166")</f>
        <v>+918368890166</v>
      </c>
      <c r="K773" s="5" t="str">
        <f>HYPERLINK("mailto:jpsnoida@jaypeeschools.edu.in", "jpsnoida@jaypeeschools.edu.in")</f>
        <v>jpsnoida@jaypeeschools.edu.in</v>
      </c>
      <c r="L773" s="6" t="s">
        <v>4474</v>
      </c>
    </row>
    <row r="774" ht="15.75" customHeight="1">
      <c r="A774" s="3">
        <v>782.0</v>
      </c>
      <c r="B774" s="3" t="s">
        <v>4475</v>
      </c>
      <c r="C774" s="3" t="s">
        <v>4476</v>
      </c>
      <c r="D774" s="3" t="s">
        <v>4477</v>
      </c>
      <c r="E774" s="3" t="s">
        <v>4478</v>
      </c>
      <c r="F774" s="3" t="s">
        <v>4479</v>
      </c>
      <c r="G774" s="3" t="s">
        <v>138</v>
      </c>
      <c r="H774" s="4" t="str">
        <f>HYPERLINK("https://balvidyamandirlucknow.org/", "https://balvidyamandirlucknow.org/")</f>
        <v>https://balvidyamandirlucknow.org/</v>
      </c>
      <c r="J774" s="3" t="str">
        <f>HYPERLINK("tel:+916394572845", "+916394572845")</f>
        <v>+916394572845</v>
      </c>
      <c r="K774" s="5" t="str">
        <f>HYPERLINK("mailto:bvmlko@rediffmail.com", "bvmlko@rediffmail.com")</f>
        <v>bvmlko@rediffmail.com</v>
      </c>
      <c r="L774" s="6" t="s">
        <v>4480</v>
      </c>
    </row>
    <row r="775" ht="15.75" customHeight="1">
      <c r="A775" s="3">
        <v>783.0</v>
      </c>
      <c r="B775" s="3" t="s">
        <v>4481</v>
      </c>
      <c r="C775" s="3" t="s">
        <v>4482</v>
      </c>
      <c r="D775" s="3" t="s">
        <v>4483</v>
      </c>
      <c r="E775" s="3" t="s">
        <v>4484</v>
      </c>
      <c r="F775" s="3" t="s">
        <v>4485</v>
      </c>
      <c r="G775" s="3" t="s">
        <v>138</v>
      </c>
      <c r="H775" s="4" t="str">
        <f>HYPERLINK("https://gdgoenkalko.com/", "https://gdgoenkalko.com/")</f>
        <v>https://gdgoenkalko.com/</v>
      </c>
      <c r="J775" s="3" t="str">
        <f>HYPERLINK("tel:+918090809080", "+918090809080")</f>
        <v>+918090809080</v>
      </c>
      <c r="K775" s="5" t="str">
        <f>HYPERLINK("mailto:gdgoenkalko@yahoo.com", "gdgoenkalko@yahoo.com")</f>
        <v>gdgoenkalko@yahoo.com</v>
      </c>
      <c r="L775" s="6" t="s">
        <v>4486</v>
      </c>
    </row>
    <row r="776" ht="15.75" customHeight="1">
      <c r="A776" s="3">
        <v>784.0</v>
      </c>
      <c r="B776" s="3" t="s">
        <v>4487</v>
      </c>
      <c r="C776" s="3" t="s">
        <v>4488</v>
      </c>
      <c r="D776" s="3" t="s">
        <v>4489</v>
      </c>
      <c r="E776" s="3" t="s">
        <v>4490</v>
      </c>
      <c r="F776" s="3" t="s">
        <v>3461</v>
      </c>
      <c r="G776" s="3" t="s">
        <v>272</v>
      </c>
      <c r="H776" s="4" t="str">
        <f>HYPERLINK("https://apms.apcfss.in/", "https://apms.apcfss.in/")</f>
        <v>https://apms.apcfss.in/</v>
      </c>
      <c r="J776" s="3" t="str">
        <f>HYPERLINK("tel:+911230413241", "+911230413241")</f>
        <v>+911230413241</v>
      </c>
      <c r="K776" s="5" t="str">
        <f>HYPERLINK("mailto:nan", "nan")</f>
        <v>nan</v>
      </c>
      <c r="L776" s="6" t="s">
        <v>3462</v>
      </c>
    </row>
    <row r="777" ht="15.75" customHeight="1">
      <c r="A777" s="3">
        <v>785.0</v>
      </c>
      <c r="B777" s="3" t="s">
        <v>4491</v>
      </c>
      <c r="C777" s="3" t="s">
        <v>4492</v>
      </c>
      <c r="D777" s="3" t="s">
        <v>4493</v>
      </c>
      <c r="E777" s="3" t="s">
        <v>4494</v>
      </c>
      <c r="F777" s="3" t="s">
        <v>4495</v>
      </c>
      <c r="G777" s="3" t="s">
        <v>175</v>
      </c>
      <c r="H777" s="4" t="str">
        <f>HYPERLINK("https://chgajera.com/education/", "https://chgajera.com/education/")</f>
        <v>https://chgajera.com/education/</v>
      </c>
      <c r="I777" s="3" t="s">
        <v>4496</v>
      </c>
      <c r="J777" s="3" t="str">
        <f>HYPERLINK("tel:+918460522223", "+918460522223")</f>
        <v>+918460522223</v>
      </c>
      <c r="K777" s="5" t="str">
        <f>HYPERLINK("mailto:info.ggs@gajeratrust.org", "info.ggs@gajeratrust.org")</f>
        <v>info.ggs@gajeratrust.org</v>
      </c>
      <c r="L777" s="6" t="s">
        <v>4497</v>
      </c>
    </row>
    <row r="778" ht="15.75" customHeight="1">
      <c r="A778" s="3">
        <v>786.0</v>
      </c>
      <c r="B778" s="3" t="s">
        <v>4498</v>
      </c>
      <c r="C778" s="3" t="s">
        <v>4499</v>
      </c>
      <c r="D778" s="3" t="s">
        <v>4500</v>
      </c>
      <c r="E778" s="3" t="s">
        <v>4501</v>
      </c>
      <c r="F778" s="3" t="s">
        <v>4502</v>
      </c>
      <c r="G778" s="3" t="s">
        <v>182</v>
      </c>
      <c r="H778" s="4" t="str">
        <f>HYPERLINK("https://schools.org.in/srinagar/01030401002/bhs-chattabal.html", "https://schools.org.in/srinagar/01030401002/bhs-chattabal.html")</f>
        <v>https://schools.org.in/srinagar/01030401002/bhs-chattabal.html</v>
      </c>
      <c r="I778" s="3" t="s">
        <v>4503</v>
      </c>
      <c r="J778" s="3" t="str">
        <f>HYPERLINK("tel:+913236746820", "+913236746820")</f>
        <v>+913236746820</v>
      </c>
      <c r="K778" s="5" t="str">
        <f t="shared" ref="K778:K780" si="69">HYPERLINK("mailto:nan", "nan")</f>
        <v>nan</v>
      </c>
      <c r="L778" s="6" t="s">
        <v>4504</v>
      </c>
    </row>
    <row r="779" ht="15.75" customHeight="1">
      <c r="A779" s="3">
        <v>787.0</v>
      </c>
      <c r="B779" s="3" t="s">
        <v>4505</v>
      </c>
      <c r="C779" s="3" t="s">
        <v>4506</v>
      </c>
      <c r="D779" s="3" t="s">
        <v>4507</v>
      </c>
      <c r="E779" s="3" t="s">
        <v>4508</v>
      </c>
      <c r="F779" s="3" t="s">
        <v>4509</v>
      </c>
      <c r="G779" s="3" t="s">
        <v>31</v>
      </c>
      <c r="H779" s="4" t="str">
        <f>HYPERLINK("https://mgrly.kvs.ac.in/en/", "https://mgrly.kvs.ac.in/en/")</f>
        <v>https://mgrly.kvs.ac.in/en/</v>
      </c>
      <c r="I779" s="3" t="s">
        <v>1431</v>
      </c>
      <c r="J779" s="3" t="str">
        <f>HYPERLINK("tel:+918023157282", "+918023157282")</f>
        <v>+918023157282</v>
      </c>
      <c r="K779" s="5" t="str">
        <f t="shared" si="69"/>
        <v>nan</v>
      </c>
      <c r="L779" s="6" t="s">
        <v>3149</v>
      </c>
    </row>
    <row r="780" ht="15.75" customHeight="1">
      <c r="A780" s="3">
        <v>788.0</v>
      </c>
      <c r="B780" s="3" t="s">
        <v>4510</v>
      </c>
      <c r="C780" s="3" t="s">
        <v>4511</v>
      </c>
      <c r="D780" s="3" t="s">
        <v>4512</v>
      </c>
      <c r="E780" s="3" t="s">
        <v>4513</v>
      </c>
      <c r="F780" s="3" t="s">
        <v>4514</v>
      </c>
      <c r="G780" s="3" t="s">
        <v>58</v>
      </c>
      <c r="H780" s="4" t="str">
        <f>HYPERLINK("https://schools.org.in/palakkad/32061300111/aups-malamakavu.html", "https://schools.org.in/palakkad/32061300111/aups-malamakavu.html")</f>
        <v>https://schools.org.in/palakkad/32061300111/aups-malamakavu.html</v>
      </c>
      <c r="I780" s="3" t="s">
        <v>4515</v>
      </c>
      <c r="J780" s="3" t="str">
        <f>HYPERLINK("tel:nan", "nan")</f>
        <v>nan</v>
      </c>
      <c r="K780" s="5" t="str">
        <f t="shared" si="69"/>
        <v>nan</v>
      </c>
      <c r="L780" s="6" t="s">
        <v>4516</v>
      </c>
    </row>
    <row r="781" ht="15.75" customHeight="1">
      <c r="A781" s="3">
        <v>789.0</v>
      </c>
      <c r="B781" s="3" t="s">
        <v>4517</v>
      </c>
      <c r="C781" s="3" t="s">
        <v>4518</v>
      </c>
      <c r="D781" s="3" t="s">
        <v>4519</v>
      </c>
      <c r="E781" s="3" t="s">
        <v>4520</v>
      </c>
      <c r="F781" s="3" t="s">
        <v>4521</v>
      </c>
      <c r="G781" s="3" t="s">
        <v>58</v>
      </c>
      <c r="H781" s="4" t="str">
        <f>HYPERLINK("http://nmmse.kerala.gov.in/", "http://nmmse.kerala.gov.in/")</f>
        <v>http://nmmse.kerala.gov.in/</v>
      </c>
      <c r="I781" s="3" t="s">
        <v>4522</v>
      </c>
      <c r="J781" s="3" t="str">
        <f>HYPERLINK("tel:+914712546832", "+914712546832")</f>
        <v>+914712546832</v>
      </c>
      <c r="K781" s="5" t="str">
        <f>HYPERLINK("mailto:nmmss.help.desk@gmail.com", "nmmss.help.desk@gmail.com")</f>
        <v>nmmss.help.desk@gmail.com</v>
      </c>
      <c r="L781" s="6" t="s">
        <v>4523</v>
      </c>
    </row>
    <row r="782" ht="15.75" customHeight="1">
      <c r="A782" s="3">
        <v>790.0</v>
      </c>
      <c r="B782" s="3" t="s">
        <v>4524</v>
      </c>
      <c r="C782" s="3" t="s">
        <v>4525</v>
      </c>
      <c r="D782" s="3" t="s">
        <v>4526</v>
      </c>
      <c r="E782" s="3" t="s">
        <v>819</v>
      </c>
      <c r="F782" s="3" t="s">
        <v>4527</v>
      </c>
      <c r="G782" s="3" t="s">
        <v>58</v>
      </c>
      <c r="H782" s="4" t="str">
        <f>HYPERLINK("https://crpfpallipuram.kvs.ac.in/en/", "https://crpfpallipuram.kvs.ac.in/en/")</f>
        <v>https://crpfpallipuram.kvs.ac.in/en/</v>
      </c>
      <c r="J782" s="3" t="str">
        <f>HYPERLINK("tel:+914712750425", "+914712750425")</f>
        <v>+914712750425</v>
      </c>
      <c r="K782" s="5" t="str">
        <f>HYPERLINK("mailto:nan", "nan")</f>
        <v>nan</v>
      </c>
      <c r="L782" s="6" t="s">
        <v>419</v>
      </c>
    </row>
    <row r="783" ht="15.75" customHeight="1">
      <c r="A783" s="3">
        <v>791.0</v>
      </c>
      <c r="B783" s="3" t="s">
        <v>4528</v>
      </c>
      <c r="C783" s="3" t="s">
        <v>4179</v>
      </c>
      <c r="D783" s="3" t="s">
        <v>4529</v>
      </c>
      <c r="E783" s="3" t="s">
        <v>4530</v>
      </c>
      <c r="F783" s="3" t="s">
        <v>4181</v>
      </c>
      <c r="G783" s="3" t="s">
        <v>115</v>
      </c>
      <c r="H783" s="4" t="str">
        <f>HYPERLINK("https://www.sathyasaiindore.com/", "https://www.sathyasaiindore.com/")</f>
        <v>https://www.sathyasaiindore.com/</v>
      </c>
      <c r="J783" s="3" t="str">
        <f>HYPERLINK("tel:+917312553023", "+917312553023")</f>
        <v>+917312553023</v>
      </c>
      <c r="K783" s="5" t="str">
        <f>HYPERLINK("mailto:sai@sathyasaiindore.com", "sai@sathyasaiindore.com")</f>
        <v>sai@sathyasaiindore.com</v>
      </c>
      <c r="L783" s="6"/>
    </row>
    <row r="784" ht="15.75" customHeight="1">
      <c r="A784" s="3">
        <v>792.0</v>
      </c>
      <c r="B784" s="3" t="s">
        <v>4531</v>
      </c>
      <c r="C784" s="3" t="s">
        <v>4532</v>
      </c>
      <c r="D784" s="3" t="s">
        <v>4533</v>
      </c>
      <c r="E784" s="3" t="s">
        <v>4534</v>
      </c>
      <c r="F784" s="3" t="s">
        <v>4535</v>
      </c>
      <c r="G784" s="3" t="s">
        <v>237</v>
      </c>
      <c r="H784" s="4" t="str">
        <f>HYPERLINK("https://schools.org.in/pondicherry/34020202003/ghss-karayamputhur.html", "https://schools.org.in/pondicherry/34020202003/ghss-karayamputhur.html")</f>
        <v>https://schools.org.in/pondicherry/34020202003/ghss-karayamputhur.html</v>
      </c>
      <c r="I784" s="3" t="s">
        <v>4536</v>
      </c>
      <c r="J784" s="3" t="str">
        <f>HYPERLINK("tel:+914132207202", "+914132207202")</f>
        <v>+914132207202</v>
      </c>
      <c r="K784" s="5" t="str">
        <f>HYPERLINK("mailto:dse-edn.pon@nic.in", "dse-edn.pon@nic.in")</f>
        <v>dse-edn.pon@nic.in</v>
      </c>
      <c r="L784" s="6" t="s">
        <v>4537</v>
      </c>
    </row>
    <row r="785" ht="15.75" customHeight="1">
      <c r="A785" s="3">
        <v>793.0</v>
      </c>
      <c r="B785" s="3" t="s">
        <v>4538</v>
      </c>
      <c r="C785" s="3" t="s">
        <v>4539</v>
      </c>
      <c r="D785" s="3" t="s">
        <v>4540</v>
      </c>
      <c r="E785" s="3" t="s">
        <v>4541</v>
      </c>
      <c r="F785" s="3" t="s">
        <v>4542</v>
      </c>
      <c r="G785" s="3" t="s">
        <v>130</v>
      </c>
      <c r="H785" s="4" t="str">
        <f>HYPERLINK("https://schools.org.in/mahbubnagar/36071901405/zphs-veldanda-girls.html", "https://schools.org.in/mahbubnagar/36071901405/zphs-veldanda-girls.html")</f>
        <v>https://schools.org.in/mahbubnagar/36071901405/zphs-veldanda-girls.html</v>
      </c>
      <c r="I785" s="3" t="s">
        <v>4543</v>
      </c>
      <c r="J785" s="3" t="str">
        <f>HYPERLINK("tel:nan", "nan")</f>
        <v>nan</v>
      </c>
      <c r="K785" s="5" t="str">
        <f>HYPERLINK("mailto:nan", "nan")</f>
        <v>nan</v>
      </c>
      <c r="L785" s="6" t="s">
        <v>4544</v>
      </c>
    </row>
    <row r="786" ht="15.75" customHeight="1">
      <c r="A786" s="3">
        <v>794.0</v>
      </c>
      <c r="B786" s="3" t="s">
        <v>4545</v>
      </c>
      <c r="C786" s="3" t="s">
        <v>1876</v>
      </c>
      <c r="D786" s="3" t="s">
        <v>4546</v>
      </c>
      <c r="E786" s="3" t="s">
        <v>4547</v>
      </c>
      <c r="F786" s="3" t="s">
        <v>1879</v>
      </c>
      <c r="G786" s="3" t="s">
        <v>138</v>
      </c>
      <c r="H786" s="4" t="str">
        <f t="shared" ref="H786:H787" si="70">HYPERLINK("https://bbpsnoida.balbharati.org/", "https://bbpsnoida.balbharati.org/")</f>
        <v>https://bbpsnoida.balbharati.org/</v>
      </c>
      <c r="J786" s="3" t="str">
        <f>HYPERLINK("tel:+917290014141", "+917290014141")</f>
        <v>+917290014141</v>
      </c>
      <c r="K786" s="5" t="str">
        <f>HYPERLINK("mailto:bbpsip@gmail.com", "bbpsip@gmail.com")</f>
        <v>bbpsip@gmail.com</v>
      </c>
      <c r="L786" s="6"/>
    </row>
    <row r="787" ht="15.75" customHeight="1">
      <c r="A787" s="3">
        <v>795.0</v>
      </c>
      <c r="B787" s="3" t="s">
        <v>4548</v>
      </c>
      <c r="C787" s="3" t="s">
        <v>1876</v>
      </c>
      <c r="D787" s="3" t="s">
        <v>4549</v>
      </c>
      <c r="E787" s="3" t="s">
        <v>4550</v>
      </c>
      <c r="F787" s="3" t="s">
        <v>1879</v>
      </c>
      <c r="G787" s="3" t="s">
        <v>138</v>
      </c>
      <c r="H787" s="4" t="str">
        <f t="shared" si="70"/>
        <v>https://bbpsnoida.balbharati.org/</v>
      </c>
      <c r="J787" s="3" t="str">
        <f t="shared" ref="J787:J788" si="71">HYPERLINK("tel:nan", "nan")</f>
        <v>nan</v>
      </c>
      <c r="K787" s="5" t="str">
        <f t="shared" ref="K787:K788" si="72">HYPERLINK("mailto:nan", "nan")</f>
        <v>nan</v>
      </c>
      <c r="L787" s="6"/>
    </row>
    <row r="788" ht="15.75" customHeight="1">
      <c r="A788" s="3">
        <v>796.0</v>
      </c>
      <c r="B788" s="3" t="s">
        <v>4551</v>
      </c>
      <c r="C788" s="3" t="s">
        <v>4552</v>
      </c>
      <c r="D788" s="3" t="s">
        <v>4553</v>
      </c>
      <c r="E788" s="3" t="s">
        <v>4554</v>
      </c>
      <c r="F788" s="3" t="s">
        <v>4555</v>
      </c>
      <c r="G788" s="3" t="s">
        <v>958</v>
      </c>
      <c r="H788" s="4" t="str">
        <f>HYPERLINK("https://schools.org.in/purba-medinipur/19191010801/simulberia-jogendra-vidyapith-h-s.html", "https://schools.org.in/purba-medinipur/19191010801/simulberia-jogendra-vidyapith-h-s.html")</f>
        <v>https://schools.org.in/purba-medinipur/19191010801/simulberia-jogendra-vidyapith-h-s.html</v>
      </c>
      <c r="I788" s="3" t="s">
        <v>4556</v>
      </c>
      <c r="J788" s="3" t="str">
        <f t="shared" si="71"/>
        <v>nan</v>
      </c>
      <c r="K788" s="5" t="str">
        <f t="shared" si="72"/>
        <v>nan</v>
      </c>
      <c r="L788" s="6" t="s">
        <v>4557</v>
      </c>
    </row>
    <row r="789" ht="15.75" customHeight="1">
      <c r="A789" s="3">
        <v>797.0</v>
      </c>
      <c r="B789" s="3" t="s">
        <v>4558</v>
      </c>
      <c r="C789" s="3" t="s">
        <v>784</v>
      </c>
      <c r="D789" s="3" t="s">
        <v>4559</v>
      </c>
      <c r="E789" s="3" t="s">
        <v>4560</v>
      </c>
      <c r="F789" s="3" t="s">
        <v>787</v>
      </c>
      <c r="G789" s="3" t="s">
        <v>175</v>
      </c>
      <c r="H789" s="4" t="str">
        <f>HYPERLINK("https://bagikhana.barodahighschool.com/", "https://bagikhana.barodahighschool.com/")</f>
        <v>https://bagikhana.barodahighschool.com/</v>
      </c>
      <c r="I789" s="3" t="s">
        <v>5</v>
      </c>
      <c r="J789" s="3" t="str">
        <f>HYPERLINK("tel:+912652314742", "+912652314742")</f>
        <v>+912652314742</v>
      </c>
      <c r="K789" s="5" t="str">
        <f>HYPERLINK("mailto:office.bhsbp@bhs.edu.in", "office.bhsbp@bhs.edu.in")</f>
        <v>office.bhsbp@bhs.edu.in</v>
      </c>
      <c r="L789" s="6" t="s">
        <v>788</v>
      </c>
    </row>
    <row r="790" ht="15.75" customHeight="1">
      <c r="A790" s="3">
        <v>798.0</v>
      </c>
      <c r="B790" s="3" t="s">
        <v>4561</v>
      </c>
      <c r="C790" s="3" t="s">
        <v>4562</v>
      </c>
      <c r="D790" s="3" t="s">
        <v>4563</v>
      </c>
      <c r="E790" s="3" t="s">
        <v>4564</v>
      </c>
      <c r="F790" s="3" t="s">
        <v>4565</v>
      </c>
      <c r="G790" s="3" t="s">
        <v>24</v>
      </c>
      <c r="H790" s="4" t="str">
        <f>HYPERLINK("https://golayaschool.org/", "https://golayaschool.org/")</f>
        <v>https://golayaschool.org/</v>
      </c>
      <c r="I790" s="3" t="s">
        <v>4566</v>
      </c>
      <c r="J790" s="3" t="str">
        <f>HYPERLINK("tel:+918930609383", "+918930609383")</f>
        <v>+918930609383</v>
      </c>
      <c r="K790" s="5" t="str">
        <f>HYPERLINK("mailto:golaya.palwal@yahoo.co.in", "golaya.palwal@yahoo.co.in")</f>
        <v>golaya.palwal@yahoo.co.in</v>
      </c>
      <c r="L790" s="6"/>
    </row>
    <row r="791" ht="15.75" customHeight="1">
      <c r="A791" s="3">
        <v>799.0</v>
      </c>
      <c r="B791" s="3" t="s">
        <v>4567</v>
      </c>
      <c r="C791" s="3" t="s">
        <v>4568</v>
      </c>
      <c r="D791" s="3" t="s">
        <v>4569</v>
      </c>
      <c r="E791" s="3" t="s">
        <v>4570</v>
      </c>
      <c r="F791" s="3" t="s">
        <v>4571</v>
      </c>
      <c r="G791" s="3" t="s">
        <v>58</v>
      </c>
      <c r="H791" s="4" t="str">
        <f>HYPERLINK("https://schools.org.in/kozhikode/32040200109/kiralur-aups-kakkodi.html", "https://schools.org.in/kozhikode/32040200109/kiralur-aups-kakkodi.html")</f>
        <v>https://schools.org.in/kozhikode/32040200109/kiralur-aups-kakkodi.html</v>
      </c>
      <c r="I791" s="3" t="s">
        <v>4572</v>
      </c>
      <c r="J791" s="3" t="str">
        <f>HYPERLINK("tel:+919999333223", "+919999333223")</f>
        <v>+919999333223</v>
      </c>
      <c r="K791" s="5" t="str">
        <f>HYPERLINK("mailto:contact@mappls.com", "contact@mappls.com")</f>
        <v>contact@mappls.com</v>
      </c>
      <c r="L791" s="6" t="s">
        <v>4573</v>
      </c>
    </row>
    <row r="792" ht="15.75" customHeight="1">
      <c r="A792" s="3">
        <v>800.0</v>
      </c>
      <c r="B792" s="3" t="s">
        <v>4574</v>
      </c>
      <c r="C792" s="3" t="s">
        <v>4575</v>
      </c>
      <c r="D792" s="3" t="s">
        <v>4576</v>
      </c>
      <c r="E792" s="3" t="s">
        <v>4577</v>
      </c>
      <c r="F792" s="3" t="s">
        <v>4578</v>
      </c>
      <c r="G792" s="3" t="s">
        <v>58</v>
      </c>
      <c r="H792" s="4" t="str">
        <f>HYPERLINK("https://ernakulam.nic.in/en/public-utility/s-n-d-p-h-s-s-aluva/", "https://ernakulam.nic.in/en/public-utility/s-n-d-p-h-s-s-aluva/")</f>
        <v>https://ernakulam.nic.in/en/public-utility/s-n-d-p-h-s-s-aluva/</v>
      </c>
      <c r="I792" s="3" t="s">
        <v>4579</v>
      </c>
      <c r="J792" s="3" t="str">
        <f>HYPERLINK("tel:+914842621010", "+914842621010")</f>
        <v>+914842621010</v>
      </c>
      <c r="K792" s="5" t="str">
        <f>HYPERLINK("mailto:dirdhse.dge@kerala.gov.in", "dirdhse.dge@kerala.gov.in")</f>
        <v>dirdhse.dge@kerala.gov.in</v>
      </c>
      <c r="L792" s="6" t="s">
        <v>4580</v>
      </c>
    </row>
    <row r="793" ht="15.75" customHeight="1">
      <c r="A793" s="3">
        <v>801.0</v>
      </c>
      <c r="B793" s="3" t="s">
        <v>4581</v>
      </c>
      <c r="C793" s="3" t="s">
        <v>4582</v>
      </c>
      <c r="D793" s="3" t="s">
        <v>4583</v>
      </c>
      <c r="E793" s="3" t="s">
        <v>4584</v>
      </c>
      <c r="F793" s="3" t="s">
        <v>4585</v>
      </c>
      <c r="G793" s="3" t="s">
        <v>58</v>
      </c>
      <c r="H793" s="4" t="str">
        <f>HYPERLINK("https://schools.org.in/kollam/32131000608/rbmups-kariyara.html", "https://schools.org.in/kollam/32131000608/rbmups-kariyara.html")</f>
        <v>https://schools.org.in/kollam/32131000608/rbmups-kariyara.html</v>
      </c>
      <c r="I793" s="3" t="s">
        <v>4586</v>
      </c>
      <c r="J793" s="3" t="str">
        <f>HYPERLINK("tel:+918086366177", "+918086366177")</f>
        <v>+918086366177</v>
      </c>
      <c r="K793" s="5" t="str">
        <f>HYPERLINK("mailto:rbmttikariyara6666@gmail.com", "rbmttikariyara6666@gmail.com")</f>
        <v>rbmttikariyara6666@gmail.com</v>
      </c>
      <c r="L793" s="6" t="s">
        <v>4587</v>
      </c>
    </row>
    <row r="794" ht="15.75" customHeight="1">
      <c r="A794" s="3">
        <v>794.0</v>
      </c>
      <c r="B794" s="3" t="s">
        <v>4545</v>
      </c>
      <c r="C794" s="3" t="s">
        <v>1876</v>
      </c>
      <c r="D794" s="3" t="s">
        <v>4546</v>
      </c>
      <c r="E794" s="3" t="s">
        <v>4547</v>
      </c>
      <c r="F794" s="3" t="s">
        <v>1879</v>
      </c>
      <c r="G794" s="3" t="s">
        <v>138</v>
      </c>
      <c r="H794" s="4" t="str">
        <f t="shared" ref="H794:H795" si="73">HYPERLINK("https://bbpsnoida.balbharati.org/", "https://bbpsnoida.balbharati.org/")</f>
        <v>https://bbpsnoida.balbharati.org/</v>
      </c>
      <c r="J794" s="3" t="str">
        <f t="shared" ref="J794:J795" si="74">HYPERLINK("tel:+917290014141", "+917290014141")</f>
        <v>+917290014141</v>
      </c>
      <c r="K794" s="5" t="str">
        <f t="shared" ref="K794:K795" si="75">HYPERLINK("mailto:bbpsip@gmail.com", "bbpsip@gmail.com")</f>
        <v>bbpsip@gmail.com</v>
      </c>
      <c r="L794" s="6"/>
    </row>
    <row r="795" ht="15.75" customHeight="1">
      <c r="A795" s="3">
        <v>795.0</v>
      </c>
      <c r="B795" s="3" t="s">
        <v>4548</v>
      </c>
      <c r="C795" s="3" t="s">
        <v>1876</v>
      </c>
      <c r="D795" s="3" t="s">
        <v>4549</v>
      </c>
      <c r="E795" s="3" t="s">
        <v>4550</v>
      </c>
      <c r="F795" s="3" t="s">
        <v>1879</v>
      </c>
      <c r="G795" s="3" t="s">
        <v>138</v>
      </c>
      <c r="H795" s="4" t="str">
        <f t="shared" si="73"/>
        <v>https://bbpsnoida.balbharati.org/</v>
      </c>
      <c r="J795" s="3" t="str">
        <f t="shared" si="74"/>
        <v>+917290014141</v>
      </c>
      <c r="K795" s="5" t="str">
        <f t="shared" si="75"/>
        <v>bbpsip@gmail.com</v>
      </c>
      <c r="L795" s="6"/>
    </row>
    <row r="796" ht="15.75" customHeight="1">
      <c r="A796" s="3">
        <v>796.0</v>
      </c>
      <c r="B796" s="3" t="s">
        <v>4551</v>
      </c>
      <c r="C796" s="3" t="s">
        <v>4552</v>
      </c>
      <c r="D796" s="3" t="s">
        <v>4553</v>
      </c>
      <c r="E796" s="3" t="s">
        <v>4554</v>
      </c>
      <c r="F796" s="3" t="s">
        <v>4555</v>
      </c>
      <c r="G796" s="3" t="s">
        <v>958</v>
      </c>
      <c r="H796" s="4" t="str">
        <f>HYPERLINK("https://schools.org.in/purba-medinipur/19191010801/simulberia-jogendra-vidyapith-h-s.html", "https://schools.org.in/purba-medinipur/19191010801/simulberia-jogendra-vidyapith-h-s.html")</f>
        <v>https://schools.org.in/purba-medinipur/19191010801/simulberia-jogendra-vidyapith-h-s.html</v>
      </c>
      <c r="I796" s="3" t="s">
        <v>4556</v>
      </c>
      <c r="J796" s="3" t="str">
        <f>HYPERLINK("tel:nan", "nan")</f>
        <v>nan</v>
      </c>
      <c r="K796" s="5" t="str">
        <f>HYPERLINK("mailto:nan", "nan")</f>
        <v>nan</v>
      </c>
      <c r="L796" s="6" t="s">
        <v>4557</v>
      </c>
    </row>
    <row r="797" ht="15.75" customHeight="1">
      <c r="A797" s="3">
        <v>797.0</v>
      </c>
      <c r="B797" s="3" t="s">
        <v>4558</v>
      </c>
      <c r="C797" s="3" t="s">
        <v>784</v>
      </c>
      <c r="D797" s="3" t="s">
        <v>4559</v>
      </c>
      <c r="E797" s="3" t="s">
        <v>4560</v>
      </c>
      <c r="F797" s="3" t="s">
        <v>787</v>
      </c>
      <c r="G797" s="3" t="s">
        <v>175</v>
      </c>
      <c r="H797" s="4" t="str">
        <f>HYPERLINK("https://bagikhana.barodahighschool.com/", "https://bagikhana.barodahighschool.com/")</f>
        <v>https://bagikhana.barodahighschool.com/</v>
      </c>
      <c r="I797" s="3" t="s">
        <v>5</v>
      </c>
      <c r="J797" s="3" t="str">
        <f>HYPERLINK("tel:+912652314742", "+912652314742")</f>
        <v>+912652314742</v>
      </c>
      <c r="K797" s="5" t="str">
        <f>HYPERLINK("mailto:office.bhsbp@bhs.edu.in", "office.bhsbp@bhs.edu.in")</f>
        <v>office.bhsbp@bhs.edu.in</v>
      </c>
      <c r="L797" s="6" t="s">
        <v>788</v>
      </c>
    </row>
    <row r="798" ht="15.75" customHeight="1">
      <c r="A798" s="3">
        <v>798.0</v>
      </c>
      <c r="B798" s="3" t="s">
        <v>4561</v>
      </c>
      <c r="C798" s="3" t="s">
        <v>4562</v>
      </c>
      <c r="D798" s="3" t="s">
        <v>4563</v>
      </c>
      <c r="E798" s="3" t="s">
        <v>4564</v>
      </c>
      <c r="F798" s="3" t="s">
        <v>4565</v>
      </c>
      <c r="G798" s="3" t="s">
        <v>24</v>
      </c>
      <c r="H798" s="4" t="str">
        <f>HYPERLINK("https://golayaschool.org/", "https://golayaschool.org/")</f>
        <v>https://golayaschool.org/</v>
      </c>
      <c r="I798" s="3" t="s">
        <v>4566</v>
      </c>
      <c r="J798" s="3" t="str">
        <f>HYPERLINK("tel:+918930609383", "+918930609383")</f>
        <v>+918930609383</v>
      </c>
      <c r="K798" s="5" t="str">
        <f>HYPERLINK("mailto:golaya.palwal@yahoo.co.in", "golaya.palwal@yahoo.co.in")</f>
        <v>golaya.palwal@yahoo.co.in</v>
      </c>
      <c r="L798" s="6"/>
    </row>
    <row r="799" ht="15.75" customHeight="1">
      <c r="A799" s="3">
        <v>802.0</v>
      </c>
      <c r="B799" s="3" t="s">
        <v>4588</v>
      </c>
      <c r="C799" s="3" t="s">
        <v>4589</v>
      </c>
      <c r="D799" s="3" t="s">
        <v>4590</v>
      </c>
      <c r="E799" s="3" t="s">
        <v>4591</v>
      </c>
      <c r="F799" s="3" t="s">
        <v>4592</v>
      </c>
      <c r="G799" s="3" t="s">
        <v>115</v>
      </c>
      <c r="H799" s="4" t="str">
        <f>HYPERLINK("https://www.carmelbhopal.net/", "https://www.carmelbhopal.net/")</f>
        <v>https://www.carmelbhopal.net/</v>
      </c>
      <c r="J799" s="3" t="str">
        <f>HYPERLINK("tel:nan", "nan")</f>
        <v>nan</v>
      </c>
      <c r="K799" s="5" t="str">
        <f t="shared" ref="K799:K804" si="76">HYPERLINK("mailto:nan", "nan")</f>
        <v>nan</v>
      </c>
      <c r="L799" s="6"/>
    </row>
    <row r="800" ht="15.75" customHeight="1">
      <c r="A800" s="3">
        <v>803.0</v>
      </c>
      <c r="B800" s="3" t="s">
        <v>4593</v>
      </c>
      <c r="C800" s="3" t="s">
        <v>3489</v>
      </c>
      <c r="D800" s="3" t="s">
        <v>4594</v>
      </c>
      <c r="E800" s="3" t="s">
        <v>4595</v>
      </c>
      <c r="F800" s="3" t="s">
        <v>3492</v>
      </c>
      <c r="G800" s="3" t="s">
        <v>115</v>
      </c>
      <c r="H800" s="4" t="str">
        <f>HYPERLINK("https://khargone.kvs.ac.in/en/", "https://khargone.kvs.ac.in/en/")</f>
        <v>https://khargone.kvs.ac.in/en/</v>
      </c>
      <c r="I800" s="3" t="s">
        <v>3493</v>
      </c>
      <c r="J800" s="3" t="str">
        <f>HYPERLINK("tel:+919651274645", "+919651274645")</f>
        <v>+919651274645</v>
      </c>
      <c r="K800" s="5" t="str">
        <f t="shared" si="76"/>
        <v>nan</v>
      </c>
      <c r="L800" s="6"/>
    </row>
    <row r="801" ht="15.75" customHeight="1">
      <c r="A801" s="3">
        <v>804.0</v>
      </c>
      <c r="B801" s="3" t="s">
        <v>4596</v>
      </c>
      <c r="C801" s="3" t="s">
        <v>4597</v>
      </c>
      <c r="D801" s="3" t="s">
        <v>4598</v>
      </c>
      <c r="E801" s="3" t="s">
        <v>4599</v>
      </c>
      <c r="F801" s="3" t="s">
        <v>4600</v>
      </c>
      <c r="G801" s="3" t="s">
        <v>356</v>
      </c>
      <c r="H801" s="4" t="str">
        <f>HYPERLINK("https://rayagada.kvs.ac.in/en/", "https://rayagada.kvs.ac.in/en/")</f>
        <v>https://rayagada.kvs.ac.in/en/</v>
      </c>
      <c r="I801" s="3" t="s">
        <v>93</v>
      </c>
      <c r="J801" s="3" t="str">
        <f>HYPERLINK("tel:+916856299925", "+916856299925")</f>
        <v>+916856299925</v>
      </c>
      <c r="K801" s="5" t="str">
        <f t="shared" si="76"/>
        <v>nan</v>
      </c>
      <c r="L801" s="6"/>
    </row>
    <row r="802" ht="15.75" customHeight="1">
      <c r="A802" s="3">
        <v>805.0</v>
      </c>
      <c r="B802" s="3" t="s">
        <v>4601</v>
      </c>
      <c r="C802" s="3" t="s">
        <v>4602</v>
      </c>
      <c r="D802" s="3" t="s">
        <v>4603</v>
      </c>
      <c r="E802" s="3" t="s">
        <v>4604</v>
      </c>
      <c r="F802" s="3" t="s">
        <v>4605</v>
      </c>
      <c r="G802" s="3" t="s">
        <v>17</v>
      </c>
      <c r="H802" s="4" t="str">
        <f>HYPERLINK("https://schools.org.in/coimbatore/33122100804/aided-kadir-mills-higher-secondary-school-ottarpalayam.html", "https://schools.org.in/coimbatore/33122100804/aided-kadir-mills-higher-secondary-school-ottarpalayam.html")</f>
        <v>https://schools.org.in/coimbatore/33122100804/aided-kadir-mills-higher-secondary-school-ottarpalayam.html</v>
      </c>
      <c r="I802" s="3" t="s">
        <v>286</v>
      </c>
      <c r="J802" s="3" t="str">
        <f>HYPERLINK("tel:+919560764447", "+919560764447")</f>
        <v>+919560764447</v>
      </c>
      <c r="K802" s="5" t="str">
        <f t="shared" si="76"/>
        <v>nan</v>
      </c>
      <c r="L802" s="6" t="s">
        <v>4606</v>
      </c>
    </row>
    <row r="803" ht="15.75" customHeight="1">
      <c r="A803" s="3">
        <v>806.0</v>
      </c>
      <c r="B803" s="3" t="s">
        <v>4607</v>
      </c>
      <c r="C803" s="3" t="s">
        <v>4608</v>
      </c>
      <c r="D803" s="3" t="s">
        <v>4609</v>
      </c>
      <c r="E803" s="3" t="s">
        <v>4610</v>
      </c>
      <c r="F803" s="3" t="s">
        <v>4611</v>
      </c>
      <c r="G803" s="3" t="s">
        <v>17</v>
      </c>
      <c r="H803" s="4" t="str">
        <f>HYPERLINK("https://dharmapuri.kvs.ac.in/en/", "https://dharmapuri.kvs.ac.in/en/")</f>
        <v>https://dharmapuri.kvs.ac.in/en/</v>
      </c>
      <c r="I803" s="3" t="s">
        <v>4612</v>
      </c>
      <c r="J803" s="3" t="str">
        <f>HYPERLINK("tel:+914342270080", "+914342270080")</f>
        <v>+914342270080</v>
      </c>
      <c r="K803" s="5" t="str">
        <f t="shared" si="76"/>
        <v>nan</v>
      </c>
      <c r="L803" s="6"/>
    </row>
    <row r="804" ht="15.75" customHeight="1">
      <c r="A804" s="3">
        <v>807.0</v>
      </c>
      <c r="B804" s="3" t="s">
        <v>4613</v>
      </c>
      <c r="C804" s="3" t="s">
        <v>4614</v>
      </c>
      <c r="D804" s="3" t="s">
        <v>4615</v>
      </c>
      <c r="E804" s="3" t="s">
        <v>4616</v>
      </c>
      <c r="F804" s="3" t="s">
        <v>4617</v>
      </c>
      <c r="G804" s="3" t="s">
        <v>138</v>
      </c>
      <c r="H804" s="4" t="str">
        <f>HYPERLINK("https://chitrakoot.kvs.ac.in/en/", "https://chitrakoot.kvs.ac.in/en/")</f>
        <v>https://chitrakoot.kvs.ac.in/en/</v>
      </c>
      <c r="I804" s="3" t="s">
        <v>93</v>
      </c>
      <c r="J804" s="3" t="str">
        <f>HYPERLINK("tel:+919410109512", "+919410109512")</f>
        <v>+919410109512</v>
      </c>
      <c r="K804" s="5" t="str">
        <f t="shared" si="76"/>
        <v>nan</v>
      </c>
      <c r="L804" s="6" t="s">
        <v>4618</v>
      </c>
    </row>
    <row r="805" ht="15.75" customHeight="1">
      <c r="A805" s="3">
        <v>808.0</v>
      </c>
      <c r="B805" s="3" t="s">
        <v>4619</v>
      </c>
      <c r="C805" s="3" t="s">
        <v>4620</v>
      </c>
      <c r="D805" s="3" t="s">
        <v>4621</v>
      </c>
      <c r="E805" s="3" t="s">
        <v>4622</v>
      </c>
      <c r="F805" s="3" t="s">
        <v>4623</v>
      </c>
      <c r="G805" s="3" t="s">
        <v>272</v>
      </c>
      <c r="H805" s="4" t="str">
        <f>HYPERLINK("https://swreis.ap.gov.in/", "https://swreis.ap.gov.in/")</f>
        <v>https://swreis.ap.gov.in/</v>
      </c>
      <c r="I805" s="3" t="s">
        <v>4624</v>
      </c>
      <c r="J805" s="3" t="str">
        <f>HYPERLINK("tel:nan", "nan")</f>
        <v>nan</v>
      </c>
      <c r="K805" s="5" t="str">
        <f>HYPERLINK("mailto:info@careers360.com", "info@careers360.com")</f>
        <v>info@careers360.com</v>
      </c>
      <c r="L805" s="6" t="s">
        <v>4625</v>
      </c>
    </row>
    <row r="806" ht="15.75" customHeight="1">
      <c r="A806" s="3">
        <v>809.0</v>
      </c>
      <c r="B806" s="3" t="s">
        <v>4626</v>
      </c>
      <c r="C806" s="3" t="s">
        <v>4627</v>
      </c>
      <c r="D806" s="3" t="s">
        <v>4628</v>
      </c>
      <c r="E806" s="3" t="s">
        <v>4629</v>
      </c>
      <c r="F806" s="3" t="s">
        <v>4630</v>
      </c>
      <c r="G806" s="3" t="s">
        <v>31</v>
      </c>
      <c r="H806" s="4" t="str">
        <f>HYPERLINK("https://www.kleschoolathani.com/", "https://www.kleschoolathani.com/")</f>
        <v>https://www.kleschoolathani.com/</v>
      </c>
      <c r="J806" s="3" t="str">
        <f>HYPERLINK("tel:+918289285855", "+918289285855")</f>
        <v>+918289285855</v>
      </c>
      <c r="K806" s="5" t="str">
        <f>HYPERLINK("mailto:kleemsathani@rediffmail.com", "kleemsathani@rediffmail.com")</f>
        <v>kleemsathani@rediffmail.com</v>
      </c>
      <c r="L806" s="6" t="s">
        <v>4631</v>
      </c>
    </row>
    <row r="807" ht="15.75" customHeight="1">
      <c r="A807" s="3">
        <v>810.0</v>
      </c>
      <c r="B807" s="3" t="s">
        <v>4632</v>
      </c>
      <c r="C807" s="3" t="s">
        <v>4633</v>
      </c>
      <c r="D807" s="3" t="s">
        <v>4634</v>
      </c>
      <c r="E807" s="3" t="s">
        <v>4635</v>
      </c>
      <c r="F807" s="3" t="s">
        <v>4636</v>
      </c>
      <c r="G807" s="3" t="s">
        <v>31</v>
      </c>
      <c r="H807" s="4" t="str">
        <f>HYPERLINK("https://rosaryconventhighschoolhyd.org/", "https://rosaryconventhighschoolhyd.org/")</f>
        <v>https://rosaryconventhighschoolhyd.org/</v>
      </c>
      <c r="I807" s="3" t="s">
        <v>4637</v>
      </c>
      <c r="J807" s="3" t="str">
        <f>HYPERLINK("tel:+914023230704", "+914023230704")</f>
        <v>+914023230704</v>
      </c>
      <c r="K807" s="5" t="str">
        <f>HYPERLINK("mailto:rosaryconventschool@yahoo.co.in", "rosaryconventschool@yahoo.co.in")</f>
        <v>rosaryconventschool@yahoo.co.in</v>
      </c>
      <c r="L807" s="6" t="s">
        <v>4638</v>
      </c>
    </row>
    <row r="808" ht="15.75" customHeight="1">
      <c r="A808" s="3">
        <v>811.0</v>
      </c>
      <c r="B808" s="3" t="s">
        <v>4639</v>
      </c>
      <c r="C808" s="3" t="s">
        <v>2446</v>
      </c>
      <c r="D808" s="3" t="s">
        <v>4640</v>
      </c>
      <c r="E808" s="3" t="s">
        <v>4641</v>
      </c>
      <c r="F808" s="3" t="s">
        <v>2449</v>
      </c>
      <c r="G808" s="3" t="s">
        <v>31</v>
      </c>
      <c r="H808" s="4" t="str">
        <f>HYPERLINK("https://schools.org.in/bengaluru-u-south/29200312168/ghs-jeevanabhimanagara.html", "https://schools.org.in/bengaluru-u-south/29200312168/ghs-jeevanabhimanagara.html")</f>
        <v>https://schools.org.in/bengaluru-u-south/29200312168/ghs-jeevanabhimanagara.html</v>
      </c>
      <c r="I808" s="3" t="s">
        <v>2450</v>
      </c>
      <c r="J808" s="3" t="str">
        <f>HYPERLINK("tel:+912025211610", "+912025211610")</f>
        <v>+912025211610</v>
      </c>
      <c r="K808" s="5" t="str">
        <f>HYPERLINK("mailto:nan", "nan")</f>
        <v>nan</v>
      </c>
      <c r="L808" s="6" t="s">
        <v>2451</v>
      </c>
    </row>
    <row r="809" ht="15.75" customHeight="1">
      <c r="A809" s="3">
        <v>812.0</v>
      </c>
      <c r="B809" s="3" t="s">
        <v>4642</v>
      </c>
      <c r="C809" s="3" t="s">
        <v>4643</v>
      </c>
      <c r="D809" s="3" t="s">
        <v>4644</v>
      </c>
      <c r="E809" s="3" t="s">
        <v>4645</v>
      </c>
      <c r="F809" s="3" t="s">
        <v>4646</v>
      </c>
      <c r="G809" s="3" t="s">
        <v>31</v>
      </c>
      <c r="H809" s="4" t="str">
        <f>HYPERLINK("https://rcis.in/", "https://rcis.in/")</f>
        <v>https://rcis.in/</v>
      </c>
      <c r="I809" s="3" t="s">
        <v>4647</v>
      </c>
      <c r="J809" s="3" t="str">
        <f>HYPERLINK("tel:+918025435455", "+918025435455")</f>
        <v>+918025435455</v>
      </c>
      <c r="K809" s="5" t="str">
        <f>HYPERLINK("mailto:admission@rcis.in", "admission@rcis.in")</f>
        <v>admission@rcis.in</v>
      </c>
      <c r="L809" s="6"/>
    </row>
    <row r="810" ht="15.75" customHeight="1">
      <c r="A810" s="3">
        <v>813.0</v>
      </c>
      <c r="B810" s="3" t="s">
        <v>4648</v>
      </c>
      <c r="C810" s="3" t="s">
        <v>4649</v>
      </c>
      <c r="D810" s="3" t="s">
        <v>4650</v>
      </c>
      <c r="E810" s="3" t="s">
        <v>4651</v>
      </c>
      <c r="F810" s="3" t="s">
        <v>4652</v>
      </c>
      <c r="G810" s="3" t="s">
        <v>58</v>
      </c>
      <c r="H810" s="4" t="str">
        <f>HYPERLINK("https://schools.org.in/thrissur/32071001001/ups-kalariparamba-mathilakam.html", "https://schools.org.in/thrissur/32071001001/ups-kalariparamba-mathilakam.html")</f>
        <v>https://schools.org.in/thrissur/32071001001/ups-kalariparamba-mathilakam.html</v>
      </c>
      <c r="I810" s="3" t="s">
        <v>4653</v>
      </c>
      <c r="J810" s="3" t="str">
        <f>HYPERLINK("tel:+919999333223", "+919999333223")</f>
        <v>+919999333223</v>
      </c>
      <c r="K810" s="5" t="str">
        <f>HYPERLINK("mailto:contact@mappls.com", "contact@mappls.com")</f>
        <v>contact@mappls.com</v>
      </c>
      <c r="L810" s="6" t="s">
        <v>4654</v>
      </c>
    </row>
    <row r="811" ht="15.75" customHeight="1">
      <c r="A811" s="3">
        <v>814.0</v>
      </c>
      <c r="B811" s="3" t="s">
        <v>4655</v>
      </c>
      <c r="C811" s="3" t="s">
        <v>4656</v>
      </c>
      <c r="D811" s="3" t="s">
        <v>4657</v>
      </c>
      <c r="E811" s="3" t="s">
        <v>4658</v>
      </c>
      <c r="F811" s="3" t="s">
        <v>4659</v>
      </c>
      <c r="G811" s="3" t="s">
        <v>58</v>
      </c>
      <c r="H811" s="4" t="str">
        <f>HYPERLINK("https://www.facebook.com/GEMGHSSANTHIGRAM/", "https://www.facebook.com/GEMGHSSANTHIGRAM/")</f>
        <v>https://www.facebook.com/GEMGHSSANTHIGRAM/</v>
      </c>
      <c r="I811" s="3" t="s">
        <v>4660</v>
      </c>
      <c r="J811" s="3" t="str">
        <f>HYPERLINK("tel:+911143571291", "+911143571291")</f>
        <v>+911143571291</v>
      </c>
      <c r="K811" s="5" t="str">
        <f>HYPERLINK("mailto:info@santhigram.com", "info@santhigram.com")</f>
        <v>info@santhigram.com</v>
      </c>
      <c r="L811" s="6" t="s">
        <v>4661</v>
      </c>
    </row>
    <row r="812" ht="15.75" customHeight="1">
      <c r="A812" s="3">
        <v>815.0</v>
      </c>
      <c r="B812" s="3" t="s">
        <v>4662</v>
      </c>
      <c r="C812" s="3" t="s">
        <v>4663</v>
      </c>
      <c r="D812" s="3" t="s">
        <v>4664</v>
      </c>
      <c r="E812" s="3" t="s">
        <v>4665</v>
      </c>
      <c r="F812" s="3" t="s">
        <v>4666</v>
      </c>
      <c r="G812" s="3" t="s">
        <v>70</v>
      </c>
      <c r="H812" s="4" t="str">
        <f>HYPERLINK("https://www.svgmsshahpura.com/", "https://www.svgmsshahpura.com/")</f>
        <v>https://www.svgmsshahpura.com/</v>
      </c>
      <c r="J812" s="3" t="str">
        <f>HYPERLINK("tel:+919785483521", "+919785483521")</f>
        <v>+919785483521</v>
      </c>
      <c r="K812" s="5" t="str">
        <f>HYPERLINK("mailto:info@example.com", "info@example.com")</f>
        <v>info@example.com</v>
      </c>
      <c r="L812" s="6" t="s">
        <v>4667</v>
      </c>
    </row>
    <row r="813" ht="15.75" customHeight="1">
      <c r="A813" s="3">
        <v>816.0</v>
      </c>
      <c r="B813" s="3" t="s">
        <v>4668</v>
      </c>
      <c r="C813" s="3" t="s">
        <v>4669</v>
      </c>
      <c r="D813" s="3" t="s">
        <v>4670</v>
      </c>
      <c r="E813" s="3" t="s">
        <v>4671</v>
      </c>
      <c r="F813" s="3" t="s">
        <v>4672</v>
      </c>
      <c r="G813" s="3" t="s">
        <v>17</v>
      </c>
      <c r="H813" s="4" t="str">
        <f>HYPERLINK("https://schools.org.in/thiruvallur/33011101602/govt-hss-k-g-kandigai.html", "https://schools.org.in/thiruvallur/33011101602/govt-hss-k-g-kandigai.html")</f>
        <v>https://schools.org.in/thiruvallur/33011101602/govt-hss-k-g-kandigai.html</v>
      </c>
      <c r="I813" s="3" t="s">
        <v>4673</v>
      </c>
      <c r="J813" s="3" t="str">
        <f>HYPERLINK("tel:+914425670401", "+914425670401")</f>
        <v>+914425670401</v>
      </c>
      <c r="K813" s="5" t="str">
        <f>HYPERLINK("mailto:hrsec@tn.gov.in", "hrsec@tn.gov.in")</f>
        <v>hrsec@tn.gov.in</v>
      </c>
      <c r="L813" s="6" t="s">
        <v>4674</v>
      </c>
    </row>
    <row r="814" ht="15.75" customHeight="1">
      <c r="A814" s="3">
        <v>817.0</v>
      </c>
      <c r="B814" s="3" t="s">
        <v>4675</v>
      </c>
      <c r="C814" s="3" t="s">
        <v>4676</v>
      </c>
      <c r="D814" s="3" t="s">
        <v>4677</v>
      </c>
      <c r="E814" s="3" t="s">
        <v>4678</v>
      </c>
      <c r="F814" s="3" t="s">
        <v>4679</v>
      </c>
      <c r="G814" s="3" t="s">
        <v>17</v>
      </c>
      <c r="H814" s="4" t="str">
        <f>HYPERLINK("https://pushpalataschools.com/pvm/", "https://pushpalataschools.com/pvm/")</f>
        <v>https://pushpalataschools.com/pvm/</v>
      </c>
      <c r="J814" s="3" t="str">
        <f>HYPERLINK("tel:+914622532823", "+914622532823")</f>
        <v>+914622532823</v>
      </c>
      <c r="K814" s="5" t="str">
        <f>HYPERLINK("mailto:vidyamandirpushpalata@gmail.com", "vidyamandirpushpalata@gmail.com")</f>
        <v>vidyamandirpushpalata@gmail.com</v>
      </c>
      <c r="L814" s="6"/>
    </row>
    <row r="815" ht="15.75" customHeight="1">
      <c r="A815" s="3">
        <v>818.0</v>
      </c>
      <c r="B815" s="3" t="s">
        <v>4680</v>
      </c>
      <c r="C815" s="3" t="s">
        <v>4681</v>
      </c>
      <c r="D815" s="3" t="s">
        <v>4682</v>
      </c>
      <c r="E815" s="3" t="s">
        <v>4683</v>
      </c>
      <c r="F815" s="3" t="s">
        <v>4684</v>
      </c>
      <c r="G815" s="3" t="s">
        <v>17</v>
      </c>
      <c r="H815" s="4" t="str">
        <f>HYPERLINK("https://pckgschool.wixsite.com/welcome", "https://pckgschool.wixsite.com/welcome")</f>
        <v>https://pckgschool.wixsite.com/welcome</v>
      </c>
      <c r="I815" s="3" t="s">
        <v>4685</v>
      </c>
      <c r="J815" s="3" t="str">
        <f>HYPERLINK("tel:+911312657656", "+911312657656")</f>
        <v>+911312657656</v>
      </c>
      <c r="K815" s="5" t="str">
        <f>HYPERLINK("mailto:pckgschool@gmail.com", "pckgschool@gmail.com")</f>
        <v>pckgschool@gmail.com</v>
      </c>
      <c r="L815" s="6" t="s">
        <v>4686</v>
      </c>
    </row>
    <row r="816" ht="15.75" customHeight="1">
      <c r="A816" s="3">
        <v>819.0</v>
      </c>
      <c r="B816" s="3" t="s">
        <v>4687</v>
      </c>
      <c r="C816" s="3" t="s">
        <v>4688</v>
      </c>
      <c r="D816" s="3" t="s">
        <v>4689</v>
      </c>
      <c r="E816" s="3" t="s">
        <v>4690</v>
      </c>
      <c r="F816" s="3" t="s">
        <v>4691</v>
      </c>
      <c r="G816" s="3" t="s">
        <v>130</v>
      </c>
      <c r="H816" s="4" t="str">
        <f>HYPERLINK("https://no2dundigal.kvs.ac.in/en/", "https://no2dundigal.kvs.ac.in/en/")</f>
        <v>https://no2dundigal.kvs.ac.in/en/</v>
      </c>
      <c r="J816" s="3" t="str">
        <f>HYPERLINK("tel:+918414254229", "+918414254229")</f>
        <v>+918414254229</v>
      </c>
      <c r="K816" s="5" t="str">
        <f>HYPERLINK("mailto:nan", "nan")</f>
        <v>nan</v>
      </c>
      <c r="L816" s="6"/>
    </row>
    <row r="817" ht="15.75" customHeight="1">
      <c r="A817" s="3">
        <v>820.0</v>
      </c>
      <c r="B817" s="3" t="s">
        <v>4692</v>
      </c>
      <c r="C817" s="3" t="s">
        <v>4693</v>
      </c>
      <c r="D817" s="3" t="s">
        <v>4694</v>
      </c>
      <c r="E817" s="3" t="s">
        <v>4695</v>
      </c>
      <c r="F817" s="3" t="s">
        <v>4696</v>
      </c>
      <c r="G817" s="3" t="s">
        <v>130</v>
      </c>
      <c r="H817" s="4" t="str">
        <f>HYPERLINK("https://schools.org.in/khammam/36101990927/sc-aided-hs-yellandu.html", "https://schools.org.in/khammam/36101990927/sc-aided-hs-yellandu.html")</f>
        <v>https://schools.org.in/khammam/36101990927/sc-aided-hs-yellandu.html</v>
      </c>
      <c r="I817" s="3" t="s">
        <v>4697</v>
      </c>
      <c r="J817" s="3" t="str">
        <f>HYPERLINK("tel:+919154278988", "+919154278988")</f>
        <v>+919154278988</v>
      </c>
      <c r="K817" s="5" t="str">
        <f>HYPERLINK("mailto:dio-bkg@nic.in", "dio-bkg@nic.in")</f>
        <v>dio-bkg@nic.in</v>
      </c>
      <c r="L817" s="6" t="s">
        <v>4698</v>
      </c>
    </row>
    <row r="818" ht="15.75" customHeight="1">
      <c r="A818" s="3">
        <v>821.0</v>
      </c>
      <c r="B818" s="3" t="s">
        <v>4699</v>
      </c>
      <c r="C818" s="3" t="s">
        <v>4700</v>
      </c>
      <c r="D818" s="3" t="s">
        <v>4701</v>
      </c>
      <c r="E818" s="3" t="s">
        <v>4702</v>
      </c>
      <c r="F818" s="3" t="s">
        <v>4703</v>
      </c>
      <c r="G818" s="3" t="s">
        <v>4101</v>
      </c>
      <c r="H818" s="4" t="str">
        <f>HYPERLINK("https://www.loyolacollegewn.edu.in/", "https://www.loyolacollegewn.edu.in/")</f>
        <v>https://www.loyolacollegewn.edu.in/</v>
      </c>
      <c r="I818" s="3" t="s">
        <v>4704</v>
      </c>
      <c r="J818" s="3" t="str">
        <f>HYPERLINK("tel:+913658295016", "+913658295016")</f>
        <v>+913658295016</v>
      </c>
      <c r="K818" s="5" t="str">
        <f>HYPERLINK("mailto:loyolacwn@gmail.com", "loyolacwn@gmail.com")</f>
        <v>loyolacwn@gmail.com</v>
      </c>
      <c r="L818" s="6" t="s">
        <v>4705</v>
      </c>
    </row>
    <row r="819" ht="15.75" customHeight="1">
      <c r="A819" s="3">
        <v>822.0</v>
      </c>
      <c r="B819" s="3" t="s">
        <v>4706</v>
      </c>
      <c r="C819" s="3" t="s">
        <v>4707</v>
      </c>
      <c r="D819" s="3" t="s">
        <v>4708</v>
      </c>
      <c r="E819" s="3" t="s">
        <v>4709</v>
      </c>
      <c r="F819" s="3" t="s">
        <v>4710</v>
      </c>
      <c r="G819" s="3" t="s">
        <v>24</v>
      </c>
      <c r="H819" s="4" t="str">
        <f>HYPERLINK("https://app.canalvalleyschool.com/", "https://app.canalvalleyschool.com/")</f>
        <v>https://app.canalvalleyschool.com/</v>
      </c>
      <c r="J819" s="3" t="str">
        <f>HYPERLINK("tel:+919499180870", "+919499180870")</f>
        <v>+919499180870</v>
      </c>
      <c r="K819" s="5" t="str">
        <f>HYPERLINK("mailto:info@careers360.com", "info@careers360.com")</f>
        <v>info@careers360.com</v>
      </c>
      <c r="L819" s="6" t="s">
        <v>4711</v>
      </c>
    </row>
    <row r="820" ht="15.75" customHeight="1">
      <c r="A820" s="3">
        <v>823.0</v>
      </c>
      <c r="B820" s="3" t="s">
        <v>4712</v>
      </c>
      <c r="C820" s="3" t="s">
        <v>1797</v>
      </c>
      <c r="D820" s="3" t="s">
        <v>4713</v>
      </c>
      <c r="E820" s="3" t="s">
        <v>4714</v>
      </c>
      <c r="F820" s="3" t="s">
        <v>1800</v>
      </c>
      <c r="G820" s="3" t="s">
        <v>24</v>
      </c>
      <c r="H820" s="4" t="str">
        <f>HYPERLINK("https://moderndis.org/", "https://moderndis.org/")</f>
        <v>https://moderndis.org/</v>
      </c>
      <c r="I820" s="3" t="s">
        <v>1474</v>
      </c>
      <c r="J820" s="3" t="str">
        <f>HYPERLINK("tel:+911294241500", "+911294241500")</f>
        <v>+911294241500</v>
      </c>
      <c r="K820" s="5" t="str">
        <f>HYPERLINK("mailto:info@dpsfsis.com", "info@dpsfsis.com")</f>
        <v>info@dpsfsis.com</v>
      </c>
      <c r="L820" s="6" t="s">
        <v>1801</v>
      </c>
    </row>
    <row r="821" ht="15.75" customHeight="1">
      <c r="A821" s="3">
        <v>824.0</v>
      </c>
      <c r="B821" s="3" t="s">
        <v>4715</v>
      </c>
      <c r="C821" s="3" t="s">
        <v>4716</v>
      </c>
      <c r="D821" s="3" t="s">
        <v>4717</v>
      </c>
      <c r="E821" s="3" t="s">
        <v>4718</v>
      </c>
      <c r="F821" s="3" t="s">
        <v>4719</v>
      </c>
      <c r="G821" s="3" t="s">
        <v>182</v>
      </c>
      <c r="H821" s="4" t="str">
        <f>HYPERLINK("https://schools.org.in/srinagar/01030100927/govt-girls-higher-secondary-kothibagh.html", "https://schools.org.in/srinagar/01030100927/govt-girls-higher-secondary-kothibagh.html")</f>
        <v>https://schools.org.in/srinagar/01030100927/govt-girls-higher-secondary-kothibagh.html</v>
      </c>
      <c r="I821" s="3" t="s">
        <v>4720</v>
      </c>
      <c r="J821" s="3" t="str">
        <f>HYPERLINK("tel:+911942452182", "+911942452182")</f>
        <v>+911942452182</v>
      </c>
      <c r="K821" s="5" t="str">
        <f t="shared" ref="K821:K823" si="77">HYPERLINK("mailto:nan", "nan")</f>
        <v>nan</v>
      </c>
      <c r="L821" s="6" t="s">
        <v>4721</v>
      </c>
    </row>
    <row r="822" ht="15.75" customHeight="1">
      <c r="A822" s="3">
        <v>825.0</v>
      </c>
      <c r="B822" s="3" t="s">
        <v>4722</v>
      </c>
      <c r="C822" s="3" t="s">
        <v>4723</v>
      </c>
      <c r="D822" s="3" t="s">
        <v>4724</v>
      </c>
      <c r="E822" s="3" t="s">
        <v>4725</v>
      </c>
      <c r="F822" s="3" t="s">
        <v>4726</v>
      </c>
      <c r="G822" s="3" t="s">
        <v>31</v>
      </c>
      <c r="H822" s="4" t="str">
        <f>HYPERLINK("https://tumkur.kvs.ac.in/en/", "https://tumkur.kvs.ac.in/en/")</f>
        <v>https://tumkur.kvs.ac.in/en/</v>
      </c>
      <c r="I822" s="3" t="s">
        <v>93</v>
      </c>
      <c r="J822" s="3" t="str">
        <f>HYPERLINK("tel:+918162959066", "+918162959066")</f>
        <v>+918162959066</v>
      </c>
      <c r="K822" s="5" t="str">
        <f t="shared" si="77"/>
        <v>nan</v>
      </c>
      <c r="L822" s="6" t="s">
        <v>4727</v>
      </c>
    </row>
    <row r="823" ht="15.75" customHeight="1">
      <c r="A823" s="3">
        <v>826.0</v>
      </c>
      <c r="B823" s="3" t="s">
        <v>4728</v>
      </c>
      <c r="C823" s="3" t="s">
        <v>4729</v>
      </c>
      <c r="D823" s="3" t="s">
        <v>4730</v>
      </c>
      <c r="E823" s="3" t="s">
        <v>4731</v>
      </c>
      <c r="F823" s="3" t="s">
        <v>4732</v>
      </c>
      <c r="G823" s="3" t="s">
        <v>58</v>
      </c>
      <c r="H823" s="4" t="str">
        <f>HYPERLINK("https://schools.org.in/wayanad/32030101513/gups-nalloornadu.html", "https://schools.org.in/wayanad/32030101513/gups-nalloornadu.html")</f>
        <v>https://schools.org.in/wayanad/32030101513/gups-nalloornadu.html</v>
      </c>
      <c r="I823" s="3" t="s">
        <v>4733</v>
      </c>
      <c r="J823" s="3" t="str">
        <f>HYPERLINK("tel:+913451631652", "+913451631652")</f>
        <v>+913451631652</v>
      </c>
      <c r="K823" s="5" t="str">
        <f t="shared" si="77"/>
        <v>nan</v>
      </c>
      <c r="L823" s="6" t="s">
        <v>4734</v>
      </c>
    </row>
    <row r="824" ht="15.75" customHeight="1">
      <c r="A824" s="3">
        <v>827.0</v>
      </c>
      <c r="B824" s="3" t="s">
        <v>4735</v>
      </c>
      <c r="C824" s="3" t="s">
        <v>4736</v>
      </c>
      <c r="D824" s="3" t="s">
        <v>4737</v>
      </c>
      <c r="E824" s="3" t="s">
        <v>4738</v>
      </c>
      <c r="F824" s="3" t="s">
        <v>4739</v>
      </c>
      <c r="G824" s="3" t="s">
        <v>58</v>
      </c>
      <c r="H824" s="4" t="str">
        <f>HYPERLINK("https://www.justdial.com/Kannur/Jayasree-Higher-Secondary-School-Kalluvayal/9999PX497-X497-241213214345-X7R3_BZDET", "https://www.justdial.com/Kannur/Jayasree-Higher-Secondary-School-Kalluvayal/9999PX497-X497-241213214345-X7R3_BZDET")</f>
        <v>https://www.justdial.com/Kannur/Jayasree-Higher-Secondary-School-Kalluvayal/9999PX497-X497-241213214345-X7R3_BZDET</v>
      </c>
      <c r="J824" s="3" t="str">
        <f>HYPERLINK("tel:+914936243630", "+914936243630")</f>
        <v>+914936243630</v>
      </c>
      <c r="K824" s="5" t="str">
        <f>HYPERLINK("mailto:jayasreehss@gmail.com", "jayasreehss@gmail.com")</f>
        <v>jayasreehss@gmail.com</v>
      </c>
      <c r="L824" s="6"/>
    </row>
    <row r="825" ht="15.75" customHeight="1">
      <c r="A825" s="3">
        <v>828.0</v>
      </c>
      <c r="B825" s="3" t="s">
        <v>4740</v>
      </c>
      <c r="C825" s="3" t="s">
        <v>4741</v>
      </c>
      <c r="D825" s="3" t="s">
        <v>4742</v>
      </c>
      <c r="E825" s="3" t="s">
        <v>4743</v>
      </c>
      <c r="F825" s="3" t="s">
        <v>4744</v>
      </c>
      <c r="G825" s="3" t="s">
        <v>58</v>
      </c>
      <c r="H825" s="4" t="str">
        <f>HYPERLINK("https://nshssnedumudy.com/", "https://nshssnedumudy.com/")</f>
        <v>https://nshssnedumudy.com/</v>
      </c>
      <c r="I825" s="3" t="s">
        <v>4745</v>
      </c>
      <c r="J825" s="3" t="str">
        <f>HYPERLINK("tel:+914712325106", "+914712325106")</f>
        <v>+914712325106</v>
      </c>
      <c r="K825" s="5" t="str">
        <f>HYPERLINK("mailto:dirdhse.dge@kerala.gov.in", "dirdhse.dge@kerala.gov.in")</f>
        <v>dirdhse.dge@kerala.gov.in</v>
      </c>
      <c r="L825" s="6" t="s">
        <v>4746</v>
      </c>
    </row>
    <row r="826" ht="15.75" customHeight="1">
      <c r="A826" s="3">
        <v>829.0</v>
      </c>
      <c r="B826" s="3" t="s">
        <v>4747</v>
      </c>
      <c r="C826" s="3" t="s">
        <v>4748</v>
      </c>
      <c r="D826" s="3" t="s">
        <v>4749</v>
      </c>
      <c r="E826" s="3" t="s">
        <v>4750</v>
      </c>
      <c r="F826" s="3" t="s">
        <v>4751</v>
      </c>
      <c r="G826" s="3" t="s">
        <v>58</v>
      </c>
      <c r="H826" s="4" t="str">
        <f>HYPERLINK("https://stdominicspkd.com/", "https://stdominicspkd.com/")</f>
        <v>https://stdominicspkd.com/</v>
      </c>
      <c r="I826" s="3" t="s">
        <v>846</v>
      </c>
      <c r="J826" s="3" t="str">
        <f>HYPERLINK("tel:+911303322587", "+911303322587")</f>
        <v>+911303322587</v>
      </c>
      <c r="K826" s="5" t="str">
        <f t="shared" ref="K826:K828" si="78">HYPERLINK("mailto:nan", "nan")</f>
        <v>nan</v>
      </c>
      <c r="L826" s="6" t="s">
        <v>4752</v>
      </c>
    </row>
    <row r="827" ht="15.75" customHeight="1">
      <c r="A827" s="3">
        <v>830.0</v>
      </c>
      <c r="B827" s="3" t="s">
        <v>4753</v>
      </c>
      <c r="C827" s="3" t="s">
        <v>4754</v>
      </c>
      <c r="D827" s="3" t="s">
        <v>4755</v>
      </c>
      <c r="E827" s="3" t="s">
        <v>4756</v>
      </c>
      <c r="F827" s="3" t="s">
        <v>4757</v>
      </c>
      <c r="G827" s="3" t="s">
        <v>58</v>
      </c>
      <c r="H827" s="4" t="str">
        <f>HYPERLINK("https://schools.org.in/thrissur/32071300109/lfghs-chelakkara.html", "https://schools.org.in/thrissur/32071300109/lfghs-chelakkara.html")</f>
        <v>https://schools.org.in/thrissur/32071300109/lfghs-chelakkara.html</v>
      </c>
      <c r="I827" s="3" t="s">
        <v>4758</v>
      </c>
      <c r="J827" s="3" t="str">
        <f>HYPERLINK("tel:+912334676471", "+912334676471")</f>
        <v>+912334676471</v>
      </c>
      <c r="K827" s="5" t="str">
        <f t="shared" si="78"/>
        <v>nan</v>
      </c>
      <c r="L827" s="6" t="s">
        <v>4759</v>
      </c>
    </row>
    <row r="828" ht="15.75" customHeight="1">
      <c r="A828" s="3">
        <v>831.0</v>
      </c>
      <c r="B828" s="3" t="s">
        <v>4760</v>
      </c>
      <c r="C828" s="3" t="s">
        <v>4761</v>
      </c>
      <c r="D828" s="3" t="s">
        <v>4762</v>
      </c>
      <c r="E828" s="3" t="s">
        <v>4763</v>
      </c>
      <c r="F828" s="3" t="s">
        <v>4764</v>
      </c>
      <c r="G828" s="3" t="s">
        <v>58</v>
      </c>
      <c r="H828" s="4" t="str">
        <f>HYPERLINK("https://schools.org.in/kozhikode/32041001510/brindavanam-aups.html", "https://schools.org.in/kozhikode/32041001510/brindavanam-aups.html")</f>
        <v>https://schools.org.in/kozhikode/32041001510/brindavanam-aups.html</v>
      </c>
      <c r="I828" s="3" t="s">
        <v>4765</v>
      </c>
      <c r="J828" s="3" t="str">
        <f>HYPERLINK("tel:nan", "nan")</f>
        <v>nan</v>
      </c>
      <c r="K828" s="5" t="str">
        <f t="shared" si="78"/>
        <v>nan</v>
      </c>
      <c r="L828" s="6" t="s">
        <v>4766</v>
      </c>
    </row>
    <row r="829" ht="15.75" customHeight="1">
      <c r="A829" s="3">
        <v>832.0</v>
      </c>
      <c r="B829" s="3" t="s">
        <v>4767</v>
      </c>
      <c r="C829" s="3" t="s">
        <v>4768</v>
      </c>
      <c r="D829" s="3" t="s">
        <v>4769</v>
      </c>
      <c r="E829" s="3" t="s">
        <v>4770</v>
      </c>
      <c r="F829" s="3" t="s">
        <v>4771</v>
      </c>
      <c r="G829" s="3" t="s">
        <v>58</v>
      </c>
      <c r="H829" s="4" t="str">
        <f>HYPERLINK("https://schools.org.in/kottayam/32100100607/st-joseph-g-h-s-paippadu.html", "https://schools.org.in/kottayam/32100100607/st-joseph-g-h-s-paippadu.html")</f>
        <v>https://schools.org.in/kottayam/32100100607/st-joseph-g-h-s-paippadu.html</v>
      </c>
      <c r="I829" s="3" t="s">
        <v>4772</v>
      </c>
      <c r="J829" s="3" t="str">
        <f>HYPERLINK("tel:+914712471720", "+914712471720")</f>
        <v>+914712471720</v>
      </c>
      <c r="K829" s="5" t="str">
        <f>HYPERLINK("mailto:stjosephshss@gmail.com", "stjosephshss@gmail.com")</f>
        <v>stjosephshss@gmail.com</v>
      </c>
      <c r="L829" s="6" t="s">
        <v>4773</v>
      </c>
    </row>
    <row r="830" ht="15.75" customHeight="1">
      <c r="A830" s="3">
        <v>833.0</v>
      </c>
      <c r="B830" s="3" t="s">
        <v>4774</v>
      </c>
      <c r="C830" s="3" t="s">
        <v>4775</v>
      </c>
      <c r="D830" s="3" t="s">
        <v>4776</v>
      </c>
      <c r="E830" s="3" t="s">
        <v>4777</v>
      </c>
      <c r="F830" s="3" t="s">
        <v>4778</v>
      </c>
      <c r="G830" s="3" t="s">
        <v>58</v>
      </c>
      <c r="H830" s="4" t="str">
        <f>HYPERLINK("https://schools.org.in/palakkad/32060500506/vrcmups-vallengy.html", "https://schools.org.in/palakkad/32060500506/vrcmups-vallengy.html")</f>
        <v>https://schools.org.in/palakkad/32060500506/vrcmups-vallengy.html</v>
      </c>
      <c r="I830" s="3" t="s">
        <v>4779</v>
      </c>
      <c r="J830" s="3" t="str">
        <f>HYPERLINK("tel:+914712300121", "+914712300121")</f>
        <v>+914712300121</v>
      </c>
      <c r="K830" s="5" t="str">
        <f>HYPERLINK("mailto:ceo_kerala@eci.gov.in", "ceo_kerala@eci.gov.in")</f>
        <v>ceo_kerala@eci.gov.in</v>
      </c>
      <c r="L830" s="6" t="s">
        <v>4780</v>
      </c>
    </row>
    <row r="831" ht="15.75" customHeight="1">
      <c r="A831" s="3">
        <v>834.0</v>
      </c>
      <c r="B831" s="3" t="s">
        <v>4781</v>
      </c>
      <c r="C831" s="3" t="s">
        <v>4782</v>
      </c>
      <c r="D831" s="3" t="s">
        <v>4783</v>
      </c>
      <c r="E831" s="3" t="s">
        <v>4784</v>
      </c>
      <c r="F831" s="3" t="s">
        <v>4785</v>
      </c>
      <c r="G831" s="3" t="s">
        <v>58</v>
      </c>
      <c r="H831" s="4" t="str">
        <f>HYPERLINK("https://www.vhseportal.kerala.gov.in/public/idwl/566/11/11/N/2", "https://www.vhseportal.kerala.gov.in/public/idwl/566/11/11/N/2")</f>
        <v>https://www.vhseportal.kerala.gov.in/public/idwl/566/11/11/N/2</v>
      </c>
      <c r="J831" s="3" t="str">
        <f>HYPERLINK("tel:+914802887358", "+914802887358")</f>
        <v>+914802887358</v>
      </c>
      <c r="K831" s="5" t="str">
        <f>HYPERLINK("mailto:dirvhse.dge@kerala.gov.in", "dirvhse.dge@kerala.gov.in")</f>
        <v>dirvhse.dge@kerala.gov.in</v>
      </c>
      <c r="L831" s="6"/>
    </row>
    <row r="832" ht="15.75" customHeight="1">
      <c r="A832" s="3">
        <v>835.0</v>
      </c>
      <c r="B832" s="3" t="s">
        <v>4786</v>
      </c>
      <c r="C832" s="3" t="s">
        <v>4787</v>
      </c>
      <c r="D832" s="3" t="s">
        <v>4788</v>
      </c>
      <c r="E832" s="3" t="s">
        <v>4789</v>
      </c>
      <c r="F832" s="3" t="s">
        <v>4790</v>
      </c>
      <c r="G832" s="3" t="s">
        <v>1722</v>
      </c>
      <c r="H832" s="4" t="str">
        <f>HYPERLINK("https://www.facebook.com/estd1975/", "https://www.facebook.com/estd1975/")</f>
        <v>https://www.facebook.com/estd1975/</v>
      </c>
      <c r="I832" s="3" t="s">
        <v>4791</v>
      </c>
      <c r="J832" s="3" t="str">
        <f>HYPERLINK("tel:+919564927001", "+919564927001")</f>
        <v>+919564927001</v>
      </c>
      <c r="K832" s="5" t="str">
        <f>HYPERLINK("mailto:dit-sik@nic.in", "dit-sik@nic.in")</f>
        <v>dit-sik@nic.in</v>
      </c>
      <c r="L832" s="6" t="s">
        <v>4792</v>
      </c>
    </row>
    <row r="833" ht="15.75" customHeight="1">
      <c r="A833" s="3">
        <v>836.0</v>
      </c>
      <c r="B833" s="3" t="s">
        <v>4793</v>
      </c>
      <c r="C833" s="3" t="s">
        <v>4794</v>
      </c>
      <c r="D833" s="3" t="s">
        <v>4795</v>
      </c>
      <c r="E833" s="3" t="s">
        <v>4796</v>
      </c>
      <c r="F833" s="3" t="s">
        <v>4797</v>
      </c>
      <c r="G833" s="3" t="s">
        <v>17</v>
      </c>
      <c r="H833" s="4" t="str">
        <f>HYPERLINK("https://schools.org.in/tirunelveli/33290900907/govt-hss-vadakku-chlianaloor.html", "https://schools.org.in/tirunelveli/33290900907/govt-hss-vadakku-chlianaloor.html")</f>
        <v>https://schools.org.in/tirunelveli/33290900907/govt-hss-vadakku-chlianaloor.html</v>
      </c>
      <c r="I833" s="3" t="s">
        <v>4798</v>
      </c>
      <c r="J833" s="3" t="str">
        <f t="shared" ref="J833:J834" si="79">HYPERLINK("tel:nan", "nan")</f>
        <v>nan</v>
      </c>
      <c r="K833" s="5" t="str">
        <f t="shared" ref="K833:K834" si="80">HYPERLINK("mailto:nan", "nan")</f>
        <v>nan</v>
      </c>
      <c r="L833" s="6" t="s">
        <v>4799</v>
      </c>
    </row>
    <row r="834" ht="15.75" customHeight="1">
      <c r="A834" s="3">
        <v>837.0</v>
      </c>
      <c r="B834" s="3" t="s">
        <v>4800</v>
      </c>
      <c r="C834" s="3" t="s">
        <v>4801</v>
      </c>
      <c r="D834" s="3" t="s">
        <v>4802</v>
      </c>
      <c r="E834" s="3" t="s">
        <v>4803</v>
      </c>
      <c r="F834" s="3" t="s">
        <v>4804</v>
      </c>
      <c r="G834" s="3" t="s">
        <v>272</v>
      </c>
      <c r="H834" s="4" t="str">
        <f>HYPERLINK("https://schools.org.in/anantapur/28221000904/zphs-cheemalavagu-palli.html", "https://schools.org.in/anantapur/28221000904/zphs-cheemalavagu-palli.html")</f>
        <v>https://schools.org.in/anantapur/28221000904/zphs-cheemalavagu-palli.html</v>
      </c>
      <c r="I834" s="3" t="s">
        <v>4805</v>
      </c>
      <c r="J834" s="3" t="str">
        <f t="shared" si="79"/>
        <v>nan</v>
      </c>
      <c r="K834" s="5" t="str">
        <f t="shared" si="80"/>
        <v>nan</v>
      </c>
      <c r="L834" s="6" t="s">
        <v>4806</v>
      </c>
    </row>
    <row r="835" ht="15.75" customHeight="1">
      <c r="A835" s="3">
        <v>838.0</v>
      </c>
      <c r="B835" s="3" t="s">
        <v>4807</v>
      </c>
      <c r="C835" s="3" t="s">
        <v>4808</v>
      </c>
      <c r="D835" s="3" t="s">
        <v>4809</v>
      </c>
      <c r="E835" s="3" t="s">
        <v>4810</v>
      </c>
      <c r="F835" s="3" t="s">
        <v>4811</v>
      </c>
      <c r="G835" s="3" t="s">
        <v>272</v>
      </c>
      <c r="H835" s="4" t="str">
        <f>HYPERLINK("https://schools.org.in/prakasam/28184100503/zphs-chennipadu.html", "https://schools.org.in/prakasam/28184100503/zphs-chennipadu.html")</f>
        <v>https://schools.org.in/prakasam/28184100503/zphs-chennipadu.html</v>
      </c>
      <c r="I835" s="3" t="s">
        <v>4812</v>
      </c>
      <c r="J835" s="3" t="str">
        <f>HYPERLINK("tel:+918562244676", "+918562244676")</f>
        <v>+918562244676</v>
      </c>
      <c r="K835" s="5" t="str">
        <f>HYPERLINK("mailto:dro_kdp@yahoo.com", "dro_kdp@yahoo.com")</f>
        <v>dro_kdp@yahoo.com</v>
      </c>
      <c r="L835" s="6" t="s">
        <v>4813</v>
      </c>
    </row>
    <row r="836" ht="15.75" customHeight="1">
      <c r="A836" s="3">
        <v>839.0</v>
      </c>
      <c r="B836" s="3" t="s">
        <v>4814</v>
      </c>
      <c r="C836" s="3" t="s">
        <v>4815</v>
      </c>
      <c r="D836" s="3" t="s">
        <v>4816</v>
      </c>
      <c r="E836" s="3" t="s">
        <v>4817</v>
      </c>
      <c r="F836" s="3" t="s">
        <v>4818</v>
      </c>
      <c r="G836" s="3" t="s">
        <v>182</v>
      </c>
      <c r="H836" s="4" t="str">
        <f>HYPERLINK("https://www.facebook.com/nmbhss.bandipore/", "https://www.facebook.com/nmbhss.bandipore/")</f>
        <v>https://www.facebook.com/nmbhss.bandipore/</v>
      </c>
      <c r="J836" s="3" t="str">
        <f>HYPERLINK("tel:nan", "nan")</f>
        <v>nan</v>
      </c>
      <c r="K836" s="5" t="str">
        <f>HYPERLINK("mailto:nan", "nan")</f>
        <v>nan</v>
      </c>
      <c r="L836" s="6"/>
    </row>
    <row r="837" ht="15.75" customHeight="1">
      <c r="A837" s="3">
        <v>840.0</v>
      </c>
      <c r="B837" s="3" t="s">
        <v>4819</v>
      </c>
      <c r="C837" s="3" t="s">
        <v>4820</v>
      </c>
      <c r="D837" s="3" t="s">
        <v>4821</v>
      </c>
      <c r="E837" s="3" t="s">
        <v>4822</v>
      </c>
      <c r="F837" s="3" t="s">
        <v>4823</v>
      </c>
      <c r="G837" s="3" t="s">
        <v>31</v>
      </c>
      <c r="H837" s="4" t="str">
        <f>HYPERLINK("https://schools.org.in/kodagu/29250303704/gov-high-school-kondangeri.html", "https://schools.org.in/kodagu/29250303704/gov-high-school-kondangeri.html")</f>
        <v>https://schools.org.in/kodagu/29250303704/gov-high-school-kondangeri.html</v>
      </c>
      <c r="I837" s="3" t="s">
        <v>4824</v>
      </c>
      <c r="J837" s="3" t="str">
        <f>HYPERLINK("tel:+918272263634", "+918272263634")</f>
        <v>+918272263634</v>
      </c>
      <c r="K837" s="5" t="str">
        <f>HYPERLINK("mailto:ankurschool9@gmail.com", "ankurschool9@gmail.com")</f>
        <v>ankurschool9@gmail.com</v>
      </c>
      <c r="L837" s="6" t="s">
        <v>4825</v>
      </c>
    </row>
    <row r="838" ht="15.75" customHeight="1">
      <c r="A838" s="3">
        <v>841.0</v>
      </c>
      <c r="B838" s="3" t="s">
        <v>4826</v>
      </c>
      <c r="C838" s="3" t="s">
        <v>4827</v>
      </c>
      <c r="D838" s="3" t="s">
        <v>4828</v>
      </c>
      <c r="E838" s="3" t="s">
        <v>4829</v>
      </c>
      <c r="F838" s="3" t="s">
        <v>4830</v>
      </c>
      <c r="G838" s="3" t="s">
        <v>58</v>
      </c>
      <c r="H838" s="4" t="str">
        <f>HYPERLINK("https://schools.org.in/wayanad/32030300601/ghss-padinjarathara.html", "https://schools.org.in/wayanad/32030300601/ghss-padinjarathara.html")</f>
        <v>https://schools.org.in/wayanad/32030300601/ghss-padinjarathara.html</v>
      </c>
      <c r="I838" s="3" t="s">
        <v>4831</v>
      </c>
      <c r="J838" s="3" t="str">
        <f>HYPERLINK("tel:+914712325106", "+914712325106")</f>
        <v>+914712325106</v>
      </c>
      <c r="K838" s="5" t="str">
        <f>HYPERLINK("mailto:dirdhse.dge@kerala.gov.in", "dirdhse.dge@kerala.gov.in")</f>
        <v>dirdhse.dge@kerala.gov.in</v>
      </c>
      <c r="L838" s="6" t="s">
        <v>4832</v>
      </c>
    </row>
    <row r="839" ht="15.75" customHeight="1">
      <c r="A839" s="3">
        <v>842.0</v>
      </c>
      <c r="B839" s="3" t="s">
        <v>4833</v>
      </c>
      <c r="C839" s="3" t="s">
        <v>4834</v>
      </c>
      <c r="D839" s="3" t="s">
        <v>4835</v>
      </c>
      <c r="E839" s="3" t="s">
        <v>4836</v>
      </c>
      <c r="F839" s="3" t="s">
        <v>4837</v>
      </c>
      <c r="G839" s="3" t="s">
        <v>58</v>
      </c>
      <c r="H839" s="4" t="str">
        <f>HYPERLINK("https://dhs.kerala.gov.in/en/dhs/", "https://dhs.kerala.gov.in/en/dhs/")</f>
        <v>https://dhs.kerala.gov.in/en/dhs/</v>
      </c>
      <c r="I839" s="3" t="s">
        <v>4838</v>
      </c>
      <c r="J839" s="3" t="str">
        <f>HYPERLINK("tel:+914712552056", "+914712552056")</f>
        <v>+914712552056</v>
      </c>
      <c r="K839" s="5" t="str">
        <f>HYPERLINK("mailto:artsurrogacy@kerala.gov.in", "artsurrogacy@kerala.gov.in")</f>
        <v>artsurrogacy@kerala.gov.in</v>
      </c>
      <c r="L839" s="6" t="s">
        <v>4839</v>
      </c>
    </row>
    <row r="840" ht="15.75" customHeight="1">
      <c r="A840" s="3">
        <v>843.0</v>
      </c>
      <c r="B840" s="3" t="s">
        <v>4840</v>
      </c>
      <c r="C840" s="3" t="s">
        <v>1506</v>
      </c>
      <c r="D840" s="3" t="s">
        <v>4841</v>
      </c>
      <c r="E840" s="3" t="s">
        <v>4842</v>
      </c>
      <c r="F840" s="3" t="s">
        <v>114</v>
      </c>
      <c r="G840" s="3" t="s">
        <v>115</v>
      </c>
      <c r="H840" s="4" t="str">
        <f>HYPERLINK("https://www.spssn.ac.in/sagar-public-school", "https://www.spssn.ac.in/sagar-public-school")</f>
        <v>https://www.spssn.ac.in/sagar-public-school</v>
      </c>
      <c r="I840" s="3" t="s">
        <v>116</v>
      </c>
      <c r="J840" s="3" t="str">
        <f>HYPERLINK("tel:+917553523719", "+917553523719")</f>
        <v>+917553523719</v>
      </c>
      <c r="K840" s="5" t="str">
        <f>HYPERLINK("mailto:spssn@spsbhopal.ac.in", "spssn@spsbhopal.ac.in")</f>
        <v>spssn@spsbhopal.ac.in</v>
      </c>
      <c r="L840" s="6" t="s">
        <v>117</v>
      </c>
    </row>
    <row r="841" ht="15.75" customHeight="1">
      <c r="A841" s="3">
        <v>844.0</v>
      </c>
      <c r="B841" s="3" t="s">
        <v>4843</v>
      </c>
      <c r="C841" s="3" t="s">
        <v>4248</v>
      </c>
      <c r="D841" s="3" t="s">
        <v>4844</v>
      </c>
      <c r="E841" s="3" t="s">
        <v>4845</v>
      </c>
      <c r="F841" s="3" t="s">
        <v>4251</v>
      </c>
      <c r="G841" s="3" t="s">
        <v>115</v>
      </c>
      <c r="H841" s="4" t="str">
        <f>HYPERLINK("https://sanmatischool.org/", "https://sanmatischool.org/")</f>
        <v>https://sanmatischool.org/</v>
      </c>
      <c r="I841" s="3" t="s">
        <v>4252</v>
      </c>
      <c r="J841" s="3" t="str">
        <f>HYPERLINK("tel:+917313540000", "+917313540000")</f>
        <v>+917313540000</v>
      </c>
      <c r="K841" s="5" t="str">
        <f>HYPERLINK("mailto:mail.sanmatischool@gmail.com", "mail.sanmatischool@gmail.com")</f>
        <v>mail.sanmatischool@gmail.com</v>
      </c>
      <c r="L841" s="6" t="s">
        <v>4253</v>
      </c>
    </row>
    <row r="842" ht="15.75" customHeight="1">
      <c r="A842" s="3">
        <v>845.0</v>
      </c>
      <c r="B842" s="3" t="s">
        <v>4846</v>
      </c>
      <c r="C842" s="3" t="s">
        <v>4847</v>
      </c>
      <c r="D842" s="3" t="s">
        <v>4848</v>
      </c>
      <c r="E842" s="3" t="s">
        <v>4849</v>
      </c>
      <c r="F842" s="3" t="s">
        <v>1103</v>
      </c>
      <c r="G842" s="3" t="s">
        <v>115</v>
      </c>
      <c r="H842" s="4" t="str">
        <f>HYPERLINK("https://www.navodaya.gov.in/nvs/nvs-school/INDORE/en/home", "https://www.navodaya.gov.in/nvs/nvs-school/INDORE/en/home")</f>
        <v>https://www.navodaya.gov.in/nvs/nvs-school/INDORE/en/home</v>
      </c>
      <c r="I842" s="3" t="s">
        <v>4850</v>
      </c>
      <c r="J842" s="3" t="str">
        <f>HYPERLINK("tel:+917999913639", "+917999913639")</f>
        <v>+917999913639</v>
      </c>
      <c r="K842" s="5" t="str">
        <f>HYPERLINK("mailto:ithelpdesk.nvs@gmail.com", "ithelpdesk.nvs@gmail.com")</f>
        <v>ithelpdesk.nvs@gmail.com</v>
      </c>
      <c r="L842" s="6" t="s">
        <v>4851</v>
      </c>
    </row>
    <row r="843" ht="15.75" customHeight="1">
      <c r="A843" s="3">
        <v>846.0</v>
      </c>
      <c r="B843" s="3" t="s">
        <v>4852</v>
      </c>
      <c r="C843" s="3" t="s">
        <v>2357</v>
      </c>
      <c r="D843" s="3" t="s">
        <v>4853</v>
      </c>
      <c r="E843" s="3" t="s">
        <v>4854</v>
      </c>
      <c r="F843" s="3" t="s">
        <v>2360</v>
      </c>
      <c r="G843" s="3" t="s">
        <v>38</v>
      </c>
      <c r="H843" s="4" t="str">
        <f>HYPERLINK("https://ves.ac.in/vehs/", "https://ves.ac.in/vehs/")</f>
        <v>https://ves.ac.in/vehs/</v>
      </c>
      <c r="J843" s="3" t="str">
        <f>HYPERLINK("tel:+918591983696", "+918591983696")</f>
        <v>+918591983696</v>
      </c>
      <c r="K843" s="5" t="str">
        <f>HYPERLINK("mailto:veshsk.jsm@ves.ac.in", "veshsk.jsm@ves.ac.in")</f>
        <v>veshsk.jsm@ves.ac.in</v>
      </c>
      <c r="L843" s="6" t="s">
        <v>2361</v>
      </c>
    </row>
    <row r="844" ht="15.75" customHeight="1">
      <c r="A844" s="3">
        <v>847.0</v>
      </c>
      <c r="B844" s="3" t="s">
        <v>4855</v>
      </c>
      <c r="C844" s="3" t="s">
        <v>4856</v>
      </c>
      <c r="D844" s="3" t="s">
        <v>4857</v>
      </c>
      <c r="E844" s="3" t="s">
        <v>4858</v>
      </c>
      <c r="F844" s="3" t="s">
        <v>4859</v>
      </c>
      <c r="G844" s="3" t="s">
        <v>38</v>
      </c>
      <c r="H844" s="4" t="str">
        <f>HYPERLINK("https://schools.org.in/pune/27250509221/krushnaji-khanduji-ghule-vidyalaya.html", "https://schools.org.in/pune/27250509221/krushnaji-khanduji-ghule-vidyalaya.html")</f>
        <v>https://schools.org.in/pune/27250509221/krushnaji-khanduji-ghule-vidyalaya.html</v>
      </c>
      <c r="I844" s="3" t="s">
        <v>4860</v>
      </c>
      <c r="J844" s="3" t="str">
        <f>HYPERLINK("tel:+919560764447", "+919560764447")</f>
        <v>+919560764447</v>
      </c>
      <c r="K844" s="5" t="str">
        <f t="shared" ref="K844:K845" si="81">HYPERLINK("mailto:nan", "nan")</f>
        <v>nan</v>
      </c>
      <c r="L844" s="6" t="s">
        <v>4861</v>
      </c>
    </row>
    <row r="845" ht="15.75" customHeight="1">
      <c r="A845" s="3">
        <v>848.0</v>
      </c>
      <c r="B845" s="3" t="s">
        <v>4862</v>
      </c>
      <c r="C845" s="3" t="s">
        <v>4863</v>
      </c>
      <c r="D845" s="3" t="s">
        <v>4864</v>
      </c>
      <c r="E845" s="3" t="s">
        <v>4865</v>
      </c>
      <c r="F845" s="3" t="s">
        <v>4866</v>
      </c>
      <c r="G845" s="3" t="s">
        <v>138</v>
      </c>
      <c r="H845" s="4" t="str">
        <f>HYPERLINK("https://www.gnws.edu.in/", "https://www.gnws.edu.in/")</f>
        <v>https://www.gnws.edu.in/</v>
      </c>
      <c r="J845" s="3" t="str">
        <f>HYPERLINK("tel:nan", "nan")</f>
        <v>nan</v>
      </c>
      <c r="K845" s="5" t="str">
        <f t="shared" si="81"/>
        <v>nan</v>
      </c>
      <c r="L845" s="6"/>
    </row>
    <row r="846" ht="15.75" customHeight="1">
      <c r="A846" s="3">
        <v>849.0</v>
      </c>
      <c r="B846" s="3" t="s">
        <v>4867</v>
      </c>
      <c r="C846" s="3" t="s">
        <v>4868</v>
      </c>
      <c r="D846" s="3" t="s">
        <v>4869</v>
      </c>
      <c r="E846" s="3" t="s">
        <v>4870</v>
      </c>
      <c r="F846" s="3" t="s">
        <v>4871</v>
      </c>
      <c r="G846" s="3" t="s">
        <v>272</v>
      </c>
      <c r="H846" s="4" t="str">
        <f>HYPERLINK("https://schools.org.in/guntur/28171500104/zphs-bhrugubanda.html", "https://schools.org.in/guntur/28171500104/zphs-bhrugubanda.html")</f>
        <v>https://schools.org.in/guntur/28171500104/zphs-bhrugubanda.html</v>
      </c>
      <c r="I846" s="3" t="s">
        <v>4872</v>
      </c>
      <c r="J846" s="3" t="str">
        <f>HYPERLINK("tel:+919894997818", "+919894997818")</f>
        <v>+919894997818</v>
      </c>
      <c r="K846" s="5" t="str">
        <f>HYPERLINK("mailto:support@campuspro.co.in", "support@campuspro.co.in")</f>
        <v>support@campuspro.co.in</v>
      </c>
      <c r="L846" s="6" t="s">
        <v>4873</v>
      </c>
    </row>
    <row r="847" ht="15.75" customHeight="1">
      <c r="A847" s="3">
        <v>850.0</v>
      </c>
      <c r="B847" s="3" t="s">
        <v>4874</v>
      </c>
      <c r="C847" s="3" t="s">
        <v>4875</v>
      </c>
      <c r="D847" s="3" t="s">
        <v>4876</v>
      </c>
      <c r="E847" s="3" t="s">
        <v>4877</v>
      </c>
      <c r="F847" s="3" t="s">
        <v>4878</v>
      </c>
      <c r="G847" s="3" t="s">
        <v>2350</v>
      </c>
      <c r="H847" s="4" t="str">
        <f>HYPERLINK("https://www.vkvapt.org/", "https://www.vkvapt.org/")</f>
        <v>https://www.vkvapt.org/</v>
      </c>
      <c r="I847" s="3" t="s">
        <v>4879</v>
      </c>
      <c r="J847" s="3" t="str">
        <f>HYPERLINK("tel:+913732324320", "+913732324320")</f>
        <v>+913732324320</v>
      </c>
      <c r="K847" s="5" t="str">
        <f>HYPERLINK("mailto:nan", "nan")</f>
        <v>nan</v>
      </c>
      <c r="L847" s="6" t="s">
        <v>4880</v>
      </c>
    </row>
    <row r="848" ht="15.75" customHeight="1">
      <c r="A848" s="3">
        <v>851.0</v>
      </c>
      <c r="B848" s="3" t="s">
        <v>4881</v>
      </c>
      <c r="C848" s="3" t="s">
        <v>2373</v>
      </c>
      <c r="D848" s="3" t="s">
        <v>4882</v>
      </c>
      <c r="E848" s="3" t="s">
        <v>4883</v>
      </c>
      <c r="F848" s="3" t="s">
        <v>2376</v>
      </c>
      <c r="G848" s="3" t="s">
        <v>175</v>
      </c>
      <c r="H848" s="4" t="str">
        <f>HYPERLINK("https://ongc.barodahighschool.com/", "https://ongc.barodahighschool.com/")</f>
        <v>https://ongc.barodahighschool.com/</v>
      </c>
      <c r="J848" s="3" t="str">
        <f>HYPERLINK("tel:+912652314742", "+912652314742")</f>
        <v>+912652314742</v>
      </c>
      <c r="K848" s="5" t="str">
        <f>HYPERLINK("mailto:bhsongcsec@gmail.com", "bhsongcsec@gmail.com")</f>
        <v>bhsongcsec@gmail.com</v>
      </c>
      <c r="L848" s="6" t="s">
        <v>2377</v>
      </c>
    </row>
    <row r="849" ht="15.75" customHeight="1">
      <c r="A849" s="3">
        <v>852.0</v>
      </c>
      <c r="B849" s="3" t="s">
        <v>4884</v>
      </c>
      <c r="C849" s="3" t="s">
        <v>4885</v>
      </c>
      <c r="D849" s="3" t="s">
        <v>4886</v>
      </c>
      <c r="E849" s="3" t="s">
        <v>4887</v>
      </c>
      <c r="F849" s="3" t="s">
        <v>4888</v>
      </c>
      <c r="G849" s="3" t="s">
        <v>31</v>
      </c>
      <c r="H849" s="4" t="str">
        <f>HYPERLINK("https://schools.org.in/bengaluru-u-north/29280700407/ghs-vidyanagara.html", "https://schools.org.in/bengaluru-u-north/29280700407/ghs-vidyanagara.html")</f>
        <v>https://schools.org.in/bengaluru-u-north/29280700407/ghs-vidyanagara.html</v>
      </c>
      <c r="I849" s="3" t="s">
        <v>4889</v>
      </c>
      <c r="J849" s="3" t="str">
        <f>HYPERLINK("tel:+918394295655", "+918394295655")</f>
        <v>+918394295655</v>
      </c>
      <c r="K849" s="5" t="str">
        <f>HYPERLINK("mailto:pd.webportal@karnataka.gov.in", "pd.webportal@karnataka.gov.in")</f>
        <v>pd.webportal@karnataka.gov.in</v>
      </c>
      <c r="L849" s="6" t="s">
        <v>4890</v>
      </c>
    </row>
    <row r="850" ht="15.75" customHeight="1">
      <c r="A850" s="3">
        <v>853.0</v>
      </c>
      <c r="B850" s="3" t="s">
        <v>4891</v>
      </c>
      <c r="C850" s="3" t="s">
        <v>4892</v>
      </c>
      <c r="D850" s="3" t="s">
        <v>4893</v>
      </c>
      <c r="E850" s="3" t="s">
        <v>4894</v>
      </c>
      <c r="F850" s="3" t="s">
        <v>4895</v>
      </c>
      <c r="G850" s="3" t="s">
        <v>58</v>
      </c>
      <c r="H850" s="4" t="str">
        <f>HYPERLINK("https://schools.org.in/thrissur/32070601005/gkvhss-eriyad.html", "https://schools.org.in/thrissur/32070601005/gkvhss-eriyad.html")</f>
        <v>https://schools.org.in/thrissur/32070601005/gkvhss-eriyad.html</v>
      </c>
      <c r="I850" s="3" t="s">
        <v>4896</v>
      </c>
      <c r="J850" s="3" t="str">
        <f>HYPERLINK("tel:+918547614210", "+918547614210")</f>
        <v>+918547614210</v>
      </c>
      <c r="K850" s="5" t="str">
        <f>HYPERLINK("mailto:votsr.eryd@kerala.gov.in", "votsr.eryd@kerala.gov.in")</f>
        <v>votsr.eryd@kerala.gov.in</v>
      </c>
      <c r="L850" s="6" t="s">
        <v>4897</v>
      </c>
    </row>
    <row r="851" ht="15.75" customHeight="1">
      <c r="A851" s="3">
        <v>854.0</v>
      </c>
      <c r="B851" s="3" t="s">
        <v>4898</v>
      </c>
      <c r="C851" s="3" t="s">
        <v>4899</v>
      </c>
      <c r="D851" s="3" t="s">
        <v>4900</v>
      </c>
      <c r="E851" s="3" t="s">
        <v>4901</v>
      </c>
      <c r="F851" s="3" t="s">
        <v>4902</v>
      </c>
      <c r="G851" s="3" t="s">
        <v>58</v>
      </c>
      <c r="H851" s="4" t="str">
        <f>HYPERLINK("https://nss.org.in/nss-higher-secondary-schools/", "https://nss.org.in/nss-higher-secondary-schools/")</f>
        <v>https://nss.org.in/nss-higher-secondary-schools/</v>
      </c>
      <c r="I851" s="3" t="s">
        <v>4903</v>
      </c>
      <c r="J851" s="3" t="str">
        <f>HYPERLINK("tel:+911295929702", "+911295929702")</f>
        <v>+911295929702</v>
      </c>
      <c r="K851" s="5" t="str">
        <f>HYPERLINK("mailto:nan", "nan")</f>
        <v>nan</v>
      </c>
      <c r="L851" s="6" t="s">
        <v>4904</v>
      </c>
    </row>
    <row r="852" ht="15.75" customHeight="1">
      <c r="A852" s="3">
        <v>855.0</v>
      </c>
      <c r="B852" s="3" t="s">
        <v>4905</v>
      </c>
      <c r="C852" s="3" t="s">
        <v>2112</v>
      </c>
      <c r="D852" s="3" t="s">
        <v>4906</v>
      </c>
      <c r="E852" s="3" t="s">
        <v>4907</v>
      </c>
      <c r="F852" s="3" t="s">
        <v>2115</v>
      </c>
      <c r="G852" s="3" t="s">
        <v>58</v>
      </c>
      <c r="H852" s="4" t="str">
        <f>HYPERLINK("https://kairalividyabhavan.com/", "https://kairalividyabhavan.com/")</f>
        <v>https://kairalividyabhavan.com/</v>
      </c>
      <c r="I852" s="3" t="s">
        <v>349</v>
      </c>
      <c r="J852" s="3" t="str">
        <f>HYPERLINK("tel:+914722813240", "+914722813240")</f>
        <v>+914722813240</v>
      </c>
      <c r="K852" s="5" t="str">
        <f>HYPERLINK("mailto:lekhasantha@gmail.com", "lekhasantha@gmail.com")</f>
        <v>lekhasantha@gmail.com</v>
      </c>
      <c r="L852" s="6" t="s">
        <v>4908</v>
      </c>
    </row>
    <row r="853" ht="15.75" customHeight="1">
      <c r="A853" s="3">
        <v>856.0</v>
      </c>
      <c r="B853" s="3" t="s">
        <v>4909</v>
      </c>
      <c r="C853" s="3" t="s">
        <v>4910</v>
      </c>
      <c r="D853" s="3" t="s">
        <v>4911</v>
      </c>
      <c r="E853" s="3" t="s">
        <v>4912</v>
      </c>
      <c r="F853" s="3" t="s">
        <v>4913</v>
      </c>
      <c r="G853" s="3" t="s">
        <v>58</v>
      </c>
      <c r="H853" s="4" t="str">
        <f>HYPERLINK("https://arafaschool.ac.in/", "https://arafaschool.ac.in/")</f>
        <v>https://arafaschool.ac.in/</v>
      </c>
      <c r="J853" s="3" t="str">
        <f>HYPERLINK("tel:+914884274595", "+914884274595")</f>
        <v>+914884274595</v>
      </c>
      <c r="K853" s="5" t="str">
        <f>HYPERLINK("mailto:arafaschool@gmail.com", "arafaschool@gmail.com")</f>
        <v>arafaschool@gmail.com</v>
      </c>
      <c r="L853" s="6" t="s">
        <v>4914</v>
      </c>
    </row>
    <row r="854" ht="15.75" customHeight="1">
      <c r="A854" s="3">
        <v>857.0</v>
      </c>
      <c r="B854" s="3" t="s">
        <v>4915</v>
      </c>
      <c r="C854" s="3" t="s">
        <v>233</v>
      </c>
      <c r="D854" s="3" t="s">
        <v>4916</v>
      </c>
      <c r="E854" s="3" t="s">
        <v>4917</v>
      </c>
      <c r="F854" s="3" t="s">
        <v>236</v>
      </c>
      <c r="G854" s="3" t="s">
        <v>237</v>
      </c>
      <c r="H854" s="4" t="str">
        <f>HYPERLINK("https://adityacbse.com/", "https://adityacbse.com/")</f>
        <v>https://adityacbse.com/</v>
      </c>
      <c r="I854" s="3" t="s">
        <v>238</v>
      </c>
      <c r="J854" s="3" t="str">
        <f>HYPERLINK("tel:+919514603999", "+919514603999")</f>
        <v>+919514603999</v>
      </c>
      <c r="K854" s="5" t="str">
        <f>HYPERLINK("mailto:info@adityacbse.com", "info@adityacbse.com")</f>
        <v>info@adityacbse.com</v>
      </c>
      <c r="L854" s="6" t="s">
        <v>239</v>
      </c>
    </row>
    <row r="855" ht="15.75" customHeight="1">
      <c r="A855" s="3">
        <v>858.0</v>
      </c>
      <c r="B855" s="3" t="s">
        <v>4918</v>
      </c>
      <c r="C855" s="3" t="s">
        <v>4919</v>
      </c>
      <c r="D855" s="3" t="s">
        <v>4920</v>
      </c>
      <c r="E855" s="3" t="s">
        <v>4921</v>
      </c>
      <c r="F855" s="3" t="s">
        <v>4922</v>
      </c>
      <c r="G855" s="3" t="s">
        <v>17</v>
      </c>
      <c r="H855" s="4" t="str">
        <f>HYPERLINK("https://bavnsathy.ac.in/", "https://bavnsathy.ac.in/")</f>
        <v>https://bavnsathy.ac.in/</v>
      </c>
      <c r="I855" s="3" t="s">
        <v>4923</v>
      </c>
      <c r="J855" s="3" t="str">
        <f>HYPERLINK("tel:+919626293300", "+919626293300")</f>
        <v>+919626293300</v>
      </c>
      <c r="K855" s="5" t="str">
        <f>HYPERLINK("mailto:secretarybavn@bapssathy.ac.in", "secretarybavn@bapssathy.ac.in")</f>
        <v>secretarybavn@bapssathy.ac.in</v>
      </c>
      <c r="L855" s="6" t="s">
        <v>4924</v>
      </c>
    </row>
    <row r="856" ht="15.75" customHeight="1">
      <c r="A856" s="3">
        <v>859.0</v>
      </c>
      <c r="B856" s="3" t="s">
        <v>4925</v>
      </c>
      <c r="C856" s="3" t="s">
        <v>4926</v>
      </c>
      <c r="D856" s="3" t="s">
        <v>4927</v>
      </c>
      <c r="E856" s="3" t="s">
        <v>4928</v>
      </c>
      <c r="F856" s="3" t="s">
        <v>4929</v>
      </c>
      <c r="G856" s="3" t="s">
        <v>130</v>
      </c>
      <c r="H856" s="4" t="str">
        <f>HYPERLINK("https://medak.telangana.gov.in/public-utility/zphs-thuniki/", "https://medak.telangana.gov.in/public-utility/zphs-thuniki/")</f>
        <v>https://medak.telangana.gov.in/public-utility/zphs-thuniki/</v>
      </c>
      <c r="I856" s="3" t="s">
        <v>4930</v>
      </c>
      <c r="J856" s="3" t="str">
        <f>HYPERLINK("tel:+919948284252", "+919948284252")</f>
        <v>+919948284252</v>
      </c>
      <c r="K856" s="5" t="str">
        <f>HYPERLINK("mailto:siddipetdro@gmail.com", "siddipetdro@gmail.com")</f>
        <v>siddipetdro@gmail.com</v>
      </c>
      <c r="L856" s="6" t="s">
        <v>132</v>
      </c>
    </row>
    <row r="857" ht="15.75" customHeight="1">
      <c r="A857" s="3">
        <v>860.0</v>
      </c>
      <c r="B857" s="3" t="s">
        <v>4931</v>
      </c>
      <c r="C857" s="3" t="s">
        <v>784</v>
      </c>
      <c r="D857" s="3" t="s">
        <v>4932</v>
      </c>
      <c r="E857" s="3" t="s">
        <v>4933</v>
      </c>
      <c r="F857" s="3" t="s">
        <v>787</v>
      </c>
      <c r="G857" s="3" t="s">
        <v>175</v>
      </c>
      <c r="H857" s="4" t="str">
        <f>HYPERLINK("https://bagikhana.barodahighschool.com/", "https://bagikhana.barodahighschool.com/")</f>
        <v>https://bagikhana.barodahighschool.com/</v>
      </c>
      <c r="I857" s="3" t="s">
        <v>5</v>
      </c>
      <c r="J857" s="3" t="str">
        <f>HYPERLINK("tel:+912652314742", "+912652314742")</f>
        <v>+912652314742</v>
      </c>
      <c r="K857" s="5" t="str">
        <f>HYPERLINK("mailto:office.bhsbp@bhs.edu.in", "office.bhsbp@bhs.edu.in")</f>
        <v>office.bhsbp@bhs.edu.in</v>
      </c>
      <c r="L857" s="6" t="s">
        <v>788</v>
      </c>
    </row>
    <row r="858" ht="15.75" customHeight="1">
      <c r="A858" s="3">
        <v>861.0</v>
      </c>
      <c r="B858" s="3" t="s">
        <v>4934</v>
      </c>
      <c r="C858" s="3" t="s">
        <v>4935</v>
      </c>
      <c r="D858" s="3" t="s">
        <v>4936</v>
      </c>
      <c r="E858" s="3" t="s">
        <v>4937</v>
      </c>
      <c r="F858" s="3" t="s">
        <v>4938</v>
      </c>
      <c r="G858" s="3" t="s">
        <v>175</v>
      </c>
      <c r="H858" s="4" t="str">
        <f>HYPERLINK("https://crpfgandhinagar.kvs.ac.in/en/", "https://crpfgandhinagar.kvs.ac.in/en/")</f>
        <v>https://crpfgandhinagar.kvs.ac.in/en/</v>
      </c>
      <c r="I858" s="3" t="s">
        <v>93</v>
      </c>
      <c r="J858" s="3" t="str">
        <f>HYPERLINK("tel:+917923260361", "+917923260361")</f>
        <v>+917923260361</v>
      </c>
      <c r="K858" s="5" t="str">
        <f t="shared" ref="K858:K859" si="82">HYPERLINK("mailto:nan", "nan")</f>
        <v>nan</v>
      </c>
      <c r="L858" s="6"/>
    </row>
    <row r="859" ht="15.75" customHeight="1">
      <c r="A859" s="3">
        <v>862.0</v>
      </c>
      <c r="B859" s="3" t="s">
        <v>4939</v>
      </c>
      <c r="C859" s="3" t="s">
        <v>4940</v>
      </c>
      <c r="D859" s="3" t="s">
        <v>4941</v>
      </c>
      <c r="E859" s="3" t="s">
        <v>4942</v>
      </c>
      <c r="F859" s="3" t="s">
        <v>4943</v>
      </c>
      <c r="G859" s="3" t="s">
        <v>182</v>
      </c>
      <c r="H859" s="4" t="str">
        <f>HYPERLINK("https://schools.org.in/kulgam/01200700813/hss-manzgam.html", "https://schools.org.in/kulgam/01200700813/hss-manzgam.html")</f>
        <v>https://schools.org.in/kulgam/01200700813/hss-manzgam.html</v>
      </c>
      <c r="I859" s="3" t="s">
        <v>4944</v>
      </c>
      <c r="J859" s="3" t="str">
        <f>HYPERLINK("tel:nan", "nan")</f>
        <v>nan</v>
      </c>
      <c r="K859" s="5" t="str">
        <f t="shared" si="82"/>
        <v>nan</v>
      </c>
      <c r="L859" s="6" t="s">
        <v>4945</v>
      </c>
    </row>
    <row r="860" ht="15.75" customHeight="1">
      <c r="A860" s="3">
        <v>863.0</v>
      </c>
      <c r="B860" s="3" t="s">
        <v>4946</v>
      </c>
      <c r="C860" s="3" t="s">
        <v>4947</v>
      </c>
      <c r="D860" s="3" t="s">
        <v>4948</v>
      </c>
      <c r="E860" s="3" t="s">
        <v>4949</v>
      </c>
      <c r="F860" s="3" t="s">
        <v>4950</v>
      </c>
      <c r="G860" s="3" t="s">
        <v>31</v>
      </c>
      <c r="H860" s="4" t="str">
        <f>HYPERLINK("https://dom.karnataka.gov.in/new-page/Minorities%20Morarji%20Desai%20Residential%20Schools/en", "https://dom.karnataka.gov.in/new-page/Minorities%20Morarji%20Desai%20Residential%20Schools/en")</f>
        <v>https://dom.karnataka.gov.in/new-page/Minorities%20Morarji%20Desai%20Residential%20Schools/en</v>
      </c>
      <c r="I860" s="3" t="s">
        <v>1843</v>
      </c>
      <c r="J860" s="3" t="str">
        <f>HYPERLINK("tel:+918704280141", "+918704280141")</f>
        <v>+918704280141</v>
      </c>
      <c r="K860" s="5" t="str">
        <f>HYPERLINK("mailto:pd.webportal@karnataka.gov.in", "pd.webportal@karnataka.gov.in")</f>
        <v>pd.webportal@karnataka.gov.in</v>
      </c>
      <c r="L860" s="6" t="s">
        <v>4951</v>
      </c>
    </row>
    <row r="861" ht="15.75" customHeight="1">
      <c r="A861" s="3">
        <v>864.0</v>
      </c>
      <c r="B861" s="3" t="s">
        <v>4952</v>
      </c>
      <c r="C861" s="3" t="s">
        <v>4953</v>
      </c>
      <c r="D861" s="3" t="s">
        <v>4954</v>
      </c>
      <c r="E861" s="3" t="s">
        <v>4955</v>
      </c>
      <c r="F861" s="3" t="s">
        <v>4956</v>
      </c>
      <c r="G861" s="3" t="s">
        <v>58</v>
      </c>
      <c r="H861" s="4" t="str">
        <f>HYPERLINK("https://schools.org.in/kozhikode/32041100122/santhinikethan-sec-school.html", "https://schools.org.in/kozhikode/32041100122/santhinikethan-sec-school.html")</f>
        <v>https://schools.org.in/kozhikode/32041100122/santhinikethan-sec-school.html</v>
      </c>
      <c r="I861" s="3" t="s">
        <v>4957</v>
      </c>
      <c r="J861" s="3" t="str">
        <f>HYPERLINK("tel:+919495123089", "+919495123089")</f>
        <v>+919495123089</v>
      </c>
      <c r="K861" s="5" t="str">
        <f>HYPERLINK("mailto:nan", "nan")</f>
        <v>nan</v>
      </c>
      <c r="L861" s="6" t="s">
        <v>4958</v>
      </c>
    </row>
    <row r="862" ht="15.75" customHeight="1">
      <c r="A862" s="3">
        <v>865.0</v>
      </c>
      <c r="B862" s="3" t="s">
        <v>4959</v>
      </c>
      <c r="C862" s="3" t="s">
        <v>4065</v>
      </c>
      <c r="D862" s="3" t="s">
        <v>4960</v>
      </c>
      <c r="E862" s="3" t="s">
        <v>4961</v>
      </c>
      <c r="F862" s="3" t="s">
        <v>4068</v>
      </c>
      <c r="G862" s="3" t="s">
        <v>58</v>
      </c>
      <c r="H862" s="4" t="str">
        <f>HYPERLINK("https://www.jairanisabspublicschool.in/", "https://www.jairanisabspublicschool.in/")</f>
        <v>https://www.jairanisabspublicschool.in/</v>
      </c>
      <c r="J862" s="3" t="str">
        <f>HYPERLINK("tel:+914862221011", "+914862221011")</f>
        <v>+914862221011</v>
      </c>
      <c r="K862" s="5" t="str">
        <f>HYPERLINK("mailto:jairanips@yahoo.com", "jairanips@yahoo.com")</f>
        <v>jairanips@yahoo.com</v>
      </c>
      <c r="L862" s="6"/>
    </row>
    <row r="863" ht="15.75" customHeight="1">
      <c r="A863" s="3">
        <v>866.0</v>
      </c>
      <c r="B863" s="3" t="s">
        <v>4962</v>
      </c>
      <c r="C863" s="3" t="s">
        <v>2964</v>
      </c>
      <c r="D863" s="3" t="s">
        <v>4963</v>
      </c>
      <c r="E863" s="3" t="s">
        <v>4964</v>
      </c>
      <c r="F863" s="3" t="s">
        <v>2967</v>
      </c>
      <c r="G863" s="3" t="s">
        <v>38</v>
      </c>
      <c r="H863" s="4" t="str">
        <f>HYPERLINK("https://alumni.anjumaniislam.org/group/page/100152942/About.dz", "https://alumni.anjumaniislam.org/group/page/100152942/About.dz")</f>
        <v>https://alumni.anjumaniislam.org/group/page/100152942/About.dz</v>
      </c>
      <c r="I863" s="3" t="s">
        <v>2968</v>
      </c>
      <c r="J863" s="3" t="str">
        <f>HYPERLINK("tel:nan", "nan")</f>
        <v>nan</v>
      </c>
      <c r="K863" s="5" t="str">
        <f>HYPERLINK("mailto:info@anjumaniislam.org", "info@anjumaniislam.org")</f>
        <v>info@anjumaniislam.org</v>
      </c>
      <c r="L863" s="6" t="s">
        <v>2969</v>
      </c>
    </row>
    <row r="864" ht="15.75" customHeight="1">
      <c r="A864" s="3">
        <v>867.0</v>
      </c>
      <c r="B864" s="3" t="s">
        <v>4965</v>
      </c>
      <c r="C864" s="3" t="s">
        <v>4966</v>
      </c>
      <c r="D864" s="3" t="s">
        <v>4967</v>
      </c>
      <c r="E864" s="3" t="s">
        <v>4968</v>
      </c>
      <c r="F864" s="3" t="s">
        <v>4969</v>
      </c>
      <c r="G864" s="3" t="s">
        <v>356</v>
      </c>
      <c r="H864" s="4" t="str">
        <f>HYPERLINK("https://rtiodisha.gov.in/Pages/printAllManual/office_id:8078/lang:", "https://rtiodisha.gov.in/Pages/printAllManual/office_id:8078/lang:")</f>
        <v>https://rtiodisha.gov.in/Pages/printAllManual/office_id:8078/lang:</v>
      </c>
      <c r="I864" s="3" t="s">
        <v>1483</v>
      </c>
      <c r="J864" s="3" t="str">
        <f>HYPERLINK("tel:+919937620965", "+919937620965")</f>
        <v>+919937620965</v>
      </c>
      <c r="K864" s="5" t="str">
        <f>HYPERLINK("mailto:iprsec@nic.in", "iprsec@nic.in")</f>
        <v>iprsec@nic.in</v>
      </c>
      <c r="L864" s="6" t="s">
        <v>4970</v>
      </c>
    </row>
    <row r="865" ht="15.75" customHeight="1">
      <c r="A865" s="3">
        <v>868.0</v>
      </c>
      <c r="B865" s="3" t="s">
        <v>4971</v>
      </c>
      <c r="C865" s="3" t="s">
        <v>4972</v>
      </c>
      <c r="D865" s="3" t="s">
        <v>4973</v>
      </c>
      <c r="E865" s="3" t="s">
        <v>4974</v>
      </c>
      <c r="F865" s="3" t="s">
        <v>4975</v>
      </c>
      <c r="G865" s="3" t="s">
        <v>17</v>
      </c>
      <c r="H865" s="4" t="str">
        <f>HYPERLINK("https://tvr.sairamschool.edu.in/", "https://tvr.sairamschool.edu.in/")</f>
        <v>https://tvr.sairamschool.edu.in/</v>
      </c>
      <c r="I865" s="3" t="s">
        <v>4976</v>
      </c>
      <c r="J865" s="3" t="str">
        <f>HYPERLINK("tel:+914366240777", "+914366240777")</f>
        <v>+914366240777</v>
      </c>
      <c r="K865" s="5" t="str">
        <f>HYPERLINK("mailto:Sairam.Tvr@Sairamschool.Edu.In", "Sairam.Tvr@Sairamschool.Edu.In")</f>
        <v>Sairam.Tvr@Sairamschool.Edu.In</v>
      </c>
      <c r="L865" s="6" t="s">
        <v>4977</v>
      </c>
    </row>
    <row r="866" ht="15.75" customHeight="1">
      <c r="A866" s="3">
        <v>869.0</v>
      </c>
      <c r="B866" s="3" t="s">
        <v>4978</v>
      </c>
      <c r="C866" s="3" t="s">
        <v>4979</v>
      </c>
      <c r="D866" s="3" t="s">
        <v>4980</v>
      </c>
      <c r="E866" s="3" t="s">
        <v>4981</v>
      </c>
      <c r="F866" s="3" t="s">
        <v>4982</v>
      </c>
      <c r="G866" s="3" t="s">
        <v>17</v>
      </c>
      <c r="H866" s="4" t="str">
        <f>HYPERLINK("https://schools.org.in/the-nilgiris/33110301121/st-marys-girls-higher-secondary-school-kotagiri.html", "https://schools.org.in/the-nilgiris/33110301121/st-marys-girls-higher-secondary-school-kotagiri.html")</f>
        <v>https://schools.org.in/the-nilgiris/33110301121/st-marys-girls-higher-secondary-school-kotagiri.html</v>
      </c>
      <c r="I866" s="3" t="s">
        <v>4983</v>
      </c>
      <c r="J866" s="3" t="str">
        <f>HYPERLINK("tel:nan", "nan")</f>
        <v>nan</v>
      </c>
      <c r="K866" s="5" t="str">
        <f t="shared" ref="K866:K867" si="83">HYPERLINK("mailto:nan", "nan")</f>
        <v>nan</v>
      </c>
      <c r="L866" s="6" t="s">
        <v>4984</v>
      </c>
    </row>
    <row r="867" ht="15.75" customHeight="1">
      <c r="A867" s="3">
        <v>870.0</v>
      </c>
      <c r="B867" s="3" t="s">
        <v>4985</v>
      </c>
      <c r="C867" s="3" t="s">
        <v>4986</v>
      </c>
      <c r="D867" s="3" t="s">
        <v>4987</v>
      </c>
      <c r="E867" s="3" t="s">
        <v>2576</v>
      </c>
      <c r="F867" s="3" t="s">
        <v>4988</v>
      </c>
      <c r="G867" s="3" t="s">
        <v>130</v>
      </c>
      <c r="H867" s="4" t="str">
        <f>HYPERLINK("https://schools.org.in/karimnagar/36030801204/zphs-rompikunta.html", "https://schools.org.in/karimnagar/36030801204/zphs-rompikunta.html")</f>
        <v>https://schools.org.in/karimnagar/36030801204/zphs-rompikunta.html</v>
      </c>
      <c r="I867" s="3" t="s">
        <v>4989</v>
      </c>
      <c r="J867" s="3" t="str">
        <f>HYPERLINK("tel:+917107021221", "+917107021221")</f>
        <v>+917107021221</v>
      </c>
      <c r="K867" s="5" t="str">
        <f t="shared" si="83"/>
        <v>nan</v>
      </c>
      <c r="L867" s="6" t="s">
        <v>4990</v>
      </c>
    </row>
    <row r="868" ht="15.75" customHeight="1">
      <c r="A868" s="3">
        <v>871.0</v>
      </c>
      <c r="B868" s="3" t="s">
        <v>4991</v>
      </c>
      <c r="C868" s="3" t="s">
        <v>4992</v>
      </c>
      <c r="D868" s="3" t="s">
        <v>4993</v>
      </c>
      <c r="E868" s="3" t="s">
        <v>4994</v>
      </c>
      <c r="F868" s="3" t="s">
        <v>4995</v>
      </c>
      <c r="G868" s="3" t="s">
        <v>130</v>
      </c>
      <c r="H868" s="4" t="str">
        <f>HYPERLINK("https://hpsramanthapur.org/", "https://hpsramanthapur.org/")</f>
        <v>https://hpsramanthapur.org/</v>
      </c>
      <c r="J868" s="3" t="str">
        <f>HYPERLINK("tel:+911215062024", "+911215062024")</f>
        <v>+911215062024</v>
      </c>
      <c r="K868" s="5" t="str">
        <f>HYPERLINK("mailto:contactus@hpsramanthapur.org", "contactus@hpsramanthapur.org")</f>
        <v>contactus@hpsramanthapur.org</v>
      </c>
      <c r="L868" s="6"/>
    </row>
    <row r="869" ht="15.75" customHeight="1">
      <c r="A869" s="3">
        <v>872.0</v>
      </c>
      <c r="B869" s="3" t="s">
        <v>4996</v>
      </c>
      <c r="C869" s="3" t="s">
        <v>2169</v>
      </c>
      <c r="D869" s="3" t="s">
        <v>4997</v>
      </c>
      <c r="E869" s="3" t="s">
        <v>4998</v>
      </c>
      <c r="F869" s="3" t="s">
        <v>2172</v>
      </c>
      <c r="G869" s="3" t="s">
        <v>138</v>
      </c>
      <c r="H869" s="4" t="str">
        <f>HYPERLINK("https://amityschools.in/noida/", "https://amityschools.in/noida/")</f>
        <v>https://amityschools.in/noida/</v>
      </c>
      <c r="J869" s="3" t="str">
        <f>HYPERLINK("tel:+911204399000", "+911204399000")</f>
        <v>+911204399000</v>
      </c>
      <c r="K869" s="5" t="str">
        <f>HYPERLINK("mailto:amity@aisn.amity.edu", "amity@aisn.amity.edu")</f>
        <v>amity@aisn.amity.edu</v>
      </c>
      <c r="L869" s="6"/>
    </row>
    <row r="870" ht="15.75" customHeight="1">
      <c r="A870" s="3">
        <v>873.0</v>
      </c>
      <c r="B870" s="3" t="s">
        <v>4999</v>
      </c>
      <c r="C870" s="3" t="s">
        <v>5000</v>
      </c>
      <c r="D870" s="3" t="s">
        <v>5001</v>
      </c>
      <c r="E870" s="3" t="s">
        <v>5002</v>
      </c>
      <c r="F870" s="3" t="s">
        <v>5003</v>
      </c>
      <c r="G870" s="3" t="s">
        <v>138</v>
      </c>
      <c r="H870" s="4" t="str">
        <f>HYPERLINK("https://apsbabina.com/recruitment.php", "https://apsbabina.com/recruitment.php")</f>
        <v>https://apsbabina.com/recruitment.php</v>
      </c>
      <c r="I870" s="3" t="s">
        <v>5004</v>
      </c>
      <c r="J870" s="3" t="str">
        <f>HYPERLINK("tel:+915102740437", "+915102740437")</f>
        <v>+915102740437</v>
      </c>
      <c r="K870" s="5" t="str">
        <f>HYPERLINK("mailto:armyschool3@yahoo.com", "armyschool3@yahoo.com")</f>
        <v>armyschool3@yahoo.com</v>
      </c>
      <c r="L870" s="6" t="s">
        <v>5005</v>
      </c>
    </row>
    <row r="871" ht="15.75" customHeight="1">
      <c r="A871" s="3">
        <v>874.0</v>
      </c>
      <c r="B871" s="3" t="s">
        <v>5006</v>
      </c>
      <c r="C871" s="3" t="s">
        <v>339</v>
      </c>
      <c r="D871" s="3" t="s">
        <v>5007</v>
      </c>
      <c r="E871" s="3" t="s">
        <v>5008</v>
      </c>
      <c r="F871" s="3" t="s">
        <v>342</v>
      </c>
      <c r="G871" s="3" t="s">
        <v>175</v>
      </c>
      <c r="H871" s="4" t="str">
        <f>HYPERLINK("https://cygnusworldschool.com/", "https://cygnusworldschool.com/")</f>
        <v>https://cygnusworldschool.com/</v>
      </c>
      <c r="J871" s="3" t="str">
        <f>HYPERLINK("tel:+919099901440", "+919099901440")</f>
        <v>+919099901440</v>
      </c>
      <c r="K871" s="5" t="str">
        <f>HYPERLINK("mailto:reachus@cygnusworldschool.com", "reachus@cygnusworldschool.com")</f>
        <v>reachus@cygnusworldschool.com</v>
      </c>
      <c r="L871" s="6"/>
    </row>
    <row r="872" ht="15.75" customHeight="1">
      <c r="A872" s="3">
        <v>875.0</v>
      </c>
      <c r="B872" s="3" t="s">
        <v>5009</v>
      </c>
      <c r="C872" s="3" t="s">
        <v>5010</v>
      </c>
      <c r="D872" s="3" t="s">
        <v>5011</v>
      </c>
      <c r="E872" s="3" t="s">
        <v>5012</v>
      </c>
      <c r="F872" s="3" t="s">
        <v>5013</v>
      </c>
      <c r="G872" s="3" t="s">
        <v>58</v>
      </c>
      <c r="H872" s="4" t="str">
        <f>HYPERLINK("https://ihrd.ac.in/index.php/institutions/technical-higher-secondary-school/219-technical-higher-secondary-school-perithalmanna", "https://ihrd.ac.in/index.php/institutions/technical-higher-secondary-school/219-technical-higher-secondary-school-perithalmanna")</f>
        <v>https://ihrd.ac.in/index.php/institutions/technical-higher-secondary-school/219-technical-higher-secondary-school-perithalmanna</v>
      </c>
      <c r="I872" s="3" t="s">
        <v>5014</v>
      </c>
      <c r="J872" s="3" t="str">
        <f>HYPERLINK("tel:+914712325106", "+914712325106")</f>
        <v>+914712325106</v>
      </c>
      <c r="K872" s="5" t="str">
        <f>HYPERLINK("mailto:dirdhse.dge@kerala.gov.in", "dirdhse.dge@kerala.gov.in")</f>
        <v>dirdhse.dge@kerala.gov.in</v>
      </c>
      <c r="L872" s="6" t="s">
        <v>5015</v>
      </c>
    </row>
    <row r="873" ht="15.75" customHeight="1">
      <c r="A873" s="3">
        <v>876.0</v>
      </c>
      <c r="B873" s="3" t="s">
        <v>5016</v>
      </c>
      <c r="C873" s="3" t="s">
        <v>5017</v>
      </c>
      <c r="D873" s="3" t="s">
        <v>5018</v>
      </c>
      <c r="E873" s="3" t="s">
        <v>4584</v>
      </c>
      <c r="F873" s="3" t="s">
        <v>5019</v>
      </c>
      <c r="G873" s="3" t="s">
        <v>58</v>
      </c>
      <c r="H873" s="4" t="str">
        <f>HYPERLINK("https://schools.org.in/pathanamthitta/32120801907/gnups-vadasserikara.html", "https://schools.org.in/pathanamthitta/32120801907/gnups-vadasserikara.html")</f>
        <v>https://schools.org.in/pathanamthitta/32120801907/gnups-vadasserikara.html</v>
      </c>
      <c r="I873" s="3" t="s">
        <v>5020</v>
      </c>
      <c r="J873" s="3" t="str">
        <f>HYPERLINK("tel:+918296575294", "+918296575294")</f>
        <v>+918296575294</v>
      </c>
      <c r="K873" s="5" t="str">
        <f>HYPERLINK("mailto:hello@scribd.com", "hello@scribd.com")</f>
        <v>hello@scribd.com</v>
      </c>
      <c r="L873" s="6" t="s">
        <v>5021</v>
      </c>
    </row>
    <row r="874" ht="15.75" customHeight="1">
      <c r="A874" s="3">
        <v>877.0</v>
      </c>
      <c r="B874" s="3" t="s">
        <v>5022</v>
      </c>
      <c r="C874" s="3" t="s">
        <v>2391</v>
      </c>
      <c r="D874" s="3" t="s">
        <v>5023</v>
      </c>
      <c r="E874" s="3" t="s">
        <v>5024</v>
      </c>
      <c r="F874" s="3" t="s">
        <v>2394</v>
      </c>
      <c r="G874" s="3" t="s">
        <v>58</v>
      </c>
      <c r="H874" s="4" t="str">
        <f>HYPERLINK("https://www.sahss.in/", "https://www.sahss.in/")</f>
        <v>https://www.sahss.in/</v>
      </c>
      <c r="I874" s="3" t="s">
        <v>2395</v>
      </c>
      <c r="J874" s="3" t="str">
        <f>HYPERLINK("tel:+914772210606", "+914772210606")</f>
        <v>+914772210606</v>
      </c>
      <c r="K874" s="5" t="str">
        <f>HYPERLINK("mailto:sahssedathua@gmail.com", "sahssedathua@gmail.com")</f>
        <v>sahssedathua@gmail.com</v>
      </c>
      <c r="L874" s="6" t="s">
        <v>2396</v>
      </c>
    </row>
    <row r="875" ht="15.75" customHeight="1">
      <c r="A875" s="3">
        <v>878.0</v>
      </c>
      <c r="B875" s="3" t="s">
        <v>5025</v>
      </c>
      <c r="C875" s="3" t="s">
        <v>5026</v>
      </c>
      <c r="D875" s="3" t="s">
        <v>5027</v>
      </c>
      <c r="E875" s="3" t="s">
        <v>5028</v>
      </c>
      <c r="F875" s="3" t="s">
        <v>5029</v>
      </c>
      <c r="G875" s="3" t="s">
        <v>58</v>
      </c>
      <c r="H875" s="4" t="str">
        <f>HYPERLINK("https://schools.org.in/kozhikode/32040300311/ghss-koduvally.html", "https://schools.org.in/kozhikode/32040300311/ghss-koduvally.html")</f>
        <v>https://schools.org.in/kozhikode/32040300311/ghss-koduvally.html</v>
      </c>
      <c r="I875" s="3" t="s">
        <v>5030</v>
      </c>
      <c r="J875" s="3" t="str">
        <f>HYPERLINK("tel:+914712325106", "+914712325106")</f>
        <v>+914712325106</v>
      </c>
      <c r="K875" s="5" t="str">
        <f>HYPERLINK("mailto:dirdhse.dge@kerala.gov.in", "dirdhse.dge@kerala.gov.in")</f>
        <v>dirdhse.dge@kerala.gov.in</v>
      </c>
      <c r="L875" s="6" t="s">
        <v>5031</v>
      </c>
    </row>
    <row r="876" ht="15.75" customHeight="1">
      <c r="A876" s="3">
        <v>879.0</v>
      </c>
      <c r="B876" s="3" t="s">
        <v>5032</v>
      </c>
      <c r="C876" s="3" t="s">
        <v>5033</v>
      </c>
      <c r="D876" s="3" t="s">
        <v>5034</v>
      </c>
      <c r="E876" s="3" t="s">
        <v>5035</v>
      </c>
      <c r="F876" s="3" t="s">
        <v>5036</v>
      </c>
      <c r="G876" s="3" t="s">
        <v>58</v>
      </c>
      <c r="H876" s="4" t="str">
        <f>HYPERLINK("https://www.stdd.kerala.gov.in/index.php/institutions/schools", "https://www.stdd.kerala.gov.in/index.php/institutions/schools")</f>
        <v>https://www.stdd.kerala.gov.in/index.php/institutions/schools</v>
      </c>
      <c r="I876" s="3" t="s">
        <v>5037</v>
      </c>
      <c r="J876" s="3" t="str">
        <f>HYPERLINK("tel:+914712304594", "+914712304594")</f>
        <v>+914712304594</v>
      </c>
      <c r="K876" s="5" t="str">
        <f>HYPERLINK("mailto:keralatribes@gmail.com", "keralatribes@gmail.com")</f>
        <v>keralatribes@gmail.com</v>
      </c>
      <c r="L876" s="6" t="s">
        <v>5038</v>
      </c>
    </row>
    <row r="877" ht="15.75" customHeight="1">
      <c r="A877" s="3">
        <v>880.0</v>
      </c>
      <c r="B877" s="3" t="s">
        <v>5039</v>
      </c>
      <c r="C877" s="3" t="s">
        <v>5040</v>
      </c>
      <c r="D877" s="3" t="s">
        <v>5041</v>
      </c>
      <c r="E877" s="3" t="s">
        <v>5042</v>
      </c>
      <c r="F877" s="3" t="s">
        <v>5043</v>
      </c>
      <c r="G877" s="3" t="s">
        <v>38</v>
      </c>
      <c r="H877" s="4" t="str">
        <f>HYPERLINK("https://schools.org.in/pune/27251901806/pcmc-med-vidyalay-pimpale-gura.html", "https://schools.org.in/pune/27251901806/pcmc-med-vidyalay-pimpale-gura.html")</f>
        <v>https://schools.org.in/pune/27251901806/pcmc-med-vidyalay-pimpale-gura.html</v>
      </c>
      <c r="I877" s="3" t="s">
        <v>5044</v>
      </c>
      <c r="J877" s="3" t="str">
        <f>HYPERLINK("tel:+919999333223", "+919999333223")</f>
        <v>+919999333223</v>
      </c>
      <c r="K877" s="5" t="str">
        <f>HYPERLINK("mailto:contact@mappls.com", "contact@mappls.com")</f>
        <v>contact@mappls.com</v>
      </c>
      <c r="L877" s="6" t="s">
        <v>5045</v>
      </c>
    </row>
    <row r="878" ht="15.75" customHeight="1">
      <c r="A878" s="3">
        <v>881.0</v>
      </c>
      <c r="B878" s="3" t="s">
        <v>5046</v>
      </c>
      <c r="C878" s="3" t="s">
        <v>5047</v>
      </c>
      <c r="D878" s="3" t="s">
        <v>5048</v>
      </c>
      <c r="E878" s="3" t="s">
        <v>5049</v>
      </c>
      <c r="F878" s="3" t="s">
        <v>5050</v>
      </c>
      <c r="G878" s="3" t="s">
        <v>356</v>
      </c>
      <c r="H878" s="4" t="str">
        <f>HYPERLINK("https://dhenkanaltown.kvs.ac.in/en/", "https://dhenkanaltown.kvs.ac.in/en/")</f>
        <v>https://dhenkanaltown.kvs.ac.in/en/</v>
      </c>
      <c r="I878" s="3" t="s">
        <v>625</v>
      </c>
      <c r="J878" s="3" t="str">
        <f>HYPERLINK("tel:+916762224281", "+916762224281")</f>
        <v>+916762224281</v>
      </c>
      <c r="K878" s="5" t="str">
        <f>HYPERLINK("mailto:nan", "nan")</f>
        <v>nan</v>
      </c>
      <c r="L878" s="6" t="s">
        <v>5051</v>
      </c>
    </row>
    <row r="879" ht="15.75" customHeight="1">
      <c r="A879" s="3">
        <v>882.0</v>
      </c>
      <c r="B879" s="3" t="s">
        <v>5052</v>
      </c>
      <c r="C879" s="3" t="s">
        <v>5053</v>
      </c>
      <c r="D879" s="3" t="s">
        <v>5054</v>
      </c>
      <c r="E879" s="3" t="s">
        <v>5055</v>
      </c>
      <c r="F879" s="3" t="s">
        <v>5056</v>
      </c>
      <c r="G879" s="3" t="s">
        <v>130</v>
      </c>
      <c r="H879" s="4" t="str">
        <f>HYPERLINK("https://schools.org.in/mahbubnagar/36074800503/zphs-mustipally.html", "https://schools.org.in/mahbubnagar/36074800503/zphs-mustipally.html")</f>
        <v>https://schools.org.in/mahbubnagar/36074800503/zphs-mustipally.html</v>
      </c>
      <c r="I879" s="3" t="s">
        <v>5057</v>
      </c>
      <c r="J879" s="3" t="str">
        <f>HYPERLINK("tel:+918332975572", "+918332975572")</f>
        <v>+918332975572</v>
      </c>
      <c r="K879" s="5" t="str">
        <f>HYPERLINK("mailto:S2954273@gmail.com", "S2954273@gmail.com")</f>
        <v>S2954273@gmail.com</v>
      </c>
      <c r="L879" s="6" t="s">
        <v>5058</v>
      </c>
    </row>
    <row r="880" ht="15.75" customHeight="1">
      <c r="A880" s="3">
        <v>883.0</v>
      </c>
      <c r="B880" s="3" t="s">
        <v>5059</v>
      </c>
      <c r="C880" s="3" t="s">
        <v>4992</v>
      </c>
      <c r="D880" s="3" t="s">
        <v>5060</v>
      </c>
      <c r="E880" s="3" t="s">
        <v>5061</v>
      </c>
      <c r="F880" s="3" t="s">
        <v>4995</v>
      </c>
      <c r="G880" s="3" t="s">
        <v>130</v>
      </c>
      <c r="H880" s="4" t="str">
        <f>HYPERLINK("https://hpsramanthapur.org/", "https://hpsramanthapur.org/")</f>
        <v>https://hpsramanthapur.org/</v>
      </c>
      <c r="J880" s="3" t="str">
        <f>HYPERLINK("tel:+911215062024", "+911215062024")</f>
        <v>+911215062024</v>
      </c>
      <c r="K880" s="5" t="str">
        <f>HYPERLINK("mailto:contactus@hpsramanthapur.org", "contactus@hpsramanthapur.org")</f>
        <v>contactus@hpsramanthapur.org</v>
      </c>
      <c r="L880" s="6"/>
    </row>
    <row r="881" ht="15.75" customHeight="1">
      <c r="A881" s="3">
        <v>884.0</v>
      </c>
      <c r="B881" s="3" t="s">
        <v>5062</v>
      </c>
      <c r="C881" s="3" t="s">
        <v>5063</v>
      </c>
      <c r="D881" s="3" t="s">
        <v>5064</v>
      </c>
      <c r="E881" s="3" t="s">
        <v>5065</v>
      </c>
      <c r="F881" s="3" t="s">
        <v>5066</v>
      </c>
      <c r="G881" s="3" t="s">
        <v>597</v>
      </c>
      <c r="H881" s="4" t="str">
        <f>HYPERLINK("https://khatima.kvs.ac.in/en/", "https://khatima.kvs.ac.in/en/")</f>
        <v>https://khatima.kvs.ac.in/en/</v>
      </c>
      <c r="J881" s="3" t="str">
        <f>HYPERLINK("tel:+919412090675", "+919412090675")</f>
        <v>+919412090675</v>
      </c>
      <c r="K881" s="5" t="str">
        <f>HYPERLINK("mailto:info@careers360.com", "info@careers360.com")</f>
        <v>info@careers360.com</v>
      </c>
      <c r="L881" s="6" t="s">
        <v>5067</v>
      </c>
    </row>
    <row r="882" ht="15.75" customHeight="1">
      <c r="A882" s="3">
        <v>885.0</v>
      </c>
      <c r="B882" s="3" t="s">
        <v>5068</v>
      </c>
      <c r="C882" s="3" t="s">
        <v>5069</v>
      </c>
      <c r="D882" s="3" t="s">
        <v>5070</v>
      </c>
      <c r="E882" s="3" t="s">
        <v>5071</v>
      </c>
      <c r="F882" s="3" t="s">
        <v>5072</v>
      </c>
      <c r="G882" s="3" t="s">
        <v>229</v>
      </c>
      <c r="H882" s="4" t="str">
        <f>HYPERLINK("https://schools.org.in/bemetara/22231011106/govt-higher-secondary-school-sambalpur.html", "https://schools.org.in/bemetara/22231011106/govt-higher-secondary-school-sambalpur.html")</f>
        <v>https://schools.org.in/bemetara/22231011106/govt-higher-secondary-school-sambalpur.html</v>
      </c>
      <c r="I882" s="3" t="s">
        <v>5073</v>
      </c>
      <c r="J882" s="3" t="str">
        <f>HYPERLINK("tel:+917714002694", "+917714002694")</f>
        <v>+917714002694</v>
      </c>
      <c r="K882" s="5" t="str">
        <f>HYPERLINK("mailto:eduportal.cg@nic.in", "eduportal.cg@nic.in")</f>
        <v>eduportal.cg@nic.in</v>
      </c>
      <c r="L882" s="6" t="s">
        <v>5074</v>
      </c>
    </row>
    <row r="883" ht="15.75" customHeight="1">
      <c r="A883" s="3">
        <v>886.0</v>
      </c>
      <c r="B883" s="3" t="s">
        <v>5075</v>
      </c>
      <c r="C883" s="3" t="s">
        <v>1559</v>
      </c>
      <c r="D883" s="3" t="s">
        <v>5076</v>
      </c>
      <c r="E883" s="3" t="s">
        <v>5077</v>
      </c>
      <c r="F883" s="3" t="s">
        <v>1562</v>
      </c>
      <c r="G883" s="3" t="s">
        <v>24</v>
      </c>
      <c r="H883" s="4" t="str">
        <f>HYPERLINK("https://bluebells.org/", "https://bluebells.org/")</f>
        <v>https://bluebells.org/</v>
      </c>
      <c r="J883" s="3" t="str">
        <f>HYPERLINK("tel:+911244698888", "+911244698888")</f>
        <v>+911244698888</v>
      </c>
      <c r="K883" s="5" t="str">
        <f>HYPERLINK("mailto:bbms@bluebells.org", "bbms@bluebells.org")</f>
        <v>bbms@bluebells.org</v>
      </c>
      <c r="L883" s="6" t="s">
        <v>1563</v>
      </c>
    </row>
    <row r="884" ht="15.75" customHeight="1">
      <c r="A884" s="3">
        <v>887.0</v>
      </c>
      <c r="B884" s="3" t="s">
        <v>5078</v>
      </c>
      <c r="C884" s="3" t="s">
        <v>5079</v>
      </c>
      <c r="D884" s="3" t="s">
        <v>5080</v>
      </c>
      <c r="E884" s="3" t="s">
        <v>5081</v>
      </c>
      <c r="F884" s="3" t="s">
        <v>5082</v>
      </c>
      <c r="G884" s="3" t="s">
        <v>51</v>
      </c>
      <c r="H884" s="4" t="str">
        <f>HYPERLINK("https://subathu.kvs.ac.in/en/", "https://subathu.kvs.ac.in/en/")</f>
        <v>https://subathu.kvs.ac.in/en/</v>
      </c>
      <c r="I884" s="3" t="s">
        <v>5083</v>
      </c>
      <c r="J884" s="3" t="str">
        <f>HYPERLINK("tel:+912090100302", "+912090100302")</f>
        <v>+912090100302</v>
      </c>
      <c r="K884" s="5" t="str">
        <f>HYPERLINK("mailto:nan", "nan")</f>
        <v>nan</v>
      </c>
      <c r="L884" s="6" t="s">
        <v>5084</v>
      </c>
    </row>
    <row r="885" ht="15.75" customHeight="1">
      <c r="A885" s="3">
        <v>888.0</v>
      </c>
      <c r="B885" s="3" t="s">
        <v>5085</v>
      </c>
      <c r="C885" s="3" t="s">
        <v>3709</v>
      </c>
      <c r="D885" s="3" t="s">
        <v>5086</v>
      </c>
      <c r="E885" s="3" t="s">
        <v>5087</v>
      </c>
      <c r="F885" s="3" t="s">
        <v>3711</v>
      </c>
      <c r="G885" s="3" t="s">
        <v>31</v>
      </c>
      <c r="H885" s="4" t="str">
        <f>HYPERLINK("https://campuspro.co.in/schools/7627/smt-kamala-bai-educational-institution", "https://campuspro.co.in/schools/7627/smt-kamala-bai-educational-institution")</f>
        <v>https://campuspro.co.in/schools/7627/smt-kamala-bai-educational-institution</v>
      </c>
      <c r="J885" s="3" t="str">
        <f>HYPERLINK("tel:+918022341011", "+918022341011")</f>
        <v>+918022341011</v>
      </c>
      <c r="K885" s="5" t="str">
        <f>HYPERLINK("mailto:info@skei.edu.in", "info@skei.edu.in")</f>
        <v>info@skei.edu.in</v>
      </c>
      <c r="L885" s="6" t="s">
        <v>3712</v>
      </c>
    </row>
    <row r="886" ht="15.75" customHeight="1">
      <c r="A886" s="3">
        <v>889.0</v>
      </c>
      <c r="B886" s="3" t="s">
        <v>5088</v>
      </c>
      <c r="C886" s="3" t="s">
        <v>1891</v>
      </c>
      <c r="D886" s="3" t="s">
        <v>5089</v>
      </c>
      <c r="E886" s="3" t="s">
        <v>5090</v>
      </c>
      <c r="F886" s="3" t="s">
        <v>1894</v>
      </c>
      <c r="G886" s="3" t="s">
        <v>58</v>
      </c>
      <c r="H886" s="4" t="str">
        <f>HYPERLINK("https://schools.org.in/alappuzha/32110400101/kattoor-holy-family-hss.html", "https://schools.org.in/alappuzha/32110400101/kattoor-holy-family-hss.html")</f>
        <v>https://schools.org.in/alappuzha/32110400101/kattoor-holy-family-hss.html</v>
      </c>
      <c r="I886" s="3" t="s">
        <v>1895</v>
      </c>
      <c r="J886" s="3" t="str">
        <f>HYPERLINK("tel:+914712325106", "+914712325106")</f>
        <v>+914712325106</v>
      </c>
      <c r="K886" s="5" t="str">
        <f>HYPERLINK("mailto:dirdhse.dge@kerala.gov.in", "dirdhse.dge@kerala.gov.in")</f>
        <v>dirdhse.dge@kerala.gov.in</v>
      </c>
      <c r="L886" s="6" t="s">
        <v>1896</v>
      </c>
    </row>
    <row r="887" ht="15.75" customHeight="1">
      <c r="A887" s="3">
        <v>890.0</v>
      </c>
      <c r="B887" s="3" t="s">
        <v>5091</v>
      </c>
      <c r="C887" s="3" t="s">
        <v>5092</v>
      </c>
      <c r="D887" s="3" t="s">
        <v>5093</v>
      </c>
      <c r="E887" s="3" t="s">
        <v>5094</v>
      </c>
      <c r="F887" s="3" t="s">
        <v>5095</v>
      </c>
      <c r="G887" s="3" t="s">
        <v>58</v>
      </c>
      <c r="H887" s="4" t="str">
        <f>HYPERLINK("https://schools.org.in/malappuram/32050500910/ghss-vettathur.html", "https://schools.org.in/malappuram/32050500910/ghss-vettathur.html")</f>
        <v>https://schools.org.in/malappuram/32050500910/ghss-vettathur.html</v>
      </c>
      <c r="I887" s="3" t="s">
        <v>5096</v>
      </c>
      <c r="J887" s="3" t="str">
        <f>HYPERLINK("tel:+919495123089", "+919495123089")</f>
        <v>+919495123089</v>
      </c>
      <c r="K887" s="5" t="str">
        <f>HYPERLINK("mailto:nan", "nan")</f>
        <v>nan</v>
      </c>
      <c r="L887" s="6" t="s">
        <v>5097</v>
      </c>
    </row>
    <row r="888" ht="15.75" customHeight="1">
      <c r="A888" s="3">
        <v>891.0</v>
      </c>
      <c r="B888" s="3" t="s">
        <v>5098</v>
      </c>
      <c r="C888" s="3" t="s">
        <v>5099</v>
      </c>
      <c r="D888" s="3" t="s">
        <v>5100</v>
      </c>
      <c r="E888" s="3" t="s">
        <v>5101</v>
      </c>
      <c r="F888" s="3" t="s">
        <v>5102</v>
      </c>
      <c r="G888" s="3" t="s">
        <v>58</v>
      </c>
      <c r="H888" s="4" t="str">
        <f>HYPERLINK("https://stjosephshsschengal.com/", "https://stjosephshsschengal.com/")</f>
        <v>https://stjosephshsschengal.com/</v>
      </c>
      <c r="I888" s="3" t="s">
        <v>5103</v>
      </c>
      <c r="J888" s="3" t="str">
        <f>HYPERLINK("tel:+914842698317", "+914842698317")</f>
        <v>+914842698317</v>
      </c>
      <c r="K888" s="5" t="str">
        <f>HYPERLINK("mailto:hsschengal@gmail.com", "hsschengal@gmail.com")</f>
        <v>hsschengal@gmail.com</v>
      </c>
      <c r="L888" s="6" t="s">
        <v>5104</v>
      </c>
    </row>
    <row r="889" ht="15.75" customHeight="1">
      <c r="A889" s="3">
        <v>892.0</v>
      </c>
      <c r="B889" s="3" t="s">
        <v>5105</v>
      </c>
      <c r="C889" s="3" t="s">
        <v>5106</v>
      </c>
      <c r="D889" s="3" t="s">
        <v>5107</v>
      </c>
      <c r="E889" s="3" t="s">
        <v>5108</v>
      </c>
      <c r="F889" s="3" t="s">
        <v>5109</v>
      </c>
      <c r="G889" s="3" t="s">
        <v>17</v>
      </c>
      <c r="H889" s="4" t="str">
        <f>HYPERLINK("https://schools.org.in/kancheepuram/33031402606/ghs-sithalapakkam.html", "https://schools.org.in/kancheepuram/33031402606/ghs-sithalapakkam.html")</f>
        <v>https://schools.org.in/kancheepuram/33031402606/ghs-sithalapakkam.html</v>
      </c>
      <c r="I889" s="3" t="s">
        <v>5110</v>
      </c>
      <c r="J889" s="3" t="str">
        <f>HYPERLINK("tel:+919742974283", "+919742974283")</f>
        <v>+919742974283</v>
      </c>
      <c r="K889" s="5" t="str">
        <f>HYPERLINK("mailto:nan", "nan")</f>
        <v>nan</v>
      </c>
      <c r="L889" s="6" t="s">
        <v>5111</v>
      </c>
    </row>
    <row r="890" ht="15.75" customHeight="1">
      <c r="A890" s="3">
        <v>893.0</v>
      </c>
      <c r="B890" s="3" t="s">
        <v>5112</v>
      </c>
      <c r="C890" s="3" t="s">
        <v>2998</v>
      </c>
      <c r="D890" s="3" t="s">
        <v>5113</v>
      </c>
      <c r="E890" s="3" t="s">
        <v>1567</v>
      </c>
      <c r="F890" s="3" t="s">
        <v>3001</v>
      </c>
      <c r="G890" s="3" t="s">
        <v>130</v>
      </c>
      <c r="H890" s="4" t="str">
        <f>HYPERLINK("https://www.msrschool.in/", "https://www.msrschool.in/")</f>
        <v>https://www.msrschool.in/</v>
      </c>
      <c r="J890" s="3" t="str">
        <f>HYPERLINK("tel:+919505159997", "+919505159997")</f>
        <v>+919505159997</v>
      </c>
      <c r="K890" s="5" t="str">
        <f>HYPERLINK("mailto:msrcentralschool@gmail.com", "msrcentralschool@gmail.com")</f>
        <v>msrcentralschool@gmail.com</v>
      </c>
      <c r="L890" s="6" t="s">
        <v>3002</v>
      </c>
    </row>
    <row r="891" ht="15.75" customHeight="1">
      <c r="A891" s="3">
        <v>894.0</v>
      </c>
      <c r="B891" s="3" t="s">
        <v>5114</v>
      </c>
      <c r="C891" s="3" t="s">
        <v>5115</v>
      </c>
      <c r="D891" s="3" t="s">
        <v>5116</v>
      </c>
      <c r="E891" s="3" t="s">
        <v>5117</v>
      </c>
      <c r="F891" s="3" t="s">
        <v>5118</v>
      </c>
      <c r="G891" s="3" t="s">
        <v>130</v>
      </c>
      <c r="H891" s="4" t="str">
        <f>HYPERLINK("https://medak.telangana.gov.in/public-utility/zphs-mirzapalle/", "https://medak.telangana.gov.in/public-utility/zphs-mirzapalle/")</f>
        <v>https://medak.telangana.gov.in/public-utility/zphs-mirzapalle/</v>
      </c>
      <c r="I891" s="3" t="s">
        <v>5119</v>
      </c>
      <c r="J891" s="3" t="str">
        <f>HYPERLINK("tel:+918074419694", "+918074419694")</f>
        <v>+918074419694</v>
      </c>
      <c r="K891" s="5" t="str">
        <f>HYPERLINK("mailto:siddipetdro@gmail.com", "siddipetdro@gmail.com")</f>
        <v>siddipetdro@gmail.com</v>
      </c>
      <c r="L891" s="6" t="s">
        <v>5120</v>
      </c>
    </row>
    <row r="892" ht="15.75" customHeight="1">
      <c r="A892" s="3">
        <v>895.0</v>
      </c>
      <c r="B892" s="3" t="s">
        <v>5121</v>
      </c>
      <c r="C892" s="3" t="s">
        <v>5122</v>
      </c>
      <c r="D892" s="3" t="s">
        <v>5123</v>
      </c>
      <c r="E892" s="3" t="s">
        <v>5124</v>
      </c>
      <c r="F892" s="3" t="s">
        <v>5125</v>
      </c>
      <c r="G892" s="3" t="s">
        <v>272</v>
      </c>
      <c r="H892" s="4" t="str">
        <f>HYPERLINK("https://ntr.ap.gov.in/public-utility/a-p-model-school-pedakomera-28161201508/", "https://ntr.ap.gov.in/public-utility/a-p-model-school-pedakomera-28161201508/")</f>
        <v>https://ntr.ap.gov.in/public-utility/a-p-model-school-pedakomera-28161201508/</v>
      </c>
      <c r="I892" s="3" t="s">
        <v>5126</v>
      </c>
      <c r="J892" s="3" t="str">
        <f>HYPERLINK("tel:+918662478090", "+918662478090")</f>
        <v>+918662478090</v>
      </c>
      <c r="K892" s="5" t="str">
        <f>HYPERLINK("mailto:gppedakomera@gmail.com", "gppedakomera@gmail.com")</f>
        <v>gppedakomera@gmail.com</v>
      </c>
      <c r="L892" s="6" t="s">
        <v>5127</v>
      </c>
    </row>
    <row r="893" ht="15.75" customHeight="1">
      <c r="A893" s="3">
        <v>896.0</v>
      </c>
      <c r="B893" s="3" t="s">
        <v>5128</v>
      </c>
      <c r="C893" s="3" t="s">
        <v>784</v>
      </c>
      <c r="D893" s="3" t="s">
        <v>5129</v>
      </c>
      <c r="E893" s="3" t="s">
        <v>5130</v>
      </c>
      <c r="F893" s="3" t="s">
        <v>787</v>
      </c>
      <c r="G893" s="3" t="s">
        <v>175</v>
      </c>
      <c r="H893" s="4" t="str">
        <f>HYPERLINK("https://bagikhana.barodahighschool.com/", "https://bagikhana.barodahighschool.com/")</f>
        <v>https://bagikhana.barodahighschool.com/</v>
      </c>
      <c r="I893" s="3" t="s">
        <v>5</v>
      </c>
      <c r="J893" s="3" t="str">
        <f>HYPERLINK("tel:+912652314742", "+912652314742")</f>
        <v>+912652314742</v>
      </c>
      <c r="K893" s="5" t="str">
        <f>HYPERLINK("mailto:office.bhsbp@bhs.edu.in", "office.bhsbp@bhs.edu.in")</f>
        <v>office.bhsbp@bhs.edu.in</v>
      </c>
      <c r="L893" s="6" t="s">
        <v>788</v>
      </c>
    </row>
    <row r="894" ht="15.75" customHeight="1">
      <c r="A894" s="3">
        <v>897.0</v>
      </c>
      <c r="B894" s="3" t="s">
        <v>5131</v>
      </c>
      <c r="C894" s="3" t="s">
        <v>5132</v>
      </c>
      <c r="D894" s="3" t="s">
        <v>5133</v>
      </c>
      <c r="E894" s="3" t="s">
        <v>5134</v>
      </c>
      <c r="F894" s="3" t="s">
        <v>5135</v>
      </c>
      <c r="G894" s="3" t="s">
        <v>24</v>
      </c>
      <c r="H894" s="4" t="str">
        <f>HYPERLINK("https://karnal.kvs.ac.in/en/", "https://karnal.kvs.ac.in/en/")</f>
        <v>https://karnal.kvs.ac.in/en/</v>
      </c>
      <c r="I894" s="3" t="s">
        <v>625</v>
      </c>
      <c r="J894" s="3" t="str">
        <f>HYPERLINK("tel:+911842985670", "+911842985670")</f>
        <v>+911842985670</v>
      </c>
      <c r="K894" s="5" t="str">
        <f>HYPERLINK("mailto:nan", "nan")</f>
        <v>nan</v>
      </c>
      <c r="L894" s="6" t="s">
        <v>5136</v>
      </c>
    </row>
    <row r="895" ht="15.75" customHeight="1">
      <c r="A895" s="3">
        <v>898.0</v>
      </c>
      <c r="B895" s="3" t="s">
        <v>5137</v>
      </c>
      <c r="C895" s="3" t="s">
        <v>5138</v>
      </c>
      <c r="D895" s="3" t="s">
        <v>5139</v>
      </c>
      <c r="E895" s="3" t="s">
        <v>5140</v>
      </c>
      <c r="F895" s="3" t="s">
        <v>5141</v>
      </c>
      <c r="G895" s="3" t="s">
        <v>31</v>
      </c>
      <c r="H895" s="4" t="str">
        <f>HYPERLINK("https://ceo.karnataka.gov.in/uploads/97011696573947.pdf", "https://ceo.karnataka.gov.in/uploads/97011696573947.pdf")</f>
        <v>https://ceo.karnataka.gov.in/uploads/97011696573947.pdf</v>
      </c>
      <c r="I895" s="3" t="s">
        <v>1359</v>
      </c>
      <c r="J895" s="3" t="str">
        <f>HYPERLINK("tel:+918202005448", "+918202005448")</f>
        <v>+918202005448</v>
      </c>
      <c r="K895" s="5" t="str">
        <f>HYPERLINK("mailto:kstbf63@gmail.com", "kstbf63@gmail.com")</f>
        <v>kstbf63@gmail.com</v>
      </c>
      <c r="L895" s="6" t="s">
        <v>5142</v>
      </c>
    </row>
    <row r="896" ht="15.75" customHeight="1">
      <c r="A896" s="3">
        <v>899.0</v>
      </c>
      <c r="B896" s="3" t="s">
        <v>5143</v>
      </c>
      <c r="C896" s="3" t="s">
        <v>435</v>
      </c>
      <c r="D896" s="3" t="s">
        <v>5144</v>
      </c>
      <c r="E896" s="3" t="s">
        <v>5145</v>
      </c>
      <c r="F896" s="3" t="s">
        <v>438</v>
      </c>
      <c r="G896" s="3" t="s">
        <v>58</v>
      </c>
      <c r="H896" s="4" t="str">
        <f>HYPERLINK("https://rajagiri.ac.in/", "https://rajagiri.ac.in/")</f>
        <v>https://rajagiri.ac.in/</v>
      </c>
      <c r="J896" s="3" t="str">
        <f>HYPERLINK("tel:nan", "nan")</f>
        <v>nan</v>
      </c>
      <c r="K896" s="5" t="str">
        <f>HYPERLINK("mailto:nan", "nan")</f>
        <v>nan</v>
      </c>
      <c r="L896" s="6"/>
    </row>
    <row r="897" ht="15.75" customHeight="1">
      <c r="A897" s="3">
        <v>900.0</v>
      </c>
      <c r="B897" s="3" t="s">
        <v>5146</v>
      </c>
      <c r="C897" s="3" t="s">
        <v>5147</v>
      </c>
      <c r="D897" s="3" t="s">
        <v>5148</v>
      </c>
      <c r="E897" s="3" t="s">
        <v>5149</v>
      </c>
      <c r="F897" s="3" t="s">
        <v>5150</v>
      </c>
      <c r="G897" s="3" t="s">
        <v>58</v>
      </c>
      <c r="H897" s="4" t="str">
        <f>HYPERLINK("https://www.stjosephsangloindianschool.org/", "https://www.stjosephsangloindianschool.org/")</f>
        <v>https://www.stjosephsangloindianschool.org/</v>
      </c>
      <c r="I897" s="3" t="s">
        <v>5151</v>
      </c>
      <c r="J897" s="3" t="str">
        <f>HYPERLINK("tel:+914952366932", "+914952366932")</f>
        <v>+914952366932</v>
      </c>
      <c r="K897" s="5" t="str">
        <f>HYPERLINK("mailto:sjaighss@gmail.com", "sjaighss@gmail.com")</f>
        <v>sjaighss@gmail.com</v>
      </c>
      <c r="L897" s="6" t="s">
        <v>5152</v>
      </c>
    </row>
    <row r="898" ht="15.75" customHeight="1">
      <c r="A898" s="3">
        <v>901.0</v>
      </c>
      <c r="B898" s="3" t="s">
        <v>5153</v>
      </c>
      <c r="C898" s="3" t="s">
        <v>5154</v>
      </c>
      <c r="D898" s="3" t="s">
        <v>5155</v>
      </c>
      <c r="E898" s="3" t="s">
        <v>4921</v>
      </c>
      <c r="F898" s="3" t="s">
        <v>5156</v>
      </c>
      <c r="G898" s="3" t="s">
        <v>58</v>
      </c>
      <c r="H898" s="4" t="str">
        <f>HYPERLINK("https://schools.org.in/alappuzha/32110900106/dbhss-thakazhy.html", "https://schools.org.in/alappuzha/32110900106/dbhss-thakazhy.html")</f>
        <v>https://schools.org.in/alappuzha/32110900106/dbhss-thakazhy.html</v>
      </c>
      <c r="I898" s="3" t="s">
        <v>5157</v>
      </c>
      <c r="J898" s="3" t="str">
        <f>HYPERLINK("tel:nan", "nan")</f>
        <v>nan</v>
      </c>
      <c r="K898" s="5" t="str">
        <f>HYPERLINK("mailto:nan", "nan")</f>
        <v>nan</v>
      </c>
      <c r="L898" s="6" t="s">
        <v>5158</v>
      </c>
    </row>
    <row r="899" ht="15.75" customHeight="1">
      <c r="A899" s="3">
        <v>902.0</v>
      </c>
      <c r="B899" s="3" t="s">
        <v>5159</v>
      </c>
      <c r="C899" s="3" t="s">
        <v>5160</v>
      </c>
      <c r="D899" s="3" t="s">
        <v>5161</v>
      </c>
      <c r="E899" s="3" t="s">
        <v>5162</v>
      </c>
      <c r="F899" s="3" t="s">
        <v>5163</v>
      </c>
      <c r="G899" s="3" t="s">
        <v>38</v>
      </c>
      <c r="H899" s="4" t="str">
        <f>HYPERLINK("https://saketpublicschool.com/", "https://saketpublicschool.com/")</f>
        <v>https://saketpublicschool.com/</v>
      </c>
      <c r="J899" s="3" t="str">
        <f>HYPERLINK("tel:+917182235703", "+917182235703")</f>
        <v>+917182235703</v>
      </c>
      <c r="K899" s="5" t="str">
        <f>HYPERLINK("mailto:info@saketpublicschool.com", "info@saketpublicschool.com")</f>
        <v>info@saketpublicschool.com</v>
      </c>
      <c r="L899" s="6"/>
    </row>
    <row r="900" ht="15.75" customHeight="1">
      <c r="A900" s="3">
        <v>903.0</v>
      </c>
      <c r="B900" s="3" t="s">
        <v>5164</v>
      </c>
      <c r="C900" s="3" t="s">
        <v>3204</v>
      </c>
      <c r="D900" s="3" t="s">
        <v>5165</v>
      </c>
      <c r="E900" s="3" t="s">
        <v>5166</v>
      </c>
      <c r="F900" s="3" t="s">
        <v>3207</v>
      </c>
      <c r="G900" s="3" t="s">
        <v>272</v>
      </c>
      <c r="H900" s="4" t="str">
        <f>HYPERLINK("https://www.india.gov.in/official-website-gurukulam-andhra-pradesh", "https://www.india.gov.in/official-website-gurukulam-andhra-pradesh")</f>
        <v>https://www.india.gov.in/official-website-gurukulam-andhra-pradesh</v>
      </c>
      <c r="I900" s="3" t="s">
        <v>625</v>
      </c>
      <c r="J900" s="3" t="str">
        <f>HYPERLINK("tel:+919393939393", "+919393939393")</f>
        <v>+919393939393</v>
      </c>
      <c r="K900" s="5" t="str">
        <f>HYPERLINK("mailto:S2954273@gmail.com", "S2954273@gmail.com")</f>
        <v>S2954273@gmail.com</v>
      </c>
      <c r="L900" s="6" t="s">
        <v>3208</v>
      </c>
    </row>
    <row r="901" ht="15.75" customHeight="1">
      <c r="A901" s="3">
        <v>904.0</v>
      </c>
      <c r="B901" s="3" t="s">
        <v>5167</v>
      </c>
      <c r="C901" s="3" t="s">
        <v>5168</v>
      </c>
      <c r="D901" s="3" t="s">
        <v>5169</v>
      </c>
      <c r="E901" s="3" t="s">
        <v>5170</v>
      </c>
      <c r="F901" s="3" t="s">
        <v>5171</v>
      </c>
      <c r="G901" s="3" t="s">
        <v>31</v>
      </c>
      <c r="H901" s="4" t="str">
        <f>HYPERLINK("https://navodaya.gov.in/nvs/nvs-school/MANDYA/en/home/", "https://navodaya.gov.in/nvs/nvs-school/MANDYA/en/home/")</f>
        <v>https://navodaya.gov.in/nvs/nvs-school/MANDYA/en/home/</v>
      </c>
      <c r="I901" s="3" t="s">
        <v>5172</v>
      </c>
      <c r="J901" s="3" t="str">
        <f>HYPERLINK("tel:+914029700571", "+914029700571")</f>
        <v>+914029700571</v>
      </c>
      <c r="K901" s="5" t="str">
        <f>HYPERLINK("mailto:ithelpdesk.nvs@gmail.com", "ithelpdesk.nvs@gmail.com")</f>
        <v>ithelpdesk.nvs@gmail.com</v>
      </c>
      <c r="L901" s="6" t="s">
        <v>5173</v>
      </c>
    </row>
    <row r="902" ht="15.75" customHeight="1">
      <c r="A902" s="3">
        <v>905.0</v>
      </c>
      <c r="B902" s="3" t="s">
        <v>5174</v>
      </c>
      <c r="C902" s="3" t="s">
        <v>5175</v>
      </c>
      <c r="D902" s="3" t="s">
        <v>5176</v>
      </c>
      <c r="E902" s="3" t="s">
        <v>5177</v>
      </c>
      <c r="F902" s="3" t="s">
        <v>5178</v>
      </c>
      <c r="G902" s="3" t="s">
        <v>31</v>
      </c>
      <c r="H902" s="4" t="str">
        <f>HYPERLINK("https://www.facebook.com/p/Smt-Basamma-Katarki-Public-School-100078378210302/", "https://www.facebook.com/p/Smt-Basamma-Katarki-Public-School-100078378210302/")</f>
        <v>https://www.facebook.com/p/Smt-Basamma-Katarki-Public-School-100078378210302/</v>
      </c>
      <c r="J902" s="3" t="str">
        <f>HYPERLINK("tel:nan", "nan")</f>
        <v>nan</v>
      </c>
      <c r="K902" s="5" t="str">
        <f>HYPERLINK("mailto:nan", "nan")</f>
        <v>nan</v>
      </c>
      <c r="L902" s="6"/>
    </row>
    <row r="903" ht="15.75" customHeight="1">
      <c r="A903" s="3">
        <v>906.0</v>
      </c>
      <c r="B903" s="3" t="s">
        <v>5179</v>
      </c>
      <c r="C903" s="3" t="s">
        <v>5180</v>
      </c>
      <c r="D903" s="3" t="s">
        <v>5181</v>
      </c>
      <c r="E903" s="3" t="s">
        <v>5182</v>
      </c>
      <c r="F903" s="3" t="s">
        <v>5183</v>
      </c>
      <c r="G903" s="3" t="s">
        <v>58</v>
      </c>
      <c r="H903" s="4" t="str">
        <f>HYPERLINK("http://www.farookkottakkal.org/", "http://www.farookkottakkal.org/")</f>
        <v>http://www.farookkottakkal.org/</v>
      </c>
      <c r="J903" s="3" t="str">
        <f>HYPERLINK("tel:+914952440667", "+914952440667")</f>
        <v>+914952440667</v>
      </c>
      <c r="K903" s="5" t="str">
        <f>HYPERLINK("mailto:mail@alfarookschool.com", "mail@alfarookschool.com")</f>
        <v>mail@alfarookschool.com</v>
      </c>
      <c r="L903" s="6"/>
    </row>
    <row r="904" ht="15.75" customHeight="1">
      <c r="A904" s="3">
        <v>907.0</v>
      </c>
      <c r="B904" s="3" t="s">
        <v>5184</v>
      </c>
      <c r="C904" s="3" t="s">
        <v>5185</v>
      </c>
      <c r="D904" s="3" t="s">
        <v>5186</v>
      </c>
      <c r="E904" s="3" t="s">
        <v>5187</v>
      </c>
      <c r="F904" s="3" t="s">
        <v>5188</v>
      </c>
      <c r="G904" s="3" t="s">
        <v>58</v>
      </c>
      <c r="H904" s="4" t="str">
        <f>HYPERLINK("https://mpskoyilandy.com/", "https://mpskoyilandy.com/")</f>
        <v>https://mpskoyilandy.com/</v>
      </c>
      <c r="J904" s="3" t="str">
        <f>HYPERLINK("tel:+918138090114", "+918138090114")</f>
        <v>+918138090114</v>
      </c>
      <c r="K904" s="5" t="str">
        <f>HYPERLINK("mailto:mpsquilandy@gmail.com", "mpsquilandy@gmail.com")</f>
        <v>mpsquilandy@gmail.com</v>
      </c>
      <c r="L904" s="6"/>
    </row>
    <row r="905" ht="15.75" customHeight="1">
      <c r="A905" s="3">
        <v>908.0</v>
      </c>
      <c r="B905" s="3" t="s">
        <v>5189</v>
      </c>
      <c r="C905" s="3" t="s">
        <v>811</v>
      </c>
      <c r="D905" s="3" t="s">
        <v>5190</v>
      </c>
      <c r="E905" s="3" t="s">
        <v>5191</v>
      </c>
      <c r="F905" s="3" t="s">
        <v>814</v>
      </c>
      <c r="G905" s="3" t="s">
        <v>38</v>
      </c>
      <c r="H905" s="4" t="str">
        <f>HYPERLINK("https://schoolofscholars.edu.in/atrey/", "https://schoolofscholars.edu.in/atrey/")</f>
        <v>https://schoolofscholars.edu.in/atrey/</v>
      </c>
      <c r="J905" s="3" t="str">
        <f>HYPERLINK("tel:+9118002660999", "+9118002660999")</f>
        <v>+9118002660999</v>
      </c>
      <c r="K905" s="5" t="str">
        <f>HYPERLINK("mailto:principal.vtca@mgsnagpur.org", "principal.vtca@mgsnagpur.org")</f>
        <v>principal.vtca@mgsnagpur.org</v>
      </c>
      <c r="L905" s="6" t="s">
        <v>815</v>
      </c>
    </row>
    <row r="906" ht="15.75" customHeight="1">
      <c r="A906" s="3">
        <v>909.0</v>
      </c>
      <c r="B906" s="3" t="s">
        <v>5192</v>
      </c>
      <c r="C906" s="3" t="s">
        <v>5193</v>
      </c>
      <c r="D906" s="3" t="s">
        <v>5194</v>
      </c>
      <c r="E906" s="3" t="s">
        <v>4604</v>
      </c>
      <c r="F906" s="3" t="s">
        <v>5195</v>
      </c>
      <c r="G906" s="3" t="s">
        <v>5196</v>
      </c>
      <c r="H906" s="4" t="str">
        <f>HYPERLINK("http://www.dpsdimapur.org/", "http://www.dpsdimapur.org/")</f>
        <v>http://www.dpsdimapur.org/</v>
      </c>
      <c r="I906" s="3" t="s">
        <v>5197</v>
      </c>
      <c r="J906" s="3" t="str">
        <f>HYPERLINK("tel:+913862243108", "+913862243108")</f>
        <v>+913862243108</v>
      </c>
      <c r="K906" s="5" t="str">
        <f>HYPERLINK("mailto:nan", "nan")</f>
        <v>nan</v>
      </c>
      <c r="L906" s="6" t="s">
        <v>5198</v>
      </c>
    </row>
    <row r="907" ht="15.75" customHeight="1">
      <c r="A907" s="3">
        <v>910.0</v>
      </c>
      <c r="B907" s="3" t="s">
        <v>5199</v>
      </c>
      <c r="C907" s="3" t="s">
        <v>5200</v>
      </c>
      <c r="D907" s="3" t="s">
        <v>5201</v>
      </c>
      <c r="E907" s="3" t="s">
        <v>5202</v>
      </c>
      <c r="F907" s="3" t="s">
        <v>5203</v>
      </c>
      <c r="G907" s="3" t="s">
        <v>17</v>
      </c>
      <c r="H907" s="4" t="str">
        <f>HYPERLINK("https://nacfun.com/profileschool/government-model-girls-higher-secondary-school-villupuram-tamil-nadu", "https://nacfun.com/profileschool/government-model-girls-higher-secondary-school-villupuram-tamil-nadu")</f>
        <v>https://nacfun.com/profileschool/government-model-girls-higher-secondary-school-villupuram-tamil-nadu</v>
      </c>
      <c r="I907" s="3" t="s">
        <v>5204</v>
      </c>
      <c r="J907" s="3" t="str">
        <f>HYPERLINK("tel:+914146220402", "+914146220402")</f>
        <v>+914146220402</v>
      </c>
      <c r="K907" s="5" t="str">
        <f>HYPERLINK("mailto:contact@mappls.com", "contact@mappls.com")</f>
        <v>contact@mappls.com</v>
      </c>
      <c r="L907" s="6" t="s">
        <v>5205</v>
      </c>
    </row>
    <row r="908" ht="15.75" customHeight="1">
      <c r="A908" s="3">
        <v>911.0</v>
      </c>
      <c r="B908" s="3" t="s">
        <v>5206</v>
      </c>
      <c r="C908" s="3" t="s">
        <v>5207</v>
      </c>
      <c r="D908" s="3" t="s">
        <v>5208</v>
      </c>
      <c r="E908" s="3" t="s">
        <v>5209</v>
      </c>
      <c r="F908" s="3" t="s">
        <v>5210</v>
      </c>
      <c r="G908" s="3" t="s">
        <v>17</v>
      </c>
      <c r="H908" s="4" t="str">
        <f>HYPERLINK("https://no2kalpakkam.kvs.ac.in/en/contact-us/", "https://no2kalpakkam.kvs.ac.in/en/contact-us/")</f>
        <v>https://no2kalpakkam.kvs.ac.in/en/contact-us/</v>
      </c>
      <c r="J908" s="3" t="str">
        <f>HYPERLINK("tel:+914427481226", "+914427481226")</f>
        <v>+914427481226</v>
      </c>
      <c r="K908" s="5" t="str">
        <f>HYPERLINK("mailto:kvsrochennaiadmn@gmail.com", "kvsrochennaiadmn@gmail.com")</f>
        <v>kvsrochennaiadmn@gmail.com</v>
      </c>
      <c r="L908" s="6" t="s">
        <v>5211</v>
      </c>
    </row>
    <row r="909" ht="15.75" customHeight="1">
      <c r="A909" s="3">
        <v>912.0</v>
      </c>
      <c r="B909" s="3" t="s">
        <v>5212</v>
      </c>
      <c r="C909" s="3" t="s">
        <v>5213</v>
      </c>
      <c r="D909" s="3" t="s">
        <v>5214</v>
      </c>
      <c r="E909" s="3" t="s">
        <v>574</v>
      </c>
      <c r="F909" s="3" t="s">
        <v>5215</v>
      </c>
      <c r="G909" s="3" t="s">
        <v>17</v>
      </c>
      <c r="H909" s="4" t="str">
        <f>HYPERLINK("https://schools.org.in/thanjavur/33210103101/thirumagal-hss-m-c-road.html", "https://schools.org.in/thanjavur/33210103101/thirumagal-hss-m-c-road.html")</f>
        <v>https://schools.org.in/thanjavur/33210103101/thirumagal-hss-m-c-road.html</v>
      </c>
      <c r="I909" s="3" t="s">
        <v>5216</v>
      </c>
      <c r="J909" s="3" t="str">
        <f>HYPERLINK("tel:+914352944333", "+914352944333")</f>
        <v>+914352944333</v>
      </c>
      <c r="K909" s="5" t="str">
        <f t="shared" ref="K909:K910" si="84">HYPERLINK("mailto:nan", "nan")</f>
        <v>nan</v>
      </c>
      <c r="L909" s="6" t="s">
        <v>5217</v>
      </c>
    </row>
    <row r="910" ht="15.75" customHeight="1">
      <c r="A910" s="3">
        <v>913.0</v>
      </c>
      <c r="B910" s="3" t="s">
        <v>5218</v>
      </c>
      <c r="C910" s="3" t="s">
        <v>5219</v>
      </c>
      <c r="D910" s="3" t="s">
        <v>5220</v>
      </c>
      <c r="E910" s="3" t="s">
        <v>5221</v>
      </c>
      <c r="F910" s="3" t="s">
        <v>5222</v>
      </c>
      <c r="G910" s="3" t="s">
        <v>958</v>
      </c>
      <c r="H910" s="4" t="str">
        <f>HYPERLINK("https://ntpcfarakka.kvs.ac.in/en/", "https://ntpcfarakka.kvs.ac.in/en/")</f>
        <v>https://ntpcfarakka.kvs.ac.in/en/</v>
      </c>
      <c r="I910" s="3" t="s">
        <v>625</v>
      </c>
      <c r="J910" s="3" t="str">
        <f>HYPERLINK("tel:+913512224247", "+913512224247")</f>
        <v>+913512224247</v>
      </c>
      <c r="K910" s="5" t="str">
        <f t="shared" si="84"/>
        <v>nan</v>
      </c>
      <c r="L910" s="6" t="s">
        <v>5223</v>
      </c>
    </row>
    <row r="911" ht="15.75" customHeight="1">
      <c r="A911" s="3">
        <v>914.0</v>
      </c>
      <c r="B911" s="3" t="s">
        <v>5224</v>
      </c>
      <c r="C911" s="3" t="s">
        <v>5225</v>
      </c>
      <c r="D911" s="3" t="s">
        <v>5226</v>
      </c>
      <c r="E911" s="3" t="s">
        <v>5227</v>
      </c>
      <c r="F911" s="3" t="s">
        <v>5228</v>
      </c>
      <c r="G911" s="3" t="s">
        <v>5196</v>
      </c>
      <c r="H911" s="4" t="str">
        <f>HYPERLINK("https://shamator.nic.in/", "https://shamator.nic.in/")</f>
        <v>https://shamator.nic.in/</v>
      </c>
      <c r="I911" s="3" t="s">
        <v>5229</v>
      </c>
      <c r="J911" s="3" t="str">
        <f>HYPERLINK("tel:+917005103148", "+917005103148")</f>
        <v>+917005103148</v>
      </c>
      <c r="K911" s="5" t="str">
        <f>HYPERLINK("mailto:DirectorateSE@gmail.com", "DirectorateSE@gmail.com")</f>
        <v>DirectorateSE@gmail.com</v>
      </c>
      <c r="L911" s="6" t="s">
        <v>5230</v>
      </c>
    </row>
    <row r="912" ht="15.75" customHeight="1">
      <c r="A912" s="3">
        <v>915.0</v>
      </c>
      <c r="B912" s="3" t="s">
        <v>5231</v>
      </c>
      <c r="C912" s="3" t="s">
        <v>3204</v>
      </c>
      <c r="D912" s="3" t="s">
        <v>5232</v>
      </c>
      <c r="E912" s="3" t="s">
        <v>5233</v>
      </c>
      <c r="F912" s="3" t="s">
        <v>3207</v>
      </c>
      <c r="G912" s="3" t="s">
        <v>272</v>
      </c>
      <c r="H912" s="4" t="str">
        <f>HYPERLINK("https://swreis.ap.gov.in/", "https://swreis.ap.gov.in/")</f>
        <v>https://swreis.ap.gov.in/</v>
      </c>
      <c r="I912" s="3" t="s">
        <v>625</v>
      </c>
      <c r="J912" s="3" t="str">
        <f>HYPERLINK("tel:+919393939393", "+919393939393")</f>
        <v>+919393939393</v>
      </c>
      <c r="K912" s="5" t="str">
        <f>HYPERLINK("mailto:info@careers360.com", "info@careers360.com")</f>
        <v>info@careers360.com</v>
      </c>
      <c r="L912" s="6"/>
    </row>
    <row r="913" ht="15.75" customHeight="1">
      <c r="A913" s="3">
        <v>916.0</v>
      </c>
      <c r="B913" s="3" t="s">
        <v>5234</v>
      </c>
      <c r="C913" s="3" t="s">
        <v>171</v>
      </c>
      <c r="D913" s="3" t="s">
        <v>5235</v>
      </c>
      <c r="E913" s="3" t="s">
        <v>5236</v>
      </c>
      <c r="F913" s="3" t="s">
        <v>174</v>
      </c>
      <c r="G913" s="3" t="s">
        <v>175</v>
      </c>
      <c r="H913" s="4" t="str">
        <f>HYPERLINK("https://anandniketanmaninagar.org/", "https://anandniketanmaninagar.org/")</f>
        <v>https://anandniketanmaninagar.org/</v>
      </c>
      <c r="J913" s="3" t="str">
        <f>HYPERLINK("tel:+919662115555", "+919662115555")</f>
        <v>+919662115555</v>
      </c>
      <c r="K913" s="5" t="str">
        <f>HYPERLINK("mailto:anmaninagar@anandniketan.org", "anmaninagar@anandniketan.org")</f>
        <v>anmaninagar@anandniketan.org</v>
      </c>
      <c r="L913" s="6" t="s">
        <v>176</v>
      </c>
    </row>
    <row r="914" ht="15.75" customHeight="1">
      <c r="A914" s="3">
        <v>917.0</v>
      </c>
      <c r="B914" s="3" t="s">
        <v>5237</v>
      </c>
      <c r="C914" s="3" t="s">
        <v>5238</v>
      </c>
      <c r="D914" s="3" t="s">
        <v>5239</v>
      </c>
      <c r="E914" s="3" t="s">
        <v>5240</v>
      </c>
      <c r="F914" s="3" t="s">
        <v>5241</v>
      </c>
      <c r="G914" s="3" t="s">
        <v>31</v>
      </c>
      <c r="H914" s="4" t="str">
        <f>HYPERLINK("https://pue.karnataka.gov.in/english", "https://pue.karnataka.gov.in/english")</f>
        <v>https://pue.karnataka.gov.in/english</v>
      </c>
      <c r="I914" s="3" t="s">
        <v>1843</v>
      </c>
      <c r="J914" s="3" t="str">
        <f>HYPERLINK("tel:+918704280141", "+918704280141")</f>
        <v>+918704280141</v>
      </c>
      <c r="K914" s="5" t="str">
        <f>HYPERLINK("mailto:jdexam.kseab@gmail.com", "jdexam.kseab@gmail.com")</f>
        <v>jdexam.kseab@gmail.com</v>
      </c>
      <c r="L914" s="6" t="s">
        <v>1844</v>
      </c>
    </row>
    <row r="915" ht="15.75" customHeight="1">
      <c r="A915" s="3">
        <v>918.0</v>
      </c>
      <c r="B915" s="3" t="s">
        <v>5242</v>
      </c>
      <c r="C915" s="3" t="s">
        <v>5243</v>
      </c>
      <c r="D915" s="3" t="s">
        <v>5244</v>
      </c>
      <c r="E915" s="3" t="s">
        <v>5245</v>
      </c>
      <c r="F915" s="3" t="s">
        <v>5246</v>
      </c>
      <c r="G915" s="3" t="s">
        <v>58</v>
      </c>
      <c r="H915" s="4" t="str">
        <f>HYPERLINK("https://thrissur.nic.in/en/public-utility/govt-model-hss-for-girls-thrissur/", "https://thrissur.nic.in/en/public-utility/govt-model-hss-for-girls-thrissur/")</f>
        <v>https://thrissur.nic.in/en/public-utility/govt-model-hss-for-girls-thrissur/</v>
      </c>
      <c r="I915" s="3" t="s">
        <v>5247</v>
      </c>
      <c r="J915" s="3" t="str">
        <f>HYPERLINK("tel:+914872331163", "+914872331163")</f>
        <v>+914872331163</v>
      </c>
      <c r="K915" s="5" t="str">
        <f>HYPERLINK("mailto:dirdhse.dge@kerala.gov.in", "dirdhse.dge@kerala.gov.in")</f>
        <v>dirdhse.dge@kerala.gov.in</v>
      </c>
      <c r="L915" s="6" t="s">
        <v>5038</v>
      </c>
    </row>
    <row r="916" ht="15.75" customHeight="1">
      <c r="A916" s="3">
        <v>919.0</v>
      </c>
      <c r="B916" s="3" t="s">
        <v>5248</v>
      </c>
      <c r="C916" s="3" t="s">
        <v>5249</v>
      </c>
      <c r="D916" s="3" t="s">
        <v>5250</v>
      </c>
      <c r="E916" s="3" t="s">
        <v>5251</v>
      </c>
      <c r="F916" s="3" t="s">
        <v>5252</v>
      </c>
      <c r="G916" s="3" t="s">
        <v>58</v>
      </c>
      <c r="H916" s="4" t="str">
        <f>HYPERLINK("https://schools.org.in/pathanamthitta/32120802105/gths-kattachira.html", "https://schools.org.in/pathanamthitta/32120802105/gths-kattachira.html")</f>
        <v>https://schools.org.in/pathanamthitta/32120802105/gths-kattachira.html</v>
      </c>
      <c r="I916" s="3" t="s">
        <v>5253</v>
      </c>
      <c r="J916" s="3" t="str">
        <f>HYPERLINK("tel:nan", "nan")</f>
        <v>nan</v>
      </c>
      <c r="K916" s="5" t="str">
        <f>HYPERLINK("mailto:nan", "nan")</f>
        <v>nan</v>
      </c>
      <c r="L916" s="6" t="s">
        <v>5254</v>
      </c>
    </row>
    <row r="917" ht="15.75" customHeight="1">
      <c r="A917" s="3">
        <v>920.0</v>
      </c>
      <c r="B917" s="3" t="s">
        <v>5255</v>
      </c>
      <c r="C917" s="3" t="s">
        <v>5256</v>
      </c>
      <c r="D917" s="3" t="s">
        <v>5257</v>
      </c>
      <c r="E917" s="3" t="s">
        <v>5258</v>
      </c>
      <c r="F917" s="3" t="s">
        <v>5259</v>
      </c>
      <c r="G917" s="3" t="s">
        <v>237</v>
      </c>
      <c r="H917" s="4" t="str">
        <f>HYPERLINK("https://pny.sairamvidyalaya.edu.in/", "https://pny.sairamvidyalaya.edu.in/")</f>
        <v>https://pny.sairamvidyalaya.edu.in/</v>
      </c>
      <c r="I917" s="3" t="s">
        <v>5260</v>
      </c>
      <c r="J917" s="3" t="str">
        <f>HYPERLINK("tel:+914132661557", "+914132661557")</f>
        <v>+914132661557</v>
      </c>
      <c r="K917" s="5" t="str">
        <f>HYPERLINK("mailto:sairam.pny@sairamschool.edu.in", "sairam.pny@sairamschool.edu.in")</f>
        <v>sairam.pny@sairamschool.edu.in</v>
      </c>
      <c r="L917" s="6" t="s">
        <v>5261</v>
      </c>
    </row>
    <row r="918" ht="15.75" customHeight="1">
      <c r="A918" s="3">
        <v>921.0</v>
      </c>
      <c r="B918" s="3" t="s">
        <v>5262</v>
      </c>
      <c r="C918" s="3" t="s">
        <v>1711</v>
      </c>
      <c r="D918" s="3" t="s">
        <v>5263</v>
      </c>
      <c r="E918" s="3" t="s">
        <v>5264</v>
      </c>
      <c r="F918" s="3" t="s">
        <v>1714</v>
      </c>
      <c r="G918" s="3" t="s">
        <v>70</v>
      </c>
      <c r="H918" s="4" t="str">
        <f>HYPERLINK("https://www.subodhpublicschool.com/", "https://www.subodhpublicschool.com/")</f>
        <v>https://www.subodhpublicschool.com/</v>
      </c>
      <c r="I918" s="3" t="s">
        <v>1715</v>
      </c>
      <c r="J918" s="3" t="str">
        <f>HYPERLINK("tel:+911412568477", "+911412568477")</f>
        <v>+911412568477</v>
      </c>
      <c r="K918" s="5" t="str">
        <f>HYPERLINK("mailto:info@spsjaipur.com", "info@spsjaipur.com")</f>
        <v>info@spsjaipur.com</v>
      </c>
      <c r="L918" s="6" t="s">
        <v>1716</v>
      </c>
    </row>
    <row r="919" ht="15.75" customHeight="1">
      <c r="A919" s="3">
        <v>923.0</v>
      </c>
      <c r="B919" s="3" t="s">
        <v>5265</v>
      </c>
      <c r="C919" s="3" t="s">
        <v>2219</v>
      </c>
      <c r="D919" s="3" t="s">
        <v>5266</v>
      </c>
      <c r="E919" s="3" t="s">
        <v>5267</v>
      </c>
      <c r="F919" s="3" t="s">
        <v>2222</v>
      </c>
      <c r="G919" s="3" t="s">
        <v>31</v>
      </c>
      <c r="H919" s="4" t="str">
        <f>HYPERLINK("https://schools.org.in/belagavi-chikkodi/29300906401/sbs-kanya-shala-high-school-nippani.html", "https://schools.org.in/belagavi-chikkodi/29300906401/sbs-kanya-shala-high-school-nippani.html")</f>
        <v>https://schools.org.in/belagavi-chikkodi/29300906401/sbs-kanya-shala-high-school-nippani.html</v>
      </c>
      <c r="I919" s="3" t="s">
        <v>2223</v>
      </c>
      <c r="J919" s="3" t="str">
        <f>HYPERLINK("tel:nan", "nan")</f>
        <v>nan</v>
      </c>
      <c r="K919" s="5" t="str">
        <f>HYPERLINK("mailto:nan", "nan")</f>
        <v>nan</v>
      </c>
      <c r="L919" s="6" t="s">
        <v>2224</v>
      </c>
    </row>
    <row r="920" ht="15.75" customHeight="1">
      <c r="A920" s="3">
        <v>924.0</v>
      </c>
      <c r="B920" s="3" t="s">
        <v>5268</v>
      </c>
      <c r="C920" s="3" t="s">
        <v>5269</v>
      </c>
      <c r="D920" s="3" t="s">
        <v>5270</v>
      </c>
      <c r="E920" s="3" t="s">
        <v>5271</v>
      </c>
      <c r="F920" s="3" t="s">
        <v>5272</v>
      </c>
      <c r="G920" s="3" t="s">
        <v>58</v>
      </c>
      <c r="H920" s="4" t="str">
        <f>HYPERLINK("https://schools.org.in/pathanamthitta/32120701611/st-george-hs-kottangal.html", "https://schools.org.in/pathanamthitta/32120701611/st-george-hs-kottangal.html")</f>
        <v>https://schools.org.in/pathanamthitta/32120701611/st-george-hs-kottangal.html</v>
      </c>
      <c r="I920" s="3" t="s">
        <v>5273</v>
      </c>
      <c r="J920" s="3" t="str">
        <f>HYPERLINK("tel:+918547420004", "+918547420004")</f>
        <v>+918547420004</v>
      </c>
      <c r="K920" s="5" t="str">
        <f>HYPERLINK("mailto:argmlpy2014@gmail.com", "argmlpy2014@gmail.com")</f>
        <v>argmlpy2014@gmail.com</v>
      </c>
      <c r="L920" s="6" t="s">
        <v>5274</v>
      </c>
    </row>
    <row r="921" ht="15.75" customHeight="1">
      <c r="A921" s="3">
        <v>925.0</v>
      </c>
      <c r="B921" s="3" t="s">
        <v>5275</v>
      </c>
      <c r="C921" s="3" t="s">
        <v>5276</v>
      </c>
      <c r="D921" s="3" t="s">
        <v>5277</v>
      </c>
      <c r="E921" s="3" t="s">
        <v>5278</v>
      </c>
      <c r="F921" s="3" t="s">
        <v>5279</v>
      </c>
      <c r="G921" s="3" t="s">
        <v>58</v>
      </c>
      <c r="H921" s="4" t="str">
        <f>HYPERLINK("https://www.saraswathividyalaya.edu.in/", "https://www.saraswathividyalaya.edu.in/")</f>
        <v>https://www.saraswathividyalaya.edu.in/</v>
      </c>
      <c r="J921" s="3" t="str">
        <f>HYPERLINK("tel:+914712993318", "+914712993318")</f>
        <v>+914712993318</v>
      </c>
      <c r="K921" s="5" t="str">
        <f>HYPERLINK("mailto:sreesaraswathyvidyalayam@gmail.com", "sreesaraswathyvidyalayam@gmail.com")</f>
        <v>sreesaraswathyvidyalayam@gmail.com</v>
      </c>
      <c r="L921" s="6" t="s">
        <v>5280</v>
      </c>
    </row>
    <row r="922" ht="15.75" customHeight="1">
      <c r="A922" s="3">
        <v>926.0</v>
      </c>
      <c r="B922" s="3" t="s">
        <v>5281</v>
      </c>
      <c r="C922" s="3" t="s">
        <v>5282</v>
      </c>
      <c r="D922" s="3" t="s">
        <v>5283</v>
      </c>
      <c r="E922" s="3" t="s">
        <v>5284</v>
      </c>
      <c r="F922" s="3" t="s">
        <v>5285</v>
      </c>
      <c r="G922" s="3" t="s">
        <v>58</v>
      </c>
      <c r="H922" s="4" t="str">
        <f>HYPERLINK("http://unionhssmambra.com/", "http://unionhssmambra.com/")</f>
        <v>http://unionhssmambra.com/</v>
      </c>
      <c r="I922" s="3" t="s">
        <v>5286</v>
      </c>
      <c r="J922" s="3" t="str">
        <f>HYPERLINK("tel:+914802732320", "+914802732320")</f>
        <v>+914802732320</v>
      </c>
      <c r="K922" s="5" t="str">
        <f>HYPERLINK("mailto:unionhssmambra@gmail.com", "unionhssmambra@gmail.com")</f>
        <v>unionhssmambra@gmail.com</v>
      </c>
      <c r="L922" s="6" t="s">
        <v>5287</v>
      </c>
    </row>
    <row r="923" ht="15.75" customHeight="1">
      <c r="A923" s="3">
        <v>927.0</v>
      </c>
      <c r="B923" s="3" t="s">
        <v>5288</v>
      </c>
      <c r="C923" s="3" t="s">
        <v>5289</v>
      </c>
      <c r="D923" s="3" t="s">
        <v>5290</v>
      </c>
      <c r="E923" s="3" t="s">
        <v>5291</v>
      </c>
      <c r="F923" s="3" t="s">
        <v>5292</v>
      </c>
      <c r="G923" s="3" t="s">
        <v>237</v>
      </c>
      <c r="H923" s="4" t="str">
        <f>HYPERLINK("https://navodaya.gov.in/nvs/nvs-school/Karaikal/en/home/", "https://navodaya.gov.in/nvs/nvs-school/Karaikal/en/home/")</f>
        <v>https://navodaya.gov.in/nvs/nvs-school/Karaikal/en/home/</v>
      </c>
      <c r="I923" s="3" t="s">
        <v>5293</v>
      </c>
      <c r="J923" s="3" t="str">
        <f>HYPERLINK("tel:+917598365406", "+917598365406")</f>
        <v>+917598365406</v>
      </c>
      <c r="K923" s="5" t="str">
        <f>HYPERLINK("mailto:jnvkaraikal@gmail.com", "jnvkaraikal@gmail.com")</f>
        <v>jnvkaraikal@gmail.com</v>
      </c>
      <c r="L923" s="6" t="s">
        <v>5294</v>
      </c>
    </row>
    <row r="924" ht="15.75" customHeight="1">
      <c r="A924" s="3">
        <v>928.0</v>
      </c>
      <c r="B924" s="3" t="s">
        <v>5295</v>
      </c>
      <c r="C924" s="3" t="s">
        <v>5296</v>
      </c>
      <c r="D924" s="3" t="s">
        <v>5297</v>
      </c>
      <c r="E924" s="3" t="s">
        <v>5298</v>
      </c>
      <c r="F924" s="3" t="s">
        <v>5299</v>
      </c>
      <c r="G924" s="3" t="s">
        <v>597</v>
      </c>
      <c r="H924" s="4" t="str">
        <f>HYPERLINK("https://augustyamuni.kvs.ac.in/en/", "https://augustyamuni.kvs.ac.in/en/")</f>
        <v>https://augustyamuni.kvs.ac.in/en/</v>
      </c>
      <c r="I924" s="3" t="s">
        <v>93</v>
      </c>
      <c r="J924" s="3" t="str">
        <f>HYPERLINK("tel:+917409048849", "+917409048849")</f>
        <v>+917409048849</v>
      </c>
      <c r="K924" s="5" t="str">
        <f t="shared" ref="K924:K925" si="85">HYPERLINK("mailto:nan", "nan")</f>
        <v>nan</v>
      </c>
      <c r="L924" s="6"/>
    </row>
    <row r="925" ht="15.75" customHeight="1">
      <c r="A925" s="3">
        <v>929.0</v>
      </c>
      <c r="B925" s="3" t="s">
        <v>5300</v>
      </c>
      <c r="C925" s="3" t="s">
        <v>5301</v>
      </c>
      <c r="D925" s="3" t="s">
        <v>5302</v>
      </c>
      <c r="E925" s="3" t="s">
        <v>5303</v>
      </c>
      <c r="F925" s="3" t="s">
        <v>5304</v>
      </c>
      <c r="G925" s="3" t="s">
        <v>597</v>
      </c>
      <c r="H925" s="4" t="str">
        <f>HYPERLINK("https://no2roorkee.kvs.ac.in/en/", "https://no2roorkee.kvs.ac.in/en/")</f>
        <v>https://no2roorkee.kvs.ac.in/en/</v>
      </c>
      <c r="I925" s="3" t="s">
        <v>625</v>
      </c>
      <c r="J925" s="3" t="str">
        <f>HYPERLINK("tel:+911332297907", "+911332297907")</f>
        <v>+911332297907</v>
      </c>
      <c r="K925" s="5" t="str">
        <f t="shared" si="85"/>
        <v>nan</v>
      </c>
      <c r="L925" s="6" t="s">
        <v>5305</v>
      </c>
    </row>
    <row r="926" ht="15.75" customHeight="1">
      <c r="A926" s="3">
        <v>930.0</v>
      </c>
      <c r="B926" s="3" t="s">
        <v>5306</v>
      </c>
      <c r="C926" s="3" t="s">
        <v>5307</v>
      </c>
      <c r="D926" s="3" t="s">
        <v>5308</v>
      </c>
      <c r="E926" s="3" t="s">
        <v>5309</v>
      </c>
      <c r="F926" s="3" t="s">
        <v>5310</v>
      </c>
      <c r="G926" s="3" t="s">
        <v>958</v>
      </c>
      <c r="H926" s="4" t="str">
        <f>HYPERLINK("https://tigps.in/", "https://tigps.in/")</f>
        <v>https://tigps.in/</v>
      </c>
      <c r="J926" s="3" t="str">
        <f>HYPERLINK("tel:+917029381692", "+917029381692")</f>
        <v>+917029381692</v>
      </c>
      <c r="K926" s="5" t="str">
        <f>HYPERLINK("mailto:info@tigps.in", "info@tigps.in")</f>
        <v>info@tigps.in</v>
      </c>
      <c r="L926" s="6" t="s">
        <v>5311</v>
      </c>
    </row>
    <row r="927" ht="15.75" customHeight="1">
      <c r="A927" s="3">
        <v>931.0</v>
      </c>
      <c r="B927" s="3" t="s">
        <v>5312</v>
      </c>
      <c r="C927" s="3" t="s">
        <v>5313</v>
      </c>
      <c r="D927" s="3" t="s">
        <v>5314</v>
      </c>
      <c r="E927" s="3" t="s">
        <v>5315</v>
      </c>
      <c r="F927" s="3" t="s">
        <v>5316</v>
      </c>
      <c r="G927" s="3" t="s">
        <v>31</v>
      </c>
      <c r="H927" s="4" t="str">
        <f>HYPERLINK("https://vemsputtur.com/", "https://vemsputtur.com/")</f>
        <v>https://vemsputtur.com/</v>
      </c>
      <c r="I927" s="3" t="s">
        <v>5317</v>
      </c>
      <c r="J927" s="3" t="str">
        <f>HYPERLINK("tel:+919449678333", "+919449678333")</f>
        <v>+919449678333</v>
      </c>
      <c r="K927" s="5" t="str">
        <f>HYPERLINK("mailto:school.vem@gmail.com", "school.vem@gmail.com")</f>
        <v>school.vem@gmail.com</v>
      </c>
      <c r="L927" s="6" t="s">
        <v>5318</v>
      </c>
    </row>
    <row r="928" ht="15.75" customHeight="1">
      <c r="A928" s="3">
        <v>932.0</v>
      </c>
      <c r="B928" s="3" t="s">
        <v>5319</v>
      </c>
      <c r="C928" s="3" t="s">
        <v>2219</v>
      </c>
      <c r="D928" s="3" t="s">
        <v>5320</v>
      </c>
      <c r="E928" s="3" t="s">
        <v>5321</v>
      </c>
      <c r="F928" s="3" t="s">
        <v>2222</v>
      </c>
      <c r="G928" s="3" t="s">
        <v>31</v>
      </c>
      <c r="H928" s="4" t="str">
        <f>HYPERLINK("https://schools.org.in/belagavi-chikkodi/29300906401/sbs-kanya-shala-high-school-nippani.html", "https://schools.org.in/belagavi-chikkodi/29300906401/sbs-kanya-shala-high-school-nippani.html")</f>
        <v>https://schools.org.in/belagavi-chikkodi/29300906401/sbs-kanya-shala-high-school-nippani.html</v>
      </c>
      <c r="I928" s="3" t="s">
        <v>2223</v>
      </c>
      <c r="J928" s="3" t="str">
        <f t="shared" ref="J928:J929" si="86">HYPERLINK("tel:nan", "nan")</f>
        <v>nan</v>
      </c>
      <c r="K928" s="5" t="str">
        <f t="shared" ref="K928:K929" si="87">HYPERLINK("mailto:nan", "nan")</f>
        <v>nan</v>
      </c>
      <c r="L928" s="6" t="s">
        <v>2224</v>
      </c>
    </row>
    <row r="929" ht="15.75" customHeight="1">
      <c r="A929" s="3">
        <v>933.0</v>
      </c>
      <c r="B929" s="3" t="s">
        <v>5322</v>
      </c>
      <c r="C929" s="3" t="s">
        <v>5323</v>
      </c>
      <c r="D929" s="3" t="s">
        <v>5324</v>
      </c>
      <c r="E929" s="3" t="s">
        <v>5325</v>
      </c>
      <c r="F929" s="3" t="s">
        <v>5326</v>
      </c>
      <c r="G929" s="3" t="s">
        <v>58</v>
      </c>
      <c r="H929" s="4" t="str">
        <f>HYPERLINK("https://schools.org.in/malappuram/32050200405/akhmups-kannamvettikave.html", "https://schools.org.in/malappuram/32050200405/akhmups-kannamvettikave.html")</f>
        <v>https://schools.org.in/malappuram/32050200405/akhmups-kannamvettikave.html</v>
      </c>
      <c r="I929" s="3" t="s">
        <v>5327</v>
      </c>
      <c r="J929" s="3" t="str">
        <f t="shared" si="86"/>
        <v>nan</v>
      </c>
      <c r="K929" s="5" t="str">
        <f t="shared" si="87"/>
        <v>nan</v>
      </c>
      <c r="L929" s="6" t="s">
        <v>5328</v>
      </c>
    </row>
    <row r="930" ht="15.75" customHeight="1">
      <c r="A930" s="3">
        <v>934.0</v>
      </c>
      <c r="B930" s="3" t="s">
        <v>5329</v>
      </c>
      <c r="C930" s="3" t="s">
        <v>2950</v>
      </c>
      <c r="D930" s="3" t="s">
        <v>5330</v>
      </c>
      <c r="E930" s="3" t="s">
        <v>5331</v>
      </c>
      <c r="F930" s="3" t="s">
        <v>5332</v>
      </c>
      <c r="G930" s="3" t="s">
        <v>58</v>
      </c>
      <c r="H930" s="4" t="str">
        <f>HYPERLINK("http://mgmhssthiruvalla.blogspot.com/", "http://mgmhssthiruvalla.blogspot.com/")</f>
        <v>http://mgmhssthiruvalla.blogspot.com/</v>
      </c>
      <c r="I930" s="3" t="s">
        <v>2954</v>
      </c>
      <c r="J930" s="3" t="str">
        <f>HYPERLINK("tel:+914692602425", "+914692602425")</f>
        <v>+914692602425</v>
      </c>
      <c r="K930" s="5" t="str">
        <f>HYPERLINK("mailto:mgmhsstvla44@gmail.com", "mgmhsstvla44@gmail.com")</f>
        <v>mgmhsstvla44@gmail.com</v>
      </c>
      <c r="L930" s="6" t="s">
        <v>5333</v>
      </c>
    </row>
    <row r="931" ht="15.75" customHeight="1">
      <c r="A931" s="3">
        <v>935.0</v>
      </c>
      <c r="B931" s="3" t="s">
        <v>5334</v>
      </c>
      <c r="C931" s="3" t="s">
        <v>5335</v>
      </c>
      <c r="D931" s="3" t="s">
        <v>5336</v>
      </c>
      <c r="E931" s="3" t="s">
        <v>5337</v>
      </c>
      <c r="F931" s="3" t="s">
        <v>5338</v>
      </c>
      <c r="G931" s="3" t="s">
        <v>115</v>
      </c>
      <c r="H931" s="4" t="str">
        <f>HYPERLINK("https://dpskolar.org/", "https://dpskolar.org/")</f>
        <v>https://dpskolar.org/</v>
      </c>
      <c r="J931" s="3" t="str">
        <f>HYPERLINK("tel:+917556611403", "+917556611403")</f>
        <v>+917556611403</v>
      </c>
      <c r="K931" s="5" t="str">
        <f t="shared" ref="K931:K932" si="88">HYPERLINK("mailto:nan", "nan")</f>
        <v>nan</v>
      </c>
      <c r="L931" s="6"/>
    </row>
    <row r="932" ht="15.75" customHeight="1">
      <c r="A932" s="3">
        <v>936.0</v>
      </c>
      <c r="B932" s="3" t="s">
        <v>5339</v>
      </c>
      <c r="C932" s="3" t="s">
        <v>5340</v>
      </c>
      <c r="D932" s="3" t="s">
        <v>5341</v>
      </c>
      <c r="E932" s="3" t="s">
        <v>5342</v>
      </c>
      <c r="F932" s="3" t="s">
        <v>5343</v>
      </c>
      <c r="G932" s="3" t="s">
        <v>38</v>
      </c>
      <c r="H932" s="4" t="str">
        <f>HYPERLINK("https://schools.org.in/osmanabad/27290512702/samarth-ashram-p-school-yevti.html", "https://schools.org.in/osmanabad/27290512702/samarth-ashram-p-school-yevti.html")</f>
        <v>https://schools.org.in/osmanabad/27290512702/samarth-ashram-p-school-yevti.html</v>
      </c>
      <c r="I932" s="3" t="s">
        <v>5344</v>
      </c>
      <c r="J932" s="3" t="str">
        <f>HYPERLINK("tel:+919764929992", "+919764929992")</f>
        <v>+919764929992</v>
      </c>
      <c r="K932" s="5" t="str">
        <f t="shared" si="88"/>
        <v>nan</v>
      </c>
      <c r="L932" s="6" t="s">
        <v>5345</v>
      </c>
    </row>
    <row r="933" ht="15.75" customHeight="1">
      <c r="A933" s="3">
        <v>937.0</v>
      </c>
      <c r="B933" s="3" t="s">
        <v>5346</v>
      </c>
      <c r="C933" s="3" t="s">
        <v>5347</v>
      </c>
      <c r="D933" s="3" t="s">
        <v>5348</v>
      </c>
      <c r="E933" s="3" t="s">
        <v>5349</v>
      </c>
      <c r="F933" s="3" t="s">
        <v>5350</v>
      </c>
      <c r="G933" s="3" t="s">
        <v>265</v>
      </c>
      <c r="H933" s="4" t="str">
        <f>HYPERLINK("https://bvmusn.com/", "https://bvmusn.com/")</f>
        <v>https://bvmusn.com/</v>
      </c>
      <c r="I933" s="3" t="s">
        <v>4269</v>
      </c>
      <c r="J933" s="3" t="str">
        <f>HYPERLINK("tel:+911612302660", "+911612302660")</f>
        <v>+911612302660</v>
      </c>
      <c r="K933" s="5" t="str">
        <f>HYPERLINK("mailto:bvmusn@bvmschools.com", "bvmusn@bvmschools.com")</f>
        <v>bvmusn@bvmschools.com</v>
      </c>
      <c r="L933" s="6" t="s">
        <v>4270</v>
      </c>
    </row>
    <row r="934" ht="15.75" customHeight="1">
      <c r="A934" s="3">
        <v>938.0</v>
      </c>
      <c r="B934" s="3" t="s">
        <v>5351</v>
      </c>
      <c r="C934" s="3" t="s">
        <v>2066</v>
      </c>
      <c r="D934" s="3" t="s">
        <v>5352</v>
      </c>
      <c r="E934" s="3" t="s">
        <v>5353</v>
      </c>
      <c r="F934" s="3" t="s">
        <v>2069</v>
      </c>
      <c r="G934" s="3" t="s">
        <v>138</v>
      </c>
      <c r="H934" s="4" t="str">
        <f>HYPERLINK("https://jaipuriaghaziabad.edu.in/", "https://jaipuriaghaziabad.edu.in/")</f>
        <v>https://jaipuriaghaziabad.edu.in/</v>
      </c>
      <c r="J934" s="3" t="str">
        <f>HYPERLINK("tel:+919151005503", "+919151005503")</f>
        <v>+919151005503</v>
      </c>
      <c r="K934" s="5" t="str">
        <f>HYPERLINK("mailto:officialjpsnaini@gmail.com", "officialjpsnaini@gmail.com")</f>
        <v>officialjpsnaini@gmail.com</v>
      </c>
      <c r="L934" s="6"/>
    </row>
    <row r="935" ht="15.75" customHeight="1">
      <c r="A935" s="3">
        <v>939.0</v>
      </c>
      <c r="B935" s="3" t="s">
        <v>5354</v>
      </c>
      <c r="C935" s="3" t="s">
        <v>5355</v>
      </c>
      <c r="D935" s="3" t="s">
        <v>5356</v>
      </c>
      <c r="E935" s="3" t="s">
        <v>5357</v>
      </c>
      <c r="F935" s="3" t="s">
        <v>5358</v>
      </c>
      <c r="G935" s="3" t="s">
        <v>2350</v>
      </c>
      <c r="H935" s="4" t="str">
        <f>HYPERLINK("http://ghsschowkham.weebly.com/", "http://ghsschowkham.weebly.com/")</f>
        <v>http://ghsschowkham.weebly.com/</v>
      </c>
      <c r="I935" s="3" t="s">
        <v>5359</v>
      </c>
      <c r="J935" s="3" t="str">
        <f>HYPERLINK("tel:+913806222038", "+913806222038")</f>
        <v>+913806222038</v>
      </c>
      <c r="K935" s="5" t="str">
        <f>HYPERLINK("mailto:nan", "nan")</f>
        <v>nan</v>
      </c>
      <c r="L935" s="6" t="s">
        <v>5360</v>
      </c>
    </row>
    <row r="936" ht="15.75" customHeight="1">
      <c r="A936" s="3">
        <v>940.0</v>
      </c>
      <c r="B936" s="3" t="s">
        <v>5361</v>
      </c>
      <c r="C936" s="3" t="s">
        <v>5362</v>
      </c>
      <c r="D936" s="3" t="s">
        <v>5363</v>
      </c>
      <c r="E936" s="3" t="s">
        <v>1540</v>
      </c>
      <c r="F936" s="3" t="s">
        <v>5364</v>
      </c>
      <c r="G936" s="3" t="s">
        <v>2506</v>
      </c>
      <c r="H936" s="4" t="str">
        <f>HYPERLINK("https://ddd.gov.in/", "https://ddd.gov.in/")</f>
        <v>https://ddd.gov.in/</v>
      </c>
      <c r="I936" s="3" t="s">
        <v>5365</v>
      </c>
      <c r="J936" s="3" t="str">
        <f>HYPERLINK("tel:+912602230003", "+912602230003")</f>
        <v>+912602230003</v>
      </c>
      <c r="K936" s="5" t="str">
        <f>HYPERLINK("mailto:support-ddd@ddd.gov.in", "support-ddd@ddd.gov.in")</f>
        <v>support-ddd@ddd.gov.in</v>
      </c>
      <c r="L936" s="6" t="s">
        <v>2508</v>
      </c>
    </row>
    <row r="937" ht="15.75" customHeight="1">
      <c r="A937" s="3">
        <v>941.0</v>
      </c>
      <c r="B937" s="3" t="s">
        <v>5366</v>
      </c>
      <c r="C937" s="3" t="s">
        <v>3204</v>
      </c>
      <c r="D937" s="3" t="s">
        <v>5367</v>
      </c>
      <c r="E937" s="3" t="s">
        <v>5368</v>
      </c>
      <c r="F937" s="3" t="s">
        <v>3207</v>
      </c>
      <c r="G937" s="3" t="s">
        <v>272</v>
      </c>
      <c r="H937" s="4" t="str">
        <f>HYPERLINK("https://swreis.ap.gov.in/", "https://swreis.ap.gov.in/")</f>
        <v>https://swreis.ap.gov.in/</v>
      </c>
      <c r="I937" s="3" t="s">
        <v>625</v>
      </c>
      <c r="J937" s="3" t="str">
        <f>HYPERLINK("tel:+918662410017", "+918662410017")</f>
        <v>+918662410017</v>
      </c>
      <c r="K937" s="5" t="str">
        <f>HYPERLINK("mailto:ceo.serp@gmail.com", "ceo.serp@gmail.com")</f>
        <v>ceo.serp@gmail.com</v>
      </c>
      <c r="L937" s="6"/>
    </row>
    <row r="938" ht="15.75" customHeight="1">
      <c r="A938" s="3">
        <v>943.0</v>
      </c>
      <c r="B938" s="3" t="s">
        <v>5369</v>
      </c>
      <c r="C938" s="3" t="s">
        <v>5370</v>
      </c>
      <c r="D938" s="3" t="s">
        <v>5371</v>
      </c>
      <c r="E938" s="3" t="s">
        <v>5372</v>
      </c>
      <c r="F938" s="3" t="s">
        <v>5373</v>
      </c>
      <c r="G938" s="3" t="s">
        <v>182</v>
      </c>
      <c r="H938" s="4" t="str">
        <f>HYPERLINK("https://www.apsjammucantt.com/apsjcnew/about.aspx", "https://www.apsjammucantt.com/apsjcnew/about.aspx")</f>
        <v>https://www.apsjammucantt.com/apsjcnew/about.aspx</v>
      </c>
      <c r="I938" s="3" t="s">
        <v>5374</v>
      </c>
      <c r="J938" s="3" t="str">
        <f>HYPERLINK("tel:+911912263164", "+911912263164")</f>
        <v>+911912263164</v>
      </c>
      <c r="K938" s="5" t="str">
        <f>HYPERLINK("mailto:tappsjammu@awesindia.edu.in", "tappsjammu@awesindia.edu.in")</f>
        <v>tappsjammu@awesindia.edu.in</v>
      </c>
      <c r="L938" s="6" t="s">
        <v>5375</v>
      </c>
    </row>
    <row r="939" ht="15.75" customHeight="1">
      <c r="A939" s="3">
        <v>944.0</v>
      </c>
      <c r="B939" s="3" t="s">
        <v>5376</v>
      </c>
      <c r="C939" s="3" t="s">
        <v>5377</v>
      </c>
      <c r="D939" s="3" t="s">
        <v>5378</v>
      </c>
      <c r="E939" s="3" t="s">
        <v>5379</v>
      </c>
      <c r="F939" s="3" t="s">
        <v>5380</v>
      </c>
      <c r="G939" s="3" t="s">
        <v>58</v>
      </c>
      <c r="H939" s="4" t="str">
        <f>HYPERLINK("http://sjghs.com/", "http://sjghs.com/")</f>
        <v>http://sjghs.com/</v>
      </c>
      <c r="I939" s="3" t="s">
        <v>5381</v>
      </c>
      <c r="J939" s="3" t="str">
        <f>HYPERLINK("tel:+914842460577", "+914842460577")</f>
        <v>+914842460577</v>
      </c>
      <c r="K939" s="5" t="str">
        <f>HYPERLINK("mailto:stjosephschengal@yahoo.com", "stjosephschengal@yahoo.com")</f>
        <v>stjosephschengal@yahoo.com</v>
      </c>
      <c r="L939" s="6" t="s">
        <v>5382</v>
      </c>
    </row>
    <row r="940" ht="15.75" customHeight="1">
      <c r="A940" s="3">
        <v>945.0</v>
      </c>
      <c r="B940" s="3" t="s">
        <v>5383</v>
      </c>
      <c r="C940" s="3" t="s">
        <v>5384</v>
      </c>
      <c r="D940" s="3" t="s">
        <v>5385</v>
      </c>
      <c r="E940" s="3" t="s">
        <v>5386</v>
      </c>
      <c r="F940" s="3" t="s">
        <v>5387</v>
      </c>
      <c r="G940" s="3" t="s">
        <v>58</v>
      </c>
      <c r="H940" s="4" t="str">
        <f>HYPERLINK("https://strochshighschool.com/", "https://strochshighschool.com/")</f>
        <v>https://strochshighschool.com/</v>
      </c>
      <c r="I940" s="3" t="s">
        <v>5388</v>
      </c>
      <c r="J940" s="3" t="str">
        <f>HYPERLINK("tel:+914712501650", "+914712501650")</f>
        <v>+914712501650</v>
      </c>
      <c r="K940" s="5" t="str">
        <f>HYPERLINK("mailto:st.rochshs@gmail.com", "st.rochshs@gmail.com")</f>
        <v>st.rochshs@gmail.com</v>
      </c>
      <c r="L940" s="6" t="s">
        <v>5389</v>
      </c>
    </row>
    <row r="941" ht="15.75" customHeight="1">
      <c r="A941" s="3">
        <v>946.0</v>
      </c>
      <c r="B941" s="3" t="s">
        <v>5390</v>
      </c>
      <c r="C941" s="3" t="s">
        <v>5391</v>
      </c>
      <c r="D941" s="3" t="s">
        <v>5392</v>
      </c>
      <c r="E941" s="3" t="s">
        <v>5393</v>
      </c>
      <c r="F941" s="3" t="s">
        <v>5394</v>
      </c>
      <c r="G941" s="3" t="s">
        <v>356</v>
      </c>
      <c r="H941" s="4" t="str">
        <f>HYPERLINK("https://chatrapur.kvs.ac.in/en/", "https://chatrapur.kvs.ac.in/en/")</f>
        <v>https://chatrapur.kvs.ac.in/en/</v>
      </c>
      <c r="I941" s="3" t="s">
        <v>5395</v>
      </c>
      <c r="J941" s="3" t="str">
        <f>HYPERLINK("tel:+916811295255", "+916811295255")</f>
        <v>+916811295255</v>
      </c>
      <c r="K941" s="5" t="str">
        <f>HYPERLINK("mailto:nan", "nan")</f>
        <v>nan</v>
      </c>
      <c r="L941" s="6"/>
    </row>
    <row r="942" ht="15.75" customHeight="1">
      <c r="A942" s="3">
        <v>947.0</v>
      </c>
      <c r="B942" s="3" t="s">
        <v>5396</v>
      </c>
      <c r="C942" s="3" t="s">
        <v>5397</v>
      </c>
      <c r="D942" s="3" t="s">
        <v>5398</v>
      </c>
      <c r="E942" s="3" t="s">
        <v>5399</v>
      </c>
      <c r="F942" s="3" t="s">
        <v>5400</v>
      </c>
      <c r="G942" s="3" t="s">
        <v>17</v>
      </c>
      <c r="H942" s="4" t="str">
        <f>HYPERLINK("https://bhc.edu.in/", "https://bhc.edu.in/")</f>
        <v>https://bhc.edu.in/</v>
      </c>
      <c r="I942" s="3" t="s">
        <v>5401</v>
      </c>
      <c r="J942" s="3" t="str">
        <f>HYPERLINK("tel:+914312770136", "+914312770136")</f>
        <v>+914312770136</v>
      </c>
      <c r="K942" s="5" t="str">
        <f>HYPERLINK("mailto:hello@scribd.com", "hello@scribd.com")</f>
        <v>hello@scribd.com</v>
      </c>
      <c r="L942" s="6" t="s">
        <v>5402</v>
      </c>
    </row>
    <row r="943" ht="15.75" customHeight="1">
      <c r="A943" s="3">
        <v>948.0</v>
      </c>
      <c r="B943" s="3" t="s">
        <v>5403</v>
      </c>
      <c r="C943" s="3" t="s">
        <v>5404</v>
      </c>
      <c r="D943" s="3" t="s">
        <v>5405</v>
      </c>
      <c r="E943" s="3" t="s">
        <v>5406</v>
      </c>
      <c r="F943" s="3" t="s">
        <v>5407</v>
      </c>
      <c r="G943" s="3" t="s">
        <v>17</v>
      </c>
      <c r="H943" s="4" t="str">
        <f>HYPERLINK("https://schools.org.in/coimbatore/33120200805/government-higher-secondary-school-chettipalayam.html", "https://schools.org.in/coimbatore/33120200805/government-higher-secondary-school-chettipalayam.html")</f>
        <v>https://schools.org.in/coimbatore/33120200805/government-higher-secondary-school-chettipalayam.html</v>
      </c>
      <c r="I943" s="3" t="s">
        <v>5408</v>
      </c>
      <c r="J943" s="3" t="str">
        <f>HYPERLINK("tel:+919578784848", "+919578784848")</f>
        <v>+919578784848</v>
      </c>
      <c r="K943" s="5" t="str">
        <f>HYPERLINK("mailto:karuvalur@gmail.com", "karuvalur@gmail.com")</f>
        <v>karuvalur@gmail.com</v>
      </c>
      <c r="L943" s="6" t="s">
        <v>5409</v>
      </c>
    </row>
    <row r="944" ht="15.75" customHeight="1">
      <c r="A944" s="3">
        <v>949.0</v>
      </c>
      <c r="B944" s="3" t="s">
        <v>5410</v>
      </c>
      <c r="C944" s="3" t="s">
        <v>5411</v>
      </c>
      <c r="D944" s="3" t="s">
        <v>5412</v>
      </c>
      <c r="E944" s="3" t="s">
        <v>5413</v>
      </c>
      <c r="F944" s="3" t="s">
        <v>5414</v>
      </c>
      <c r="G944" s="3" t="s">
        <v>17</v>
      </c>
      <c r="H944" s="4" t="str">
        <f>HYPERLINK("https://www.justdial.com/Ramanathapuram/Government-Higher-Secondary-School-Mandapam-Camp-Mandapam/9999P4567-4567-171230041748-N7V7_BZDET", "https://www.justdial.com/Ramanathapuram/Government-Higher-Secondary-School-Mandapam-Camp-Mandapam/9999P4567-4567-171230041748-N7V7_BZDET")</f>
        <v>https://www.justdial.com/Ramanathapuram/Government-Higher-Secondary-School-Mandapam-Camp-Mandapam/9999P4567-4567-171230041748-N7V7_BZDET</v>
      </c>
      <c r="I944" s="3" t="s">
        <v>5415</v>
      </c>
      <c r="J944" s="3" t="str">
        <f>HYPERLINK("tel:+914573241561", "+914573241561")</f>
        <v>+914573241561</v>
      </c>
      <c r="K944" s="5" t="str">
        <f>HYPERLINK("mailto:nan", "nan")</f>
        <v>nan</v>
      </c>
      <c r="L944" s="6" t="s">
        <v>5416</v>
      </c>
    </row>
    <row r="945" ht="15.75" customHeight="1">
      <c r="A945" s="3">
        <v>950.0</v>
      </c>
      <c r="B945" s="3" t="s">
        <v>5417</v>
      </c>
      <c r="C945" s="3" t="s">
        <v>5418</v>
      </c>
      <c r="D945" s="3" t="s">
        <v>5419</v>
      </c>
      <c r="E945" s="3" t="s">
        <v>5420</v>
      </c>
      <c r="F945" s="3" t="s">
        <v>5421</v>
      </c>
      <c r="G945" s="3" t="s">
        <v>17</v>
      </c>
      <c r="H945" s="4" t="str">
        <f>HYPERLINK("https://stjosephperambur.com/", "https://stjosephperambur.com/")</f>
        <v>https://stjosephperambur.com/</v>
      </c>
      <c r="I945" s="3" t="s">
        <v>5422</v>
      </c>
      <c r="J945" s="3" t="str">
        <f>HYPERLINK("tel:+914426701617", "+914426701617")</f>
        <v>+914426701617</v>
      </c>
      <c r="K945" s="5" t="str">
        <f>HYPERLINK("mailto:stjosephperambur@gmail.com", "stjosephperambur@gmail.com")</f>
        <v>stjosephperambur@gmail.com</v>
      </c>
      <c r="L945" s="6" t="s">
        <v>5423</v>
      </c>
    </row>
    <row r="946" ht="15.75" customHeight="1">
      <c r="A946" s="3">
        <v>951.0</v>
      </c>
      <c r="B946" s="3" t="s">
        <v>5424</v>
      </c>
      <c r="C946" s="3" t="s">
        <v>5425</v>
      </c>
      <c r="D946" s="3" t="s">
        <v>5426</v>
      </c>
      <c r="E946" s="3" t="s">
        <v>5427</v>
      </c>
      <c r="F946" s="3" t="s">
        <v>5428</v>
      </c>
      <c r="G946" s="3" t="s">
        <v>5429</v>
      </c>
      <c r="H946" s="4" t="str">
        <f>HYPERLINK("https://stpaulsinstitute.in/", "https://stpaulsinstitute.in/")</f>
        <v>https://stpaulsinstitute.in/</v>
      </c>
      <c r="I946" s="3" t="s">
        <v>5430</v>
      </c>
      <c r="J946" s="3" t="str">
        <f>HYPERLINK("tel:nan", "nan")</f>
        <v>nan</v>
      </c>
      <c r="K946" s="5" t="str">
        <f>HYPERLINK("mailto:info@careers360.com", "info@careers360.com")</f>
        <v>info@careers360.com</v>
      </c>
      <c r="L946" s="6" t="s">
        <v>5431</v>
      </c>
    </row>
    <row r="947" ht="15.75" customHeight="1">
      <c r="A947" s="3">
        <v>952.0</v>
      </c>
      <c r="B947" s="3" t="s">
        <v>5432</v>
      </c>
      <c r="C947" s="3" t="s">
        <v>3998</v>
      </c>
      <c r="D947" s="3" t="s">
        <v>5433</v>
      </c>
      <c r="E947" s="3" t="s">
        <v>5434</v>
      </c>
      <c r="F947" s="3" t="s">
        <v>4001</v>
      </c>
      <c r="G947" s="3" t="s">
        <v>70</v>
      </c>
      <c r="H947" s="4" t="str">
        <f>HYPERLINK("https://no1jaipur.kvs.ac.in/en/", "https://no1jaipur.kvs.ac.in/en/")</f>
        <v>https://no1jaipur.kvs.ac.in/en/</v>
      </c>
      <c r="I947" s="3" t="s">
        <v>86</v>
      </c>
      <c r="J947" s="3" t="str">
        <f>HYPERLINK("tel:+911412706742", "+911412706742")</f>
        <v>+911412706742</v>
      </c>
      <c r="K947" s="5" t="str">
        <f>HYPERLINK("mailto:kv1jpr@rediffmail.com", "kv1jpr@rediffmail.com")</f>
        <v>kv1jpr@rediffmail.com</v>
      </c>
      <c r="L947" s="6" t="s">
        <v>4002</v>
      </c>
    </row>
    <row r="948" ht="15.75" customHeight="1">
      <c r="A948" s="3">
        <v>953.0</v>
      </c>
      <c r="B948" s="3" t="s">
        <v>5435</v>
      </c>
      <c r="C948" s="3" t="s">
        <v>5436</v>
      </c>
      <c r="D948" s="3" t="s">
        <v>5437</v>
      </c>
      <c r="E948" s="3" t="s">
        <v>5438</v>
      </c>
      <c r="F948" s="3" t="s">
        <v>5439</v>
      </c>
      <c r="G948" s="3" t="s">
        <v>138</v>
      </c>
      <c r="H948" s="4" t="str">
        <f>HYPERLINK("https://rvninternationalschool.com/", "https://rvninternationalschool.com/")</f>
        <v>https://rvninternationalschool.com/</v>
      </c>
      <c r="J948" s="3" t="str">
        <f>HYPERLINK("tel:nan", "nan")</f>
        <v>nan</v>
      </c>
      <c r="K948" s="5" t="str">
        <f>HYPERLINK("mailto:nan", "nan")</f>
        <v>nan</v>
      </c>
      <c r="L948" s="6"/>
    </row>
    <row r="949" ht="15.75" customHeight="1">
      <c r="A949" s="3">
        <v>954.0</v>
      </c>
      <c r="B949" s="3" t="s">
        <v>5440</v>
      </c>
      <c r="C949" s="3" t="s">
        <v>3745</v>
      </c>
      <c r="D949" s="3" t="s">
        <v>4493</v>
      </c>
      <c r="E949" s="3" t="s">
        <v>5441</v>
      </c>
      <c r="F949" s="3" t="s">
        <v>3748</v>
      </c>
      <c r="G949" s="3" t="s">
        <v>597</v>
      </c>
      <c r="H949" s="4" t="str">
        <f>HYPERLINK("http://www.vidyabharatialumni.org/school/92110", "http://www.vidyabharatialumni.org/school/92110")</f>
        <v>http://www.vidyabharatialumni.org/school/92110</v>
      </c>
      <c r="I949" s="3" t="s">
        <v>3245</v>
      </c>
      <c r="J949" s="3" t="str">
        <f>HYPERLINK("tel:+918433472500", "+918433472500")</f>
        <v>+918433472500</v>
      </c>
      <c r="K949" s="5" t="str">
        <f>HYPERLINK("mailto:vvmictanakpur@gmail.com", "vvmictanakpur@gmail.com")</f>
        <v>vvmictanakpur@gmail.com</v>
      </c>
      <c r="L949" s="6"/>
    </row>
    <row r="950" ht="15.75" customHeight="1">
      <c r="A950" s="3">
        <v>955.0</v>
      </c>
      <c r="B950" s="3" t="s">
        <v>5442</v>
      </c>
      <c r="C950" s="3" t="s">
        <v>5443</v>
      </c>
      <c r="D950" s="3" t="s">
        <v>5444</v>
      </c>
      <c r="E950" s="3" t="s">
        <v>5445</v>
      </c>
      <c r="F950" s="3" t="s">
        <v>5446</v>
      </c>
      <c r="G950" s="3" t="s">
        <v>272</v>
      </c>
      <c r="H950" s="4" t="str">
        <f>HYPERLINK("https://swreis.ap.gov.in/", "https://swreis.ap.gov.in/")</f>
        <v>https://swreis.ap.gov.in/</v>
      </c>
      <c r="I950" s="3" t="s">
        <v>5447</v>
      </c>
      <c r="J950" s="3" t="str">
        <f>HYPERLINK("tel:nan", "nan")</f>
        <v>nan</v>
      </c>
      <c r="K950" s="5" t="str">
        <f>HYPERLINK("mailto:info@careers360.com", "info@careers360.com")</f>
        <v>info@careers360.com</v>
      </c>
      <c r="L950" s="6" t="s">
        <v>5448</v>
      </c>
    </row>
    <row r="951" ht="15.75" customHeight="1">
      <c r="A951" s="3">
        <v>956.0</v>
      </c>
      <c r="B951" s="3" t="s">
        <v>5449</v>
      </c>
      <c r="C951" s="3" t="s">
        <v>5450</v>
      </c>
      <c r="D951" s="3" t="s">
        <v>5451</v>
      </c>
      <c r="E951" s="3" t="s">
        <v>5452</v>
      </c>
      <c r="F951" s="3" t="s">
        <v>5453</v>
      </c>
      <c r="G951" s="3" t="s">
        <v>272</v>
      </c>
      <c r="H951" s="4" t="str">
        <f>HYPERLINK("https://schools.org.in/visakhapatnam/28130900205/gtw-ashram-school-g-tatiparthi.html", "https://schools.org.in/visakhapatnam/28130900205/gtw-ashram-school-g-tatiparthi.html")</f>
        <v>https://schools.org.in/visakhapatnam/28130900205/gtw-ashram-school-g-tatiparthi.html</v>
      </c>
      <c r="I951" s="3" t="s">
        <v>5454</v>
      </c>
      <c r="J951" s="3" t="str">
        <f>HYPERLINK("tel:+919393939393", "+919393939393")</f>
        <v>+919393939393</v>
      </c>
      <c r="K951" s="5" t="str">
        <f>HYPERLINK("mailto:K@J.MR", "K@J.MR")</f>
        <v>K@J.MR</v>
      </c>
      <c r="L951" s="6" t="s">
        <v>5455</v>
      </c>
    </row>
    <row r="952" ht="15.75" customHeight="1">
      <c r="A952" s="3">
        <v>957.0</v>
      </c>
      <c r="B952" s="3" t="s">
        <v>5456</v>
      </c>
      <c r="C952" s="3" t="s">
        <v>5457</v>
      </c>
      <c r="D952" s="3" t="s">
        <v>5458</v>
      </c>
      <c r="E952" s="3" t="s">
        <v>5459</v>
      </c>
      <c r="F952" s="3" t="s">
        <v>5460</v>
      </c>
      <c r="G952" s="3" t="s">
        <v>85</v>
      </c>
      <c r="H952" s="4" t="str">
        <f>HYPERLINK("https://dpsgaya.com/", "https://dpsgaya.com/")</f>
        <v>https://dpsgaya.com/</v>
      </c>
      <c r="J952" s="3" t="str">
        <f>HYPERLINK("tel:+918521092596", "+918521092596")</f>
        <v>+918521092596</v>
      </c>
      <c r="K952" s="5" t="str">
        <f>HYPERLINK("mailto:info@dpsgaya.com", "info@dpsgaya.com")</f>
        <v>info@dpsgaya.com</v>
      </c>
      <c r="L952" s="6" t="s">
        <v>3335</v>
      </c>
    </row>
    <row r="953" ht="15.75" customHeight="1">
      <c r="A953" s="3">
        <v>958.0</v>
      </c>
      <c r="B953" s="3" t="s">
        <v>5461</v>
      </c>
      <c r="C953" s="3" t="s">
        <v>5462</v>
      </c>
      <c r="D953" s="3" t="s">
        <v>5463</v>
      </c>
      <c r="E953" s="3" t="s">
        <v>5464</v>
      </c>
      <c r="F953" s="3" t="s">
        <v>5465</v>
      </c>
      <c r="G953" s="3" t="s">
        <v>85</v>
      </c>
      <c r="H953" s="4" t="str">
        <f>HYPERLINK("https://no1darbhanga.kvs.ac.in/en/", "https://no1darbhanga.kvs.ac.in/en/")</f>
        <v>https://no1darbhanga.kvs.ac.in/en/</v>
      </c>
      <c r="J953" s="3" t="str">
        <f>HYPERLINK("tel:+916272225035", "+916272225035")</f>
        <v>+916272225035</v>
      </c>
      <c r="K953" s="5" t="str">
        <f>HYPERLINK("mailto:nan", "nan")</f>
        <v>nan</v>
      </c>
      <c r="L953" s="6" t="s">
        <v>5466</v>
      </c>
    </row>
    <row r="954" ht="15.75" customHeight="1">
      <c r="A954" s="3">
        <v>959.0</v>
      </c>
      <c r="B954" s="3" t="s">
        <v>5467</v>
      </c>
      <c r="C954" s="3" t="s">
        <v>5468</v>
      </c>
      <c r="D954" s="3" t="s">
        <v>5469</v>
      </c>
      <c r="E954" s="3" t="s">
        <v>5470</v>
      </c>
      <c r="F954" s="3" t="s">
        <v>5471</v>
      </c>
      <c r="G954" s="3" t="s">
        <v>229</v>
      </c>
      <c r="H954" s="4" t="str">
        <f>HYPERLINK("https://davbhilai.in/", "https://davbhilai.in/")</f>
        <v>https://davbhilai.in/</v>
      </c>
      <c r="J954" s="3" t="str">
        <f>HYPERLINK("tel:+917882241802", "+917882241802")</f>
        <v>+917882241802</v>
      </c>
      <c r="K954" s="5" t="str">
        <f>HYPERLINK("mailto:info@careers360.com", "info@careers360.com")</f>
        <v>info@careers360.com</v>
      </c>
      <c r="L954" s="6"/>
    </row>
    <row r="955" ht="15.75" customHeight="1">
      <c r="A955" s="3">
        <v>960.0</v>
      </c>
      <c r="B955" s="3" t="s">
        <v>5472</v>
      </c>
      <c r="C955" s="3" t="s">
        <v>5473</v>
      </c>
      <c r="D955" s="3" t="s">
        <v>5474</v>
      </c>
      <c r="E955" s="3" t="s">
        <v>5475</v>
      </c>
      <c r="F955" s="3" t="s">
        <v>3639</v>
      </c>
      <c r="G955" s="3" t="s">
        <v>100</v>
      </c>
      <c r="H955" s="4" t="str">
        <f t="shared" ref="H955:H956" si="89">HYPERLINK("https://khms.ac.in/", "https://khms.ac.in/")</f>
        <v>https://khms.ac.in/</v>
      </c>
      <c r="J955" s="3" t="str">
        <f t="shared" ref="J955:J956" si="90">HYPERLINK("tel:+911147091581", "+911147091581")</f>
        <v>+911147091581</v>
      </c>
      <c r="K955" s="5" t="str">
        <f t="shared" ref="K955:K956" si="91">HYPERLINK("mailto:info@hansrajmodelschool.org", "info@hansrajmodelschool.org")</f>
        <v>info@hansrajmodelschool.org</v>
      </c>
      <c r="L955" s="6" t="s">
        <v>1157</v>
      </c>
    </row>
    <row r="956" ht="15.75" customHeight="1">
      <c r="A956" s="3">
        <v>961.0</v>
      </c>
      <c r="B956" s="3" t="s">
        <v>5476</v>
      </c>
      <c r="C956" s="3" t="s">
        <v>5473</v>
      </c>
      <c r="D956" s="3" t="s">
        <v>5477</v>
      </c>
      <c r="E956" s="3" t="s">
        <v>5477</v>
      </c>
      <c r="F956" s="3" t="s">
        <v>3639</v>
      </c>
      <c r="G956" s="3" t="s">
        <v>100</v>
      </c>
      <c r="H956" s="4" t="str">
        <f t="shared" si="89"/>
        <v>https://khms.ac.in/</v>
      </c>
      <c r="J956" s="3" t="str">
        <f t="shared" si="90"/>
        <v>+911147091581</v>
      </c>
      <c r="K956" s="5" t="str">
        <f t="shared" si="91"/>
        <v>info@hansrajmodelschool.org</v>
      </c>
      <c r="L956" s="6" t="s">
        <v>1157</v>
      </c>
    </row>
    <row r="957" ht="15.75" customHeight="1">
      <c r="A957" s="3">
        <v>962.0</v>
      </c>
      <c r="B957" s="3" t="s">
        <v>5478</v>
      </c>
      <c r="C957" s="3" t="s">
        <v>5479</v>
      </c>
      <c r="D957" s="3" t="s">
        <v>5480</v>
      </c>
      <c r="E957" s="3" t="s">
        <v>5480</v>
      </c>
      <c r="F957" s="3" t="s">
        <v>780</v>
      </c>
      <c r="G957" s="3" t="s">
        <v>100</v>
      </c>
      <c r="H957" s="4" t="str">
        <f>HYPERLINK("http://davvasantkunj.org/", "http://davvasantkunj.org/")</f>
        <v>http://davvasantkunj.org/</v>
      </c>
      <c r="I957" s="3" t="s">
        <v>781</v>
      </c>
      <c r="J957" s="3" t="str">
        <f>HYPERLINK("tel:+911146660400", "+911146660400")</f>
        <v>+911146660400</v>
      </c>
      <c r="K957" s="5" t="str">
        <f>HYPERLINK("mailto:davvasantkunj@gmail.com", "davvasantkunj@gmail.com")</f>
        <v>davvasantkunj@gmail.com</v>
      </c>
      <c r="L957" s="6" t="s">
        <v>5481</v>
      </c>
    </row>
    <row r="958" ht="15.75" customHeight="1">
      <c r="A958" s="3">
        <v>963.0</v>
      </c>
      <c r="B958" s="3" t="s">
        <v>5482</v>
      </c>
      <c r="C958" s="3" t="s">
        <v>5483</v>
      </c>
      <c r="D958" s="3" t="s">
        <v>5484</v>
      </c>
      <c r="E958" s="3" t="s">
        <v>5485</v>
      </c>
      <c r="F958" s="3" t="s">
        <v>2087</v>
      </c>
      <c r="G958" s="3" t="s">
        <v>100</v>
      </c>
      <c r="H958" s="4" t="str">
        <f>HYPERLINK("https://arjangarhafs.kvs.ac.in/en/", "https://arjangarhafs.kvs.ac.in/en/")</f>
        <v>https://arjangarhafs.kvs.ac.in/en/</v>
      </c>
      <c r="I958" s="3" t="s">
        <v>2088</v>
      </c>
      <c r="J958" s="3" t="str">
        <f>HYPERLINK("tel:+911126503073", "+911126503073")</f>
        <v>+911126503073</v>
      </c>
      <c r="K958" s="5" t="str">
        <f>HYPERLINK("mailto:dc@kvsrodelhi.in", "dc@kvsrodelhi.in")</f>
        <v>dc@kvsrodelhi.in</v>
      </c>
      <c r="L958" s="6" t="s">
        <v>2089</v>
      </c>
    </row>
    <row r="959" ht="15.75" customHeight="1">
      <c r="A959" s="3">
        <v>964.0</v>
      </c>
      <c r="B959" s="3" t="s">
        <v>5486</v>
      </c>
      <c r="C959" s="3" t="s">
        <v>5473</v>
      </c>
      <c r="D959" s="3" t="s">
        <v>5487</v>
      </c>
      <c r="E959" s="3" t="s">
        <v>5488</v>
      </c>
      <c r="F959" s="3" t="s">
        <v>3639</v>
      </c>
      <c r="G959" s="3" t="s">
        <v>100</v>
      </c>
      <c r="H959" s="4" t="str">
        <f>HYPERLINK("https://khms.ac.in/", "https://khms.ac.in/")</f>
        <v>https://khms.ac.in/</v>
      </c>
      <c r="I959" s="3" t="s">
        <v>286</v>
      </c>
      <c r="J959" s="3" t="str">
        <f>HYPERLINK("tel:+911147091581", "+911147091581")</f>
        <v>+911147091581</v>
      </c>
      <c r="K959" s="5" t="str">
        <f>HYPERLINK("mailto:info@hansrajmodelschool.org", "info@hansrajmodelschool.org")</f>
        <v>info@hansrajmodelschool.org</v>
      </c>
      <c r="L959" s="6" t="s">
        <v>5489</v>
      </c>
    </row>
    <row r="960" ht="15.75" customHeight="1">
      <c r="A960" s="3">
        <v>965.0</v>
      </c>
      <c r="B960" s="3" t="s">
        <v>5490</v>
      </c>
      <c r="C960" s="3" t="s">
        <v>5491</v>
      </c>
      <c r="D960" s="3" t="s">
        <v>5492</v>
      </c>
      <c r="E960" s="3" t="s">
        <v>5493</v>
      </c>
      <c r="F960" s="3" t="s">
        <v>150</v>
      </c>
      <c r="G960" s="3" t="s">
        <v>24</v>
      </c>
      <c r="H960" s="4" t="str">
        <f>HYPERLINK("https://amityschools.in/gurugram46/", "https://amityschools.in/gurugram46/")</f>
        <v>https://amityschools.in/gurugram46/</v>
      </c>
      <c r="J960" s="3" t="str">
        <f>HYPERLINK("tel:+919810024354", "+919810024354")</f>
        <v>+919810024354</v>
      </c>
      <c r="K960" s="5" t="str">
        <f>HYPERLINK("mailto:aisg46@amity.edu", "aisg46@amity.edu")</f>
        <v>aisg46@amity.edu</v>
      </c>
      <c r="L960" s="6" t="s">
        <v>151</v>
      </c>
    </row>
    <row r="961" ht="15.75" customHeight="1">
      <c r="A961" s="3">
        <v>966.0</v>
      </c>
      <c r="B961" s="3" t="s">
        <v>5494</v>
      </c>
      <c r="C961" s="3" t="s">
        <v>5495</v>
      </c>
      <c r="D961" s="3" t="s">
        <v>5496</v>
      </c>
      <c r="E961" s="3" t="s">
        <v>5497</v>
      </c>
      <c r="F961" s="3" t="s">
        <v>5498</v>
      </c>
      <c r="G961" s="3" t="s">
        <v>24</v>
      </c>
      <c r="H961" s="4" t="str">
        <f>HYPERLINK("https://dpssl.net/", "https://dpssl.net/")</f>
        <v>https://dpssl.net/</v>
      </c>
      <c r="J961" s="3" t="str">
        <f>HYPERLINK("tel:+919643308834", "+919643308834")</f>
        <v>+919643308834</v>
      </c>
      <c r="K961" s="5" t="str">
        <f>HYPERLINK("mailto:info@dpssl.net", "info@dpssl.net")</f>
        <v>info@dpssl.net</v>
      </c>
      <c r="L961" s="6" t="s">
        <v>5499</v>
      </c>
    </row>
    <row r="962" ht="15.75" customHeight="1">
      <c r="A962" s="3">
        <v>967.0</v>
      </c>
      <c r="B962" s="3" t="s">
        <v>5500</v>
      </c>
      <c r="C962" s="3" t="s">
        <v>5501</v>
      </c>
      <c r="D962" s="3" t="s">
        <v>5502</v>
      </c>
      <c r="E962" s="3" t="s">
        <v>5503</v>
      </c>
      <c r="F962" s="3" t="s">
        <v>3089</v>
      </c>
      <c r="G962" s="3" t="s">
        <v>51</v>
      </c>
      <c r="H962" s="4" t="str">
        <f>HYPERLINK("https://schools.org.in/mandi/02050602003/gsss-bhangrotu.html", "https://schools.org.in/mandi/02050602003/gsss-bhangrotu.html")</f>
        <v>https://schools.org.in/mandi/02050602003/gsss-bhangrotu.html</v>
      </c>
      <c r="I962" s="3" t="s">
        <v>3090</v>
      </c>
      <c r="J962" s="3" t="str">
        <f>HYPERLINK("tel:+912050602003", "+912050602003")</f>
        <v>+912050602003</v>
      </c>
      <c r="K962" s="5" t="str">
        <f>HYPERLINK("mailto:nan", "nan")</f>
        <v>nan</v>
      </c>
      <c r="L962" s="6" t="s">
        <v>3091</v>
      </c>
    </row>
    <row r="963" ht="15.75" customHeight="1">
      <c r="A963" s="3">
        <v>968.0</v>
      </c>
      <c r="B963" s="3" t="s">
        <v>5504</v>
      </c>
      <c r="C963" s="3" t="s">
        <v>5505</v>
      </c>
      <c r="D963" s="3" t="s">
        <v>5506</v>
      </c>
      <c r="E963" s="3" t="s">
        <v>5507</v>
      </c>
      <c r="F963" s="3" t="s">
        <v>5508</v>
      </c>
      <c r="G963" s="3" t="s">
        <v>51</v>
      </c>
      <c r="H963" s="4" t="str">
        <f>HYPERLINK("https://rwsbhawarna.com/", "https://rwsbhawarna.com/")</f>
        <v>https://rwsbhawarna.com/</v>
      </c>
      <c r="I963" s="3" t="s">
        <v>5509</v>
      </c>
      <c r="J963" s="3" t="str">
        <f>HYPERLINK("tel:+917807849222", "+917807849222")</f>
        <v>+917807849222</v>
      </c>
      <c r="K963" s="5" t="str">
        <f>HYPERLINK("mailto:guest@gmail.com", "guest@gmail.com")</f>
        <v>guest@gmail.com</v>
      </c>
      <c r="L963" s="6" t="s">
        <v>5510</v>
      </c>
    </row>
    <row r="964" ht="15.75" customHeight="1">
      <c r="A964" s="3">
        <v>969.0</v>
      </c>
      <c r="B964" s="3" t="s">
        <v>5511</v>
      </c>
      <c r="C964" s="3" t="s">
        <v>5512</v>
      </c>
      <c r="D964" s="3" t="s">
        <v>5513</v>
      </c>
      <c r="E964" s="3" t="s">
        <v>5514</v>
      </c>
      <c r="F964" s="3" t="s">
        <v>5515</v>
      </c>
      <c r="G964" s="3" t="s">
        <v>182</v>
      </c>
      <c r="H964" s="4" t="str">
        <f>HYPERLINK("https://ganderbal.nic.in/education/", "https://ganderbal.nic.in/education/")</f>
        <v>https://ganderbal.nic.in/education/</v>
      </c>
      <c r="I964" s="3" t="s">
        <v>5516</v>
      </c>
      <c r="J964" s="3" t="str">
        <f>HYPERLINK("tel:+911942416142", "+911942416142")</f>
        <v>+911942416142</v>
      </c>
      <c r="K964" s="5" t="str">
        <f t="shared" ref="K964:K965" si="92">HYPERLINK("mailto:nan", "nan")</f>
        <v>nan</v>
      </c>
      <c r="L964" s="6"/>
    </row>
    <row r="965" ht="15.75" customHeight="1">
      <c r="A965" s="3">
        <v>970.0</v>
      </c>
      <c r="B965" s="3" t="s">
        <v>5517</v>
      </c>
      <c r="C965" s="3" t="s">
        <v>5518</v>
      </c>
      <c r="D965" s="3" t="s">
        <v>5519</v>
      </c>
      <c r="E965" s="3" t="s">
        <v>5520</v>
      </c>
      <c r="F965" s="3" t="s">
        <v>5521</v>
      </c>
      <c r="G965" s="3" t="s">
        <v>31</v>
      </c>
      <c r="H965" s="4" t="str">
        <f>HYPERLINK("https://bharateshpucollege.ac.in/", "https://bharateshpucollege.ac.in/")</f>
        <v>https://bharateshpucollege.ac.in/</v>
      </c>
      <c r="I965" s="3" t="s">
        <v>5522</v>
      </c>
      <c r="J965" s="3" t="str">
        <f>HYPERLINK("tel:nan", "nan")</f>
        <v>nan</v>
      </c>
      <c r="K965" s="5" t="str">
        <f t="shared" si="92"/>
        <v>nan</v>
      </c>
      <c r="L965" s="6" t="s">
        <v>5523</v>
      </c>
    </row>
    <row r="966" ht="15.75" customHeight="1">
      <c r="A966" s="3">
        <v>971.0</v>
      </c>
      <c r="B966" s="3" t="s">
        <v>5524</v>
      </c>
      <c r="C966" s="3" t="s">
        <v>5525</v>
      </c>
      <c r="D966" s="3" t="s">
        <v>5526</v>
      </c>
      <c r="E966" s="3" t="s">
        <v>5527</v>
      </c>
      <c r="F966" s="3" t="s">
        <v>5528</v>
      </c>
      <c r="G966" s="3" t="s">
        <v>31</v>
      </c>
      <c r="H966" s="4" t="str">
        <f>HYPERLINK("https://schools.org.in/tumakuru/29181034601/govt-junior-college-mahathma-gandhi-kunigal-ward-21.html", "https://schools.org.in/tumakuru/29181034601/govt-junior-college-mahathma-gandhi-kunigal-ward-21.html")</f>
        <v>https://schools.org.in/tumakuru/29181034601/govt-junior-college-mahathma-gandhi-kunigal-ward-21.html</v>
      </c>
      <c r="I966" s="3" t="s">
        <v>286</v>
      </c>
      <c r="J966" s="3" t="str">
        <f>HYPERLINK("tel:+919449872599", "+919449872599")</f>
        <v>+919449872599</v>
      </c>
      <c r="K966" s="5" t="str">
        <f>HYPERLINK("mailto:accounts_tumkur@yahoo.com", "accounts_tumkur@yahoo.com")</f>
        <v>accounts_tumkur@yahoo.com</v>
      </c>
      <c r="L966" s="6" t="s">
        <v>5529</v>
      </c>
    </row>
    <row r="967" ht="15.75" customHeight="1">
      <c r="A967" s="3">
        <v>972.0</v>
      </c>
      <c r="B967" s="3" t="s">
        <v>5530</v>
      </c>
      <c r="C967" s="3" t="s">
        <v>5531</v>
      </c>
      <c r="D967" s="3" t="s">
        <v>5532</v>
      </c>
      <c r="E967" s="3" t="s">
        <v>5533</v>
      </c>
      <c r="F967" s="3" t="s">
        <v>5534</v>
      </c>
      <c r="G967" s="3" t="s">
        <v>31</v>
      </c>
      <c r="H967" s="4" t="str">
        <f>HYPERLINK("https://nadakacheri.karnataka.gov.in/ajsk", "https://nadakacheri.karnataka.gov.in/ajsk")</f>
        <v>https://nadakacheri.karnataka.gov.in/ajsk</v>
      </c>
      <c r="I967" s="3" t="s">
        <v>5535</v>
      </c>
      <c r="J967" s="3" t="str">
        <f>HYPERLINK("tel:+918704280141", "+918704280141")</f>
        <v>+918704280141</v>
      </c>
      <c r="K967" s="5" t="str">
        <f>HYPERLINK("mailto:pd.webportal@karnataka.gov.in", "pd.webportal@karnataka.gov.in")</f>
        <v>pd.webportal@karnataka.gov.in</v>
      </c>
      <c r="L967" s="6" t="s">
        <v>1484</v>
      </c>
    </row>
    <row r="968" ht="15.75" customHeight="1">
      <c r="A968" s="3">
        <v>973.0</v>
      </c>
      <c r="B968" s="3" t="s">
        <v>5536</v>
      </c>
      <c r="C968" s="3" t="s">
        <v>5537</v>
      </c>
      <c r="D968" s="3" t="s">
        <v>5538</v>
      </c>
      <c r="E968" s="3" t="s">
        <v>5539</v>
      </c>
      <c r="F968" s="3" t="s">
        <v>5540</v>
      </c>
      <c r="G968" s="3" t="s">
        <v>31</v>
      </c>
      <c r="H968" s="4" t="str">
        <f>HYPERLINK("https://nhvps.com/", "https://nhvps.com/")</f>
        <v>https://nhvps.com/</v>
      </c>
      <c r="J968" s="3" t="str">
        <f>HYPERLINK("tel:+919535112020", "+919535112020")</f>
        <v>+919535112020</v>
      </c>
      <c r="K968" s="5" t="str">
        <f>HYPERLINK("mailto:nhvpsblore01@gmail.com", "nhvpsblore01@gmail.com")</f>
        <v>nhvpsblore01@gmail.com</v>
      </c>
      <c r="L968" s="6"/>
    </row>
    <row r="969" ht="15.75" customHeight="1">
      <c r="A969" s="3">
        <v>974.0</v>
      </c>
      <c r="B969" s="3" t="s">
        <v>5541</v>
      </c>
      <c r="C969" s="3" t="s">
        <v>5542</v>
      </c>
      <c r="D969" s="3" t="s">
        <v>5543</v>
      </c>
      <c r="E969" s="3" t="s">
        <v>5544</v>
      </c>
      <c r="F969" s="3" t="s">
        <v>5545</v>
      </c>
      <c r="G969" s="3" t="s">
        <v>31</v>
      </c>
      <c r="H969" s="4" t="str">
        <f>HYPERLINK("https://schools.org.in/dakshina-kannada/29240501310/dkzp-govt-high-school-elimale.html", "https://schools.org.in/dakshina-kannada/29240501310/dkzp-govt-high-school-elimale.html")</f>
        <v>https://schools.org.in/dakshina-kannada/29240501310/dkzp-govt-high-school-elimale.html</v>
      </c>
      <c r="I969" s="3" t="s">
        <v>5546</v>
      </c>
      <c r="J969" s="3" t="str">
        <f t="shared" ref="J969:J970" si="93">HYPERLINK("tel:nan", "nan")</f>
        <v>nan</v>
      </c>
      <c r="K969" s="5" t="str">
        <f>HYPERLINK("mailto:pd.webportal@karnataka.gov.in", "pd.webportal@karnataka.gov.in")</f>
        <v>pd.webportal@karnataka.gov.in</v>
      </c>
      <c r="L969" s="6" t="s">
        <v>5547</v>
      </c>
    </row>
    <row r="970" ht="15.75" customHeight="1">
      <c r="A970" s="3">
        <v>975.0</v>
      </c>
      <c r="B970" s="3" t="s">
        <v>5548</v>
      </c>
      <c r="C970" s="3" t="s">
        <v>5549</v>
      </c>
      <c r="D970" s="3" t="s">
        <v>5550</v>
      </c>
      <c r="E970" s="3" t="s">
        <v>1345</v>
      </c>
      <c r="F970" s="3" t="s">
        <v>5551</v>
      </c>
      <c r="G970" s="3" t="s">
        <v>58</v>
      </c>
      <c r="H970" s="4" t="str">
        <f>HYPERLINK("https://schools.org.in/malappuram/32050700406/ssmups-vadakkumuri.html", "https://schools.org.in/malappuram/32050700406/ssmups-vadakkumuri.html")</f>
        <v>https://schools.org.in/malappuram/32050700406/ssmups-vadakkumuri.html</v>
      </c>
      <c r="I970" s="3" t="s">
        <v>5552</v>
      </c>
      <c r="J970" s="3" t="str">
        <f t="shared" si="93"/>
        <v>nan</v>
      </c>
      <c r="K970" s="5" t="str">
        <f>HYPERLINK("mailto:nan", "nan")</f>
        <v>nan</v>
      </c>
      <c r="L970" s="6" t="s">
        <v>5553</v>
      </c>
    </row>
    <row r="971" ht="15.75" customHeight="1">
      <c r="A971" s="3">
        <v>976.0</v>
      </c>
      <c r="B971" s="3" t="s">
        <v>5554</v>
      </c>
      <c r="C971" s="3" t="s">
        <v>5555</v>
      </c>
      <c r="D971" s="3" t="s">
        <v>5556</v>
      </c>
      <c r="E971" s="3" t="s">
        <v>5557</v>
      </c>
      <c r="F971" s="3" t="s">
        <v>5558</v>
      </c>
      <c r="G971" s="3" t="s">
        <v>58</v>
      </c>
      <c r="H971" s="4" t="str">
        <f>HYPERLINK("https://thrissur.nic.in/en/public-utility/deepthi-higher-secondary-school/", "https://thrissur.nic.in/en/public-utility/deepthi-higher-secondary-school/")</f>
        <v>https://thrissur.nic.in/en/public-utility/deepthi-higher-secondary-school/</v>
      </c>
      <c r="I971" s="3" t="s">
        <v>5559</v>
      </c>
      <c r="J971" s="3" t="str">
        <f>HYPERLINK("tel:+914872459033", "+914872459033")</f>
        <v>+914872459033</v>
      </c>
      <c r="K971" s="5" t="str">
        <f>HYPERLINK("mailto:devmatha@gmail.com", "devmatha@gmail.com")</f>
        <v>devmatha@gmail.com</v>
      </c>
      <c r="L971" s="6" t="s">
        <v>5560</v>
      </c>
    </row>
    <row r="972" ht="15.75" customHeight="1">
      <c r="A972" s="3">
        <v>977.0</v>
      </c>
      <c r="B972" s="3" t="s">
        <v>5561</v>
      </c>
      <c r="C972" s="3" t="s">
        <v>5562</v>
      </c>
      <c r="D972" s="3" t="s">
        <v>5563</v>
      </c>
      <c r="E972" s="3" t="s">
        <v>5564</v>
      </c>
      <c r="F972" s="3" t="s">
        <v>5565</v>
      </c>
      <c r="G972" s="3" t="s">
        <v>58</v>
      </c>
      <c r="H972" s="4" t="str">
        <f>HYPERLINK("https://schools.org.in/wayanad/32030301304/gups-chennalode.html", "https://schools.org.in/wayanad/32030301304/gups-chennalode.html")</f>
        <v>https://schools.org.in/wayanad/32030301304/gups-chennalode.html</v>
      </c>
      <c r="I972" s="3" t="s">
        <v>5566</v>
      </c>
      <c r="J972" s="3" t="str">
        <f>HYPERLINK("tel:+917411653133", "+917411653133")</f>
        <v>+917411653133</v>
      </c>
      <c r="K972" s="5" t="str">
        <f>HYPERLINK("mailto:nan", "nan")</f>
        <v>nan</v>
      </c>
      <c r="L972" s="6" t="s">
        <v>5567</v>
      </c>
    </row>
    <row r="973" ht="15.75" customHeight="1">
      <c r="A973" s="3">
        <v>978.0</v>
      </c>
      <c r="B973" s="3" t="s">
        <v>5568</v>
      </c>
      <c r="C973" s="3" t="s">
        <v>793</v>
      </c>
      <c r="D973" s="3" t="s">
        <v>5569</v>
      </c>
      <c r="E973" s="3" t="s">
        <v>5570</v>
      </c>
      <c r="F973" s="3" t="s">
        <v>796</v>
      </c>
      <c r="G973" s="3" t="s">
        <v>58</v>
      </c>
      <c r="H973" s="4" t="str">
        <f>HYPERLINK("https://goodshepherdtvm.org/", "https://goodshepherdtvm.org/")</f>
        <v>https://goodshepherdtvm.org/</v>
      </c>
      <c r="J973" s="3" t="str">
        <f>HYPERLINK("tel:+914712597002", "+914712597002")</f>
        <v>+914712597002</v>
      </c>
      <c r="K973" s="5" t="str">
        <f>HYPERLINK("mailto:goodshepherdtvm@gmail.com", "goodshepherdtvm@gmail.com")</f>
        <v>goodshepherdtvm@gmail.com</v>
      </c>
      <c r="L973" s="6"/>
    </row>
    <row r="974" ht="15.75" customHeight="1">
      <c r="A974" s="3">
        <v>979.0</v>
      </c>
      <c r="B974" s="3" t="s">
        <v>5571</v>
      </c>
      <c r="C974" s="3" t="s">
        <v>5572</v>
      </c>
      <c r="D974" s="3" t="s">
        <v>5573</v>
      </c>
      <c r="E974" s="3" t="s">
        <v>5574</v>
      </c>
      <c r="F974" s="3" t="s">
        <v>5575</v>
      </c>
      <c r="G974" s="3" t="s">
        <v>58</v>
      </c>
      <c r="H974" s="4" t="str">
        <f>HYPERLINK("https://schools.org.in/thiruvananthapuram/32141000814/st-gorttis-hs-nalanchira.html", "https://schools.org.in/thiruvananthapuram/32141000814/st-gorttis-hs-nalanchira.html")</f>
        <v>https://schools.org.in/thiruvananthapuram/32141000814/st-gorttis-hs-nalanchira.html</v>
      </c>
      <c r="I974" s="3" t="s">
        <v>5576</v>
      </c>
      <c r="J974" s="3" t="str">
        <f>HYPERLINK("tel:+914712325106", "+914712325106")</f>
        <v>+914712325106</v>
      </c>
      <c r="K974" s="5" t="str">
        <f>HYPERLINK("mailto:dirdhse.dge@kerala.gov.in", "dirdhse.dge@kerala.gov.in")</f>
        <v>dirdhse.dge@kerala.gov.in</v>
      </c>
      <c r="L974" s="6" t="s">
        <v>5577</v>
      </c>
    </row>
    <row r="975" ht="15.75" customHeight="1">
      <c r="A975" s="3">
        <v>980.0</v>
      </c>
      <c r="B975" s="3" t="s">
        <v>5578</v>
      </c>
      <c r="C975" s="3" t="s">
        <v>5579</v>
      </c>
      <c r="D975" s="3" t="s">
        <v>5580</v>
      </c>
      <c r="E975" s="3" t="s">
        <v>5581</v>
      </c>
      <c r="F975" s="3" t="s">
        <v>5582</v>
      </c>
      <c r="G975" s="3" t="s">
        <v>58</v>
      </c>
      <c r="H975" s="4" t="str">
        <f>HYPERLINK("https://schools.org.in/kozhikode/32040900408/karayad-aups.html", "https://schools.org.in/kozhikode/32040900408/karayad-aups.html")</f>
        <v>https://schools.org.in/kozhikode/32040900408/karayad-aups.html</v>
      </c>
      <c r="I975" s="3" t="s">
        <v>5583</v>
      </c>
      <c r="J975" s="3" t="str">
        <f>HYPERLINK("tel:nan", "nan")</f>
        <v>nan</v>
      </c>
      <c r="K975" s="5" t="str">
        <f>HYPERLINK("mailto:nan", "nan")</f>
        <v>nan</v>
      </c>
      <c r="L975" s="6" t="s">
        <v>5584</v>
      </c>
    </row>
    <row r="976" ht="15.75" customHeight="1">
      <c r="A976" s="3">
        <v>981.0</v>
      </c>
      <c r="B976" s="3" t="s">
        <v>5585</v>
      </c>
      <c r="C976" s="3" t="s">
        <v>5586</v>
      </c>
      <c r="D976" s="3" t="s">
        <v>5587</v>
      </c>
      <c r="E976" s="3" t="s">
        <v>5588</v>
      </c>
      <c r="F976" s="3" t="s">
        <v>5589</v>
      </c>
      <c r="G976" s="3" t="s">
        <v>58</v>
      </c>
      <c r="H976" s="4" t="str">
        <f>HYPERLINK("https://ghsspattikkad.wordpress.com/", "https://ghsspattikkad.wordpress.com/")</f>
        <v>https://ghsspattikkad.wordpress.com/</v>
      </c>
      <c r="I976" s="3" t="s">
        <v>5590</v>
      </c>
      <c r="J976" s="3" t="str">
        <f>HYPERLINK("tel:+914933235723", "+914933235723")</f>
        <v>+914933235723</v>
      </c>
      <c r="K976" s="5" t="str">
        <f>HYPERLINK("mailto:ghsspatikad@gmail.com", "ghsspatikad@gmail.com")</f>
        <v>ghsspatikad@gmail.com</v>
      </c>
      <c r="L976" s="6" t="s">
        <v>5591</v>
      </c>
    </row>
    <row r="977" ht="15.75" customHeight="1">
      <c r="A977" s="3">
        <v>982.0</v>
      </c>
      <c r="B977" s="3" t="s">
        <v>5592</v>
      </c>
      <c r="C977" s="3" t="s">
        <v>5593</v>
      </c>
      <c r="D977" s="3" t="s">
        <v>5594</v>
      </c>
      <c r="E977" s="3" t="s">
        <v>5595</v>
      </c>
      <c r="F977" s="3" t="s">
        <v>5596</v>
      </c>
      <c r="G977" s="3" t="s">
        <v>5196</v>
      </c>
      <c r="H977" s="4" t="str">
        <f>HYPERLINK("https://mokokchung.nic.in/public-utility/mayangnokcha-govt-higher-secondary-school/", "https://mokokchung.nic.in/public-utility/mayangnokcha-govt-higher-secondary-school/")</f>
        <v>https://mokokchung.nic.in/public-utility/mayangnokcha-govt-higher-secondary-school/</v>
      </c>
      <c r="I977" s="3" t="s">
        <v>5597</v>
      </c>
      <c r="J977" s="3" t="str">
        <f>HYPERLINK("tel:nan", "nan")</f>
        <v>nan</v>
      </c>
      <c r="K977" s="5" t="str">
        <f>HYPERLINK("mailto:spdnagaland@yahoo.com", "spdnagaland@yahoo.com")</f>
        <v>spdnagaland@yahoo.com</v>
      </c>
      <c r="L977" s="6" t="s">
        <v>5598</v>
      </c>
    </row>
    <row r="978" ht="15.75" customHeight="1">
      <c r="A978" s="3">
        <v>985.0</v>
      </c>
      <c r="B978" s="3" t="s">
        <v>5599</v>
      </c>
      <c r="C978" s="3" t="s">
        <v>5600</v>
      </c>
      <c r="D978" s="3" t="s">
        <v>5601</v>
      </c>
      <c r="E978" s="3" t="s">
        <v>5602</v>
      </c>
      <c r="F978" s="3" t="s">
        <v>5603</v>
      </c>
      <c r="G978" s="3" t="s">
        <v>356</v>
      </c>
      <c r="H978" s="4" t="str">
        <f>HYPERLINK("https://schools.org.in/nabarangpur/21281004202/ug-high-school-bokada.html", "https://schools.org.in/nabarangpur/21281004202/ug-high-school-bokada.html")</f>
        <v>https://schools.org.in/nabarangpur/21281004202/ug-high-school-bokada.html</v>
      </c>
      <c r="I978" s="3" t="s">
        <v>5604</v>
      </c>
      <c r="J978" s="3" t="str">
        <f>HYPERLINK("tel:+916742322732", "+916742322732")</f>
        <v>+916742322732</v>
      </c>
      <c r="K978" s="5" t="str">
        <f>HYPERLINK("mailto:belpahar_college@rediffmail.com", "belpahar_college@rediffmail.com")</f>
        <v>belpahar_college@rediffmail.com</v>
      </c>
      <c r="L978" s="6" t="s">
        <v>5605</v>
      </c>
    </row>
    <row r="979" ht="15.75" customHeight="1">
      <c r="A979" s="3">
        <v>986.0</v>
      </c>
      <c r="B979" s="3" t="s">
        <v>5606</v>
      </c>
      <c r="C979" s="3" t="s">
        <v>5607</v>
      </c>
      <c r="D979" s="3" t="s">
        <v>5608</v>
      </c>
      <c r="E979" s="3" t="s">
        <v>5609</v>
      </c>
      <c r="F979" s="3" t="s">
        <v>4268</v>
      </c>
      <c r="G979" s="3" t="s">
        <v>265</v>
      </c>
      <c r="H979" s="4" t="str">
        <f>HYPERLINK("https://bvmkn.com/", "https://bvmkn.com/")</f>
        <v>https://bvmkn.com/</v>
      </c>
      <c r="I979" s="3" t="s">
        <v>4269</v>
      </c>
      <c r="J979" s="3" t="str">
        <f>HYPERLINK("tel:+911612301523", "+911612301523")</f>
        <v>+911612301523</v>
      </c>
      <c r="K979" s="5" t="str">
        <f>HYPERLINK("mailto:bvmkn@bvmschools.com", "bvmkn@bvmschools.com")</f>
        <v>bvmkn@bvmschools.com</v>
      </c>
      <c r="L979" s="6" t="s">
        <v>4270</v>
      </c>
    </row>
    <row r="980" ht="15.75" customHeight="1">
      <c r="A980" s="3">
        <v>987.0</v>
      </c>
      <c r="B980" s="3" t="s">
        <v>5610</v>
      </c>
      <c r="C980" s="3" t="s">
        <v>5611</v>
      </c>
      <c r="D980" s="3" t="s">
        <v>5612</v>
      </c>
      <c r="E980" s="3" t="s">
        <v>5613</v>
      </c>
      <c r="F980" s="3" t="s">
        <v>5614</v>
      </c>
      <c r="G980" s="3" t="s">
        <v>70</v>
      </c>
      <c r="H980" s="4" t="str">
        <f>HYPERLINK("https://navodaya.gov.in/nvs/nvs-school/RAJSAMAND/en/home/", "https://navodaya.gov.in/nvs/nvs-school/RAJSAMAND/en/home/")</f>
        <v>https://navodaya.gov.in/nvs/nvs-school/RAJSAMAND/en/home/</v>
      </c>
      <c r="I980" s="3" t="s">
        <v>5615</v>
      </c>
      <c r="J980" s="3" t="str">
        <f>HYPERLINK("tel:+912952297451", "+912952297451")</f>
        <v>+912952297451</v>
      </c>
      <c r="K980" s="5" t="str">
        <f>HYPERLINK("mailto:ithelpdesk.nvs@gmail.com", "ithelpdesk.nvs@gmail.com")</f>
        <v>ithelpdesk.nvs@gmail.com</v>
      </c>
      <c r="L980" s="6" t="s">
        <v>5616</v>
      </c>
    </row>
    <row r="981" ht="15.75" customHeight="1">
      <c r="A981" s="3">
        <v>988.0</v>
      </c>
      <c r="B981" s="3" t="s">
        <v>5617</v>
      </c>
      <c r="C981" s="3" t="s">
        <v>5618</v>
      </c>
      <c r="D981" s="3" t="s">
        <v>5619</v>
      </c>
      <c r="E981" s="3" t="s">
        <v>5620</v>
      </c>
      <c r="F981" s="3" t="s">
        <v>5621</v>
      </c>
      <c r="G981" s="3" t="s">
        <v>17</v>
      </c>
      <c r="H981" s="4" t="str">
        <f>HYPERLINK("https://schools.org.in/kancheepuram/33031403301/ghss-madambakkam.html", "https://schools.org.in/kancheepuram/33031403301/ghss-madambakkam.html")</f>
        <v>https://schools.org.in/kancheepuram/33031403301/ghss-madambakkam.html</v>
      </c>
      <c r="I981" s="3" t="s">
        <v>5622</v>
      </c>
      <c r="J981" s="3" t="str">
        <f>HYPERLINK("tel:+919600007217", "+919600007217")</f>
        <v>+919600007217</v>
      </c>
      <c r="K981" s="5" t="str">
        <f>HYPERLINK("mailto:info@seedschool.co.in", "info@seedschool.co.in")</f>
        <v>info@seedschool.co.in</v>
      </c>
      <c r="L981" s="6" t="s">
        <v>5623</v>
      </c>
    </row>
    <row r="982" ht="15.75" customHeight="1">
      <c r="A982" s="3">
        <v>990.0</v>
      </c>
      <c r="B982" s="3" t="s">
        <v>5624</v>
      </c>
      <c r="C982" s="3" t="s">
        <v>5625</v>
      </c>
      <c r="D982" s="3" t="s">
        <v>5626</v>
      </c>
      <c r="E982" s="3" t="s">
        <v>5627</v>
      </c>
      <c r="F982" s="3" t="s">
        <v>5628</v>
      </c>
      <c r="G982" s="3" t="s">
        <v>17</v>
      </c>
      <c r="H982" s="4" t="str">
        <f>HYPERLINK("https://kamalaniketan.com/", "https://kamalaniketan.com/")</f>
        <v>https://kamalaniketan.com/</v>
      </c>
      <c r="J982" s="3" t="str">
        <f>HYPERLINK("tel:+917373791041", "+917373791041")</f>
        <v>+917373791041</v>
      </c>
      <c r="K982" s="5" t="str">
        <f>HYPERLINK("mailto:office@kamalaniketan.com", "office@kamalaniketan.com")</f>
        <v>office@kamalaniketan.com</v>
      </c>
      <c r="L982" s="6" t="s">
        <v>5629</v>
      </c>
    </row>
    <row r="983" ht="15.75" customHeight="1">
      <c r="A983" s="3">
        <v>991.0</v>
      </c>
      <c r="B983" s="3" t="s">
        <v>5630</v>
      </c>
      <c r="C983" s="3" t="s">
        <v>5631</v>
      </c>
      <c r="D983" s="3" t="s">
        <v>5632</v>
      </c>
      <c r="E983" s="3" t="s">
        <v>5633</v>
      </c>
      <c r="F983" s="3" t="s">
        <v>5634</v>
      </c>
      <c r="G983" s="3" t="s">
        <v>17</v>
      </c>
      <c r="H983" s="4" t="str">
        <f>HYPERLINK("http://cscl.co.in/chennai-higher-secondary-school", "http://cscl.co.in/chennai-higher-secondary-school")</f>
        <v>http://cscl.co.in/chennai-higher-secondary-school</v>
      </c>
      <c r="J983" s="3" t="str">
        <f>HYPERLINK("tel:+919742974283", "+919742974283")</f>
        <v>+919742974283</v>
      </c>
      <c r="K983" s="5" t="str">
        <f>HYPERLINK("mailto:nan", "nan")</f>
        <v>nan</v>
      </c>
      <c r="L983" s="6" t="s">
        <v>5635</v>
      </c>
    </row>
    <row r="984" ht="15.75" customHeight="1">
      <c r="A984" s="3">
        <v>992.0</v>
      </c>
      <c r="B984" s="3" t="s">
        <v>5636</v>
      </c>
      <c r="C984" s="3" t="s">
        <v>5637</v>
      </c>
      <c r="D984" s="3" t="s">
        <v>5638</v>
      </c>
      <c r="E984" s="3" t="s">
        <v>5639</v>
      </c>
      <c r="F984" s="3" t="s">
        <v>5640</v>
      </c>
      <c r="G984" s="3" t="s">
        <v>17</v>
      </c>
      <c r="H984" s="4" t="str">
        <f>HYPERLINK("https://uhiiscbseschool.com/", "https://uhiiscbseschool.com/")</f>
        <v>https://uhiiscbseschool.com/</v>
      </c>
      <c r="I984" s="3" t="s">
        <v>5641</v>
      </c>
      <c r="J984" s="3" t="str">
        <f>HYPERLINK("tel:+919003783930", "+919003783930")</f>
        <v>+919003783930</v>
      </c>
      <c r="K984" s="5" t="str">
        <f>HYPERLINK("mailto:admissions@uhiiscbseschool.com", "admissions@uhiiscbseschool.com")</f>
        <v>admissions@uhiiscbseschool.com</v>
      </c>
      <c r="L984" s="6" t="s">
        <v>5642</v>
      </c>
    </row>
    <row r="985" ht="15.75" customHeight="1">
      <c r="A985" s="3">
        <v>993.0</v>
      </c>
      <c r="B985" s="3" t="s">
        <v>5643</v>
      </c>
      <c r="C985" s="3" t="s">
        <v>5644</v>
      </c>
      <c r="D985" s="3" t="s">
        <v>5645</v>
      </c>
      <c r="E985" s="3" t="s">
        <v>945</v>
      </c>
      <c r="F985" s="3" t="s">
        <v>5646</v>
      </c>
      <c r="G985" s="3" t="s">
        <v>130</v>
      </c>
      <c r="H985" s="4" t="str">
        <f t="shared" ref="H985:H986" si="94">HYPERLINK("https://tgswreis.telangana.gov.in/", "https://tgswreis.telangana.gov.in/")</f>
        <v>https://tgswreis.telangana.gov.in/</v>
      </c>
      <c r="I985" s="3" t="s">
        <v>5647</v>
      </c>
      <c r="J985" s="3" t="str">
        <f>HYPERLINK("tel:+918128764077", "+918128764077")</f>
        <v>+918128764077</v>
      </c>
      <c r="K985" s="5" t="str">
        <f t="shared" ref="K985:K986" si="95">HYPERLINK("mailto:support@hassofttehnologies.com", "support@hassofttehnologies.com")</f>
        <v>support@hassofttehnologies.com</v>
      </c>
      <c r="L985" s="6" t="s">
        <v>3314</v>
      </c>
    </row>
    <row r="986" ht="15.75" customHeight="1">
      <c r="A986" s="3">
        <v>994.0</v>
      </c>
      <c r="B986" s="3" t="s">
        <v>5648</v>
      </c>
      <c r="C986" s="3" t="s">
        <v>5644</v>
      </c>
      <c r="D986" s="3" t="s">
        <v>5649</v>
      </c>
      <c r="E986" s="3" t="s">
        <v>5650</v>
      </c>
      <c r="F986" s="3" t="s">
        <v>5646</v>
      </c>
      <c r="G986" s="3" t="s">
        <v>130</v>
      </c>
      <c r="H986" s="4" t="str">
        <f t="shared" si="94"/>
        <v>https://tgswreis.telangana.gov.in/</v>
      </c>
      <c r="I986" s="3" t="s">
        <v>5647</v>
      </c>
      <c r="J986" s="3" t="str">
        <f>HYPERLINK("tel:nan", "nan")</f>
        <v>nan</v>
      </c>
      <c r="K986" s="5" t="str">
        <f t="shared" si="95"/>
        <v>support@hassofttehnologies.com</v>
      </c>
      <c r="L986" s="6" t="s">
        <v>3314</v>
      </c>
    </row>
    <row r="987" ht="15.75" customHeight="1">
      <c r="A987" s="3">
        <v>995.0</v>
      </c>
      <c r="B987" s="3" t="s">
        <v>5651</v>
      </c>
      <c r="C987" s="3" t="s">
        <v>5652</v>
      </c>
      <c r="D987" s="3" t="s">
        <v>5653</v>
      </c>
      <c r="E987" s="3" t="s">
        <v>5654</v>
      </c>
      <c r="F987" s="3" t="s">
        <v>1638</v>
      </c>
      <c r="G987" s="3" t="s">
        <v>138</v>
      </c>
      <c r="H987" s="4" t="str">
        <f t="shared" ref="H987:H988" si="96">HYPERLINK("https://sunbeamschools.com/default.aspx", "https://sunbeamschools.com/default.aspx")</f>
        <v>https://sunbeamschools.com/default.aspx</v>
      </c>
      <c r="J987" s="3" t="str">
        <f t="shared" ref="J987:J988" si="97">HYPERLINK("tel:+919721452435", "+919721452435")</f>
        <v>+919721452435</v>
      </c>
      <c r="K987" s="5" t="str">
        <f>HYPERLINK("mailto:info@sunbeamwcv.com", "info@sunbeamwcv.com")</f>
        <v>info@sunbeamwcv.com</v>
      </c>
      <c r="L987" s="6" t="s">
        <v>1042</v>
      </c>
    </row>
    <row r="988" ht="15.75" customHeight="1">
      <c r="A988" s="3">
        <v>996.0</v>
      </c>
      <c r="B988" s="3" t="s">
        <v>5655</v>
      </c>
      <c r="C988" s="3" t="s">
        <v>5656</v>
      </c>
      <c r="D988" s="3" t="s">
        <v>5657</v>
      </c>
      <c r="E988" s="3" t="s">
        <v>5658</v>
      </c>
      <c r="F988" s="3" t="s">
        <v>1041</v>
      </c>
      <c r="G988" s="3" t="s">
        <v>138</v>
      </c>
      <c r="H988" s="4" t="str">
        <f t="shared" si="96"/>
        <v>https://sunbeamschools.com/default.aspx</v>
      </c>
      <c r="J988" s="3" t="str">
        <f t="shared" si="97"/>
        <v>+919721452435</v>
      </c>
      <c r="K988" s="5" t="str">
        <f>HYPERLINK("mailto:info@sunbeammughalsarai.com", "info@sunbeammughalsarai.com")</f>
        <v>info@sunbeammughalsarai.com</v>
      </c>
      <c r="L988" s="6" t="s">
        <v>1042</v>
      </c>
    </row>
    <row r="989" ht="15.75" customHeight="1">
      <c r="A989" s="3">
        <v>997.0</v>
      </c>
      <c r="B989" s="3" t="s">
        <v>5659</v>
      </c>
      <c r="C989" s="3" t="s">
        <v>5660</v>
      </c>
      <c r="D989" s="3" t="s">
        <v>5661</v>
      </c>
      <c r="E989" s="3" t="s">
        <v>5662</v>
      </c>
      <c r="F989" s="3" t="s">
        <v>5663</v>
      </c>
      <c r="G989" s="3" t="s">
        <v>958</v>
      </c>
      <c r="H989" s="4" t="str">
        <f>HYPERLINK("https://baligunge.kvs.ac.in/en/", "https://baligunge.kvs.ac.in/en/")</f>
        <v>https://baligunge.kvs.ac.in/en/</v>
      </c>
      <c r="I989" s="3" t="s">
        <v>625</v>
      </c>
      <c r="J989" s="3" t="str">
        <f>HYPERLINK("tel:+913324865171", "+913324865171")</f>
        <v>+913324865171</v>
      </c>
      <c r="K989" s="5" t="str">
        <f>HYPERLINK("mailto:nan", "nan")</f>
        <v>nan</v>
      </c>
      <c r="L989" s="6" t="s">
        <v>5664</v>
      </c>
    </row>
    <row r="990" ht="15.75" customHeight="1">
      <c r="A990" s="3">
        <v>998.0</v>
      </c>
      <c r="B990" s="3" t="s">
        <v>5665</v>
      </c>
      <c r="C990" s="3" t="s">
        <v>5666</v>
      </c>
      <c r="D990" s="3" t="s">
        <v>5667</v>
      </c>
      <c r="E990" s="3" t="s">
        <v>5668</v>
      </c>
      <c r="F990" s="3" t="s">
        <v>5669</v>
      </c>
      <c r="G990" s="3" t="s">
        <v>2350</v>
      </c>
      <c r="H990" s="4" t="str">
        <f>HYPERLINK("https://pmshriarunachal.com/", "https://pmshriarunachal.com/")</f>
        <v>https://pmshriarunachal.com/</v>
      </c>
      <c r="I990" s="3" t="s">
        <v>1483</v>
      </c>
      <c r="J990" s="3" t="str">
        <f t="shared" ref="J990:J991" si="98">HYPERLINK("tel:nan", "nan")</f>
        <v>nan</v>
      </c>
      <c r="K990" s="5" t="str">
        <f>HYPERLINK("mailto:issearun@gmail.com", "issearun@gmail.com")</f>
        <v>issearun@gmail.com</v>
      </c>
      <c r="L990" s="6" t="s">
        <v>5670</v>
      </c>
    </row>
    <row r="991" ht="15.75" customHeight="1">
      <c r="A991" s="3">
        <v>999.0</v>
      </c>
      <c r="B991" s="3" t="s">
        <v>5671</v>
      </c>
      <c r="C991" s="3" t="s">
        <v>5672</v>
      </c>
      <c r="D991" s="3" t="s">
        <v>5673</v>
      </c>
      <c r="E991" s="3" t="s">
        <v>5674</v>
      </c>
      <c r="F991" s="3" t="s">
        <v>5675</v>
      </c>
      <c r="G991" s="3" t="s">
        <v>209</v>
      </c>
      <c r="H991" s="4" t="str">
        <f>HYPERLINK("https://sumvvtsk.wordpress.com/about/", "https://sumvvtsk.wordpress.com/about/")</f>
        <v>https://sumvvtsk.wordpress.com/about/</v>
      </c>
      <c r="I991" s="3" t="s">
        <v>5676</v>
      </c>
      <c r="J991" s="3" t="str">
        <f t="shared" si="98"/>
        <v>nan</v>
      </c>
      <c r="K991" s="5" t="str">
        <f>HYPERLINK("mailto:sumvvtsk@gmail.com", "sumvvtsk@gmail.com")</f>
        <v>sumvvtsk@gmail.com</v>
      </c>
      <c r="L991" s="6" t="s">
        <v>5677</v>
      </c>
    </row>
    <row r="992" ht="15.75" customHeight="1">
      <c r="A992" s="3">
        <v>1000.0</v>
      </c>
      <c r="B992" s="3" t="s">
        <v>5678</v>
      </c>
      <c r="C992" s="3" t="s">
        <v>5679</v>
      </c>
      <c r="D992" s="3" t="s">
        <v>5680</v>
      </c>
      <c r="E992" s="3" t="s">
        <v>5681</v>
      </c>
      <c r="F992" s="3" t="s">
        <v>5682</v>
      </c>
      <c r="G992" s="3" t="s">
        <v>5429</v>
      </c>
      <c r="H992" s="4" t="str">
        <f>HYPERLINK("https://schools.org.in/imphal-west/14060208301/nilapadama-hr-sec-school.html", "https://schools.org.in/imphal-west/14060208301/nilapadama-hr-sec-school.html")</f>
        <v>https://schools.org.in/imphal-west/14060208301/nilapadama-hr-sec-school.html</v>
      </c>
      <c r="I992" s="3" t="s">
        <v>5683</v>
      </c>
      <c r="J992" s="3" t="str">
        <f>HYPERLINK("tel:+918974027708", "+918974027708")</f>
        <v>+918974027708</v>
      </c>
      <c r="K992" s="5" t="str">
        <f>HYPERLINK("mailto:cohsemmanipur@gmail.com", "cohsemmanipur@gmail.com")</f>
        <v>cohsemmanipur@gmail.com</v>
      </c>
      <c r="L992" s="6" t="s">
        <v>5684</v>
      </c>
    </row>
    <row r="993" ht="15.75" customHeight="1">
      <c r="H993" s="6"/>
      <c r="L993" s="6"/>
    </row>
    <row r="994" ht="15.75" customHeight="1">
      <c r="H994" s="6"/>
      <c r="L994" s="6"/>
    </row>
    <row r="995" ht="15.75" customHeight="1">
      <c r="H995" s="6"/>
      <c r="L995" s="6"/>
    </row>
    <row r="996" ht="15.75" customHeight="1">
      <c r="H996" s="6"/>
      <c r="L996" s="6"/>
    </row>
    <row r="997" ht="15.75" customHeight="1">
      <c r="H997" s="6"/>
      <c r="L997" s="6"/>
    </row>
    <row r="998" ht="15.75" customHeight="1">
      <c r="H998" s="6"/>
      <c r="L998" s="6"/>
    </row>
    <row r="999" ht="15.75" customHeight="1">
      <c r="H999" s="6"/>
      <c r="L999" s="6"/>
    </row>
    <row r="1000" ht="15.75" customHeight="1">
      <c r="H1000" s="6"/>
      <c r="L1000" s="6"/>
    </row>
  </sheetData>
  <printOptions/>
  <pageMargins bottom="1.0" footer="0.0" header="0.0" left="0.75" right="0.75" top="1.0"/>
  <pageSetup orientation="landscape"/>
  <drawing r:id="rId1"/>
</worksheet>
</file>